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pivotTables/pivotTable3.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My Documents\Personal\Robotics\2016 Stronghold\Scouting\"/>
    </mc:Choice>
  </mc:AlternateContent>
  <bookViews>
    <workbookView xWindow="0" yWindow="0" windowWidth="19200" windowHeight="7060" tabRatio="806" activeTab="3"/>
  </bookViews>
  <sheets>
    <sheet name="MatchScoutingData" sheetId="1" r:id="rId1"/>
    <sheet name="PitScoutingData" sheetId="4" r:id="rId2"/>
    <sheet name="Pre-Match Report" sheetId="5" r:id="rId3"/>
    <sheet name="Alliance Analyzer" sheetId="11" r:id="rId4"/>
    <sheet name="Team Trend" sheetId="8" r:id="rId5"/>
    <sheet name="Team Profile" sheetId="7" r:id="rId6"/>
    <sheet name="Personas" sheetId="2" r:id="rId7"/>
  </sheets>
  <definedNames>
    <definedName name="_xlcn.WorksheetConnection_StrongholdScoutingWorkbook.xlsxMatchData1" hidden="1">MatchData[]</definedName>
    <definedName name="_xlcn.WorksheetConnection_StrongholdScoutingWorkbook.xlsxPitData1" hidden="1">PitData[]</definedName>
  </definedNames>
  <calcPr calcId="152511" calcMode="manual"/>
  <pivotCaches>
    <pivotCache cacheId="54" r:id="rId8"/>
    <pivotCache cacheId="79"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tData-44bb5ad4-aec9-4223-8a14-3d80b1587612" name="PitData" connection="WorksheetConnection_StrongholdScoutingWorkbook.xlsx!PitData"/>
          <x15:modelTable id="MatchData-737afa35-7ec2-4168-97eb-760ab4f618fd" name="MatchData" connection="WorksheetConnection_StrongholdScoutingWorkbook.xlsx!MatchData"/>
        </x15:modelTables>
        <x15:modelRelationships>
          <x15:modelRelationship fromTable="MatchData" fromColumn="Team" toTable="PitData" toColumn="Team"/>
        </x15:modelRelationships>
      </x15:dataModel>
    </ext>
  </extLst>
</workbook>
</file>

<file path=xl/calcChain.xml><?xml version="1.0" encoding="utf-8"?>
<calcChain xmlns="http://schemas.openxmlformats.org/spreadsheetml/2006/main">
  <c r="AV72" i="1" l="1"/>
  <c r="BM4" i="1"/>
  <c r="BN4" i="1"/>
  <c r="BN5" i="1"/>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I38" i="1" s="1"/>
  <c r="BN39" i="1"/>
  <c r="BN40" i="1"/>
  <c r="BN41" i="1"/>
  <c r="BN42" i="1"/>
  <c r="BN43" i="1"/>
  <c r="BN44" i="1"/>
  <c r="BN45" i="1"/>
  <c r="BN46" i="1"/>
  <c r="I46" i="1" s="1"/>
  <c r="BN47" i="1"/>
  <c r="BN48" i="1"/>
  <c r="BN49" i="1"/>
  <c r="BN50" i="1"/>
  <c r="BN51" i="1"/>
  <c r="BN52" i="1"/>
  <c r="BN53" i="1"/>
  <c r="BN54" i="1"/>
  <c r="BN55" i="1"/>
  <c r="BN56" i="1"/>
  <c r="BN57" i="1"/>
  <c r="BN58" i="1"/>
  <c r="BN59" i="1"/>
  <c r="BN60" i="1"/>
  <c r="BN61" i="1"/>
  <c r="BN62" i="1"/>
  <c r="I62" i="1" s="1"/>
  <c r="BN63" i="1"/>
  <c r="BN64" i="1"/>
  <c r="BN65" i="1"/>
  <c r="BN66" i="1"/>
  <c r="I66" i="1" s="1"/>
  <c r="BN67" i="1"/>
  <c r="BN68" i="1"/>
  <c r="BN69" i="1"/>
  <c r="BN70" i="1"/>
  <c r="BN71" i="1"/>
  <c r="BN72" i="1"/>
  <c r="BN73" i="1"/>
  <c r="BN74" i="1"/>
  <c r="BN75" i="1"/>
  <c r="BO4" i="1"/>
  <c r="BO5" i="1"/>
  <c r="BO6" i="1"/>
  <c r="BO7" i="1"/>
  <c r="BO8" i="1"/>
  <c r="BO9" i="1"/>
  <c r="BO10" i="1"/>
  <c r="BO11" i="1"/>
  <c r="BO12" i="1"/>
  <c r="BO13" i="1"/>
  <c r="BO14" i="1"/>
  <c r="BO15" i="1"/>
  <c r="BO16" i="1"/>
  <c r="BO17" i="1"/>
  <c r="BO18" i="1"/>
  <c r="BO19" i="1"/>
  <c r="BO20" i="1"/>
  <c r="BO21" i="1"/>
  <c r="BO22" i="1"/>
  <c r="BO23" i="1"/>
  <c r="BO24" i="1"/>
  <c r="BO25" i="1"/>
  <c r="BO26" i="1"/>
  <c r="BO27" i="1"/>
  <c r="BO28" i="1"/>
  <c r="BO29" i="1"/>
  <c r="BO30" i="1"/>
  <c r="BO31" i="1"/>
  <c r="BO32" i="1"/>
  <c r="BO33" i="1"/>
  <c r="BO34" i="1"/>
  <c r="BO35" i="1"/>
  <c r="BO36" i="1"/>
  <c r="BO37" i="1"/>
  <c r="BO38" i="1"/>
  <c r="BO39" i="1"/>
  <c r="BO40" i="1"/>
  <c r="BO41" i="1"/>
  <c r="BO42" i="1"/>
  <c r="BO43" i="1"/>
  <c r="BO44" i="1"/>
  <c r="BO45" i="1"/>
  <c r="BO46" i="1"/>
  <c r="BO47" i="1"/>
  <c r="BO48" i="1"/>
  <c r="BO49" i="1"/>
  <c r="BO50" i="1"/>
  <c r="BO51" i="1"/>
  <c r="BO52" i="1"/>
  <c r="BO53" i="1"/>
  <c r="BO54" i="1"/>
  <c r="BO55" i="1"/>
  <c r="BO56" i="1"/>
  <c r="BO57" i="1"/>
  <c r="BO58" i="1"/>
  <c r="BO59" i="1"/>
  <c r="BO60" i="1"/>
  <c r="BO61" i="1"/>
  <c r="BO62" i="1"/>
  <c r="BO63" i="1"/>
  <c r="BO64" i="1"/>
  <c r="BO65" i="1"/>
  <c r="BO66" i="1"/>
  <c r="BO67" i="1"/>
  <c r="BO68" i="1"/>
  <c r="BO69" i="1"/>
  <c r="BO70" i="1"/>
  <c r="BO71" i="1"/>
  <c r="BO72" i="1"/>
  <c r="BO73" i="1"/>
  <c r="BO74" i="1"/>
  <c r="BO75" i="1"/>
  <c r="BP4" i="1"/>
  <c r="BP5" i="1"/>
  <c r="BP6" i="1"/>
  <c r="BP7" i="1"/>
  <c r="BP8" i="1"/>
  <c r="BP9" i="1"/>
  <c r="BP10" i="1"/>
  <c r="BP11" i="1"/>
  <c r="BP12" i="1"/>
  <c r="BP13" i="1"/>
  <c r="BP14" i="1"/>
  <c r="BP15" i="1"/>
  <c r="BP16" i="1"/>
  <c r="BP17" i="1"/>
  <c r="BP18" i="1"/>
  <c r="BP19" i="1"/>
  <c r="BP20" i="1"/>
  <c r="BP21" i="1"/>
  <c r="BP22" i="1"/>
  <c r="BP23" i="1"/>
  <c r="BP24" i="1"/>
  <c r="BP25" i="1"/>
  <c r="BP26" i="1"/>
  <c r="BP27" i="1"/>
  <c r="BP28" i="1"/>
  <c r="BP29" i="1"/>
  <c r="BP30" i="1"/>
  <c r="BP31" i="1"/>
  <c r="BP32" i="1"/>
  <c r="BP33" i="1"/>
  <c r="BP34" i="1"/>
  <c r="BP35" i="1"/>
  <c r="BP36" i="1"/>
  <c r="BP37" i="1"/>
  <c r="BP38" i="1"/>
  <c r="H38" i="1" s="1"/>
  <c r="BB38" i="1" s="1"/>
  <c r="BP39" i="1"/>
  <c r="BP40" i="1"/>
  <c r="BP41" i="1"/>
  <c r="BP42" i="1"/>
  <c r="BP43" i="1"/>
  <c r="BP44" i="1"/>
  <c r="BP45" i="1"/>
  <c r="BP46" i="1"/>
  <c r="BP47" i="1"/>
  <c r="BP48" i="1"/>
  <c r="BP49" i="1"/>
  <c r="BP50" i="1"/>
  <c r="H50" i="1" s="1"/>
  <c r="BP51" i="1"/>
  <c r="BP52" i="1"/>
  <c r="BP53" i="1"/>
  <c r="BP54" i="1"/>
  <c r="H54" i="1" s="1"/>
  <c r="BP55" i="1"/>
  <c r="H55" i="1" s="1"/>
  <c r="BP56" i="1"/>
  <c r="BP57" i="1"/>
  <c r="BP58" i="1"/>
  <c r="H58" i="1" s="1"/>
  <c r="BP59" i="1"/>
  <c r="H59" i="1" s="1"/>
  <c r="BP60" i="1"/>
  <c r="BP61" i="1"/>
  <c r="BP62" i="1"/>
  <c r="H62" i="1" s="1"/>
  <c r="BP63" i="1"/>
  <c r="H63" i="1" s="1"/>
  <c r="BP64" i="1"/>
  <c r="BP65" i="1"/>
  <c r="BP66" i="1"/>
  <c r="H66" i="1" s="1"/>
  <c r="BP67" i="1"/>
  <c r="H67" i="1" s="1"/>
  <c r="BP68" i="1"/>
  <c r="BP69" i="1"/>
  <c r="BP70" i="1"/>
  <c r="H70" i="1" s="1"/>
  <c r="BP71" i="1"/>
  <c r="BP72" i="1"/>
  <c r="BP73" i="1"/>
  <c r="BP74" i="1"/>
  <c r="H74" i="1" s="1"/>
  <c r="BP75" i="1"/>
  <c r="H75" i="1" s="1"/>
  <c r="BQ4" i="1"/>
  <c r="BQ5" i="1"/>
  <c r="BQ6" i="1"/>
  <c r="BQ7" i="1"/>
  <c r="BQ8" i="1"/>
  <c r="BQ9" i="1"/>
  <c r="BQ10" i="1"/>
  <c r="BQ11" i="1"/>
  <c r="BQ12" i="1"/>
  <c r="BQ13" i="1"/>
  <c r="BQ14" i="1"/>
  <c r="BQ15" i="1"/>
  <c r="BQ16" i="1"/>
  <c r="BQ17" i="1"/>
  <c r="BQ18" i="1"/>
  <c r="BQ19" i="1"/>
  <c r="BQ20" i="1"/>
  <c r="BQ21" i="1"/>
  <c r="BQ22" i="1"/>
  <c r="BQ23" i="1"/>
  <c r="BQ24" i="1"/>
  <c r="BQ25" i="1"/>
  <c r="BQ26" i="1"/>
  <c r="BQ27" i="1"/>
  <c r="BQ28" i="1"/>
  <c r="BQ29" i="1"/>
  <c r="BQ30" i="1"/>
  <c r="BQ31" i="1"/>
  <c r="BQ32" i="1"/>
  <c r="BQ33" i="1"/>
  <c r="BQ34" i="1"/>
  <c r="BQ35" i="1"/>
  <c r="BQ36" i="1"/>
  <c r="BQ37" i="1"/>
  <c r="BQ38" i="1"/>
  <c r="BQ39" i="1"/>
  <c r="BQ40" i="1"/>
  <c r="BQ41" i="1"/>
  <c r="BQ42" i="1"/>
  <c r="BQ43" i="1"/>
  <c r="BQ44" i="1"/>
  <c r="BQ45" i="1"/>
  <c r="BQ46" i="1"/>
  <c r="BQ47" i="1"/>
  <c r="BQ48" i="1"/>
  <c r="BQ49" i="1"/>
  <c r="BQ50" i="1"/>
  <c r="BQ51" i="1"/>
  <c r="BQ52" i="1"/>
  <c r="BQ53" i="1"/>
  <c r="BQ54" i="1"/>
  <c r="BQ55" i="1"/>
  <c r="BQ56" i="1"/>
  <c r="BQ57" i="1"/>
  <c r="BQ58" i="1"/>
  <c r="BQ59" i="1"/>
  <c r="BQ60" i="1"/>
  <c r="BQ61" i="1"/>
  <c r="BQ62" i="1"/>
  <c r="BQ63" i="1"/>
  <c r="BQ64" i="1"/>
  <c r="BQ65" i="1"/>
  <c r="BQ66" i="1"/>
  <c r="BQ67" i="1"/>
  <c r="BQ68" i="1"/>
  <c r="BQ69" i="1"/>
  <c r="BQ70" i="1"/>
  <c r="BQ71" i="1"/>
  <c r="BQ72" i="1"/>
  <c r="BQ73" i="1"/>
  <c r="BQ74" i="1"/>
  <c r="BQ75" i="1"/>
  <c r="BR4" i="1"/>
  <c r="BR5"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AD38" i="1" s="1"/>
  <c r="AL38" i="1" s="1"/>
  <c r="BR39" i="1"/>
  <c r="BR40" i="1"/>
  <c r="BR41" i="1"/>
  <c r="BR42" i="1"/>
  <c r="AD42" i="1" s="1"/>
  <c r="AL42" i="1" s="1"/>
  <c r="BR43" i="1"/>
  <c r="BR44" i="1"/>
  <c r="BR45" i="1"/>
  <c r="BR46" i="1"/>
  <c r="AD46" i="1" s="1"/>
  <c r="AL46" i="1" s="1"/>
  <c r="BR47" i="1"/>
  <c r="BR48" i="1"/>
  <c r="BR49" i="1"/>
  <c r="BR50" i="1"/>
  <c r="BR51" i="1"/>
  <c r="AD51" i="1" s="1"/>
  <c r="AL51" i="1" s="1"/>
  <c r="BR52" i="1"/>
  <c r="BR53" i="1"/>
  <c r="BR54" i="1"/>
  <c r="BR55" i="1"/>
  <c r="AD55" i="1" s="1"/>
  <c r="BR56" i="1"/>
  <c r="BR57" i="1"/>
  <c r="BR58" i="1"/>
  <c r="BR59" i="1"/>
  <c r="BR60" i="1"/>
  <c r="BR61" i="1"/>
  <c r="BR62" i="1"/>
  <c r="BR63" i="1"/>
  <c r="BR64" i="1"/>
  <c r="BR65" i="1"/>
  <c r="BR66" i="1"/>
  <c r="BR67" i="1"/>
  <c r="BR68" i="1"/>
  <c r="BR69" i="1"/>
  <c r="BR70" i="1"/>
  <c r="BR71" i="1"/>
  <c r="AD71" i="1" s="1"/>
  <c r="AL71" i="1" s="1"/>
  <c r="BR72" i="1"/>
  <c r="BR73" i="1"/>
  <c r="BR74" i="1"/>
  <c r="AD74" i="1" s="1"/>
  <c r="AL74" i="1" s="1"/>
  <c r="BR75" i="1"/>
  <c r="AD75" i="1" s="1"/>
  <c r="AL75" i="1" s="1"/>
  <c r="BS4" i="1"/>
  <c r="BS5" i="1"/>
  <c r="BS6" i="1"/>
  <c r="BS7" i="1"/>
  <c r="BS8" i="1"/>
  <c r="BS9" i="1"/>
  <c r="BS10" i="1"/>
  <c r="BS11" i="1"/>
  <c r="BS12" i="1"/>
  <c r="BS13" i="1"/>
  <c r="BS14" i="1"/>
  <c r="BS15" i="1"/>
  <c r="BS16" i="1"/>
  <c r="BS17" i="1"/>
  <c r="BS18" i="1"/>
  <c r="BS19" i="1"/>
  <c r="BS20" i="1"/>
  <c r="BS21" i="1"/>
  <c r="BS22" i="1"/>
  <c r="BS23" i="1"/>
  <c r="BS24" i="1"/>
  <c r="BS25" i="1"/>
  <c r="BS26" i="1"/>
  <c r="BS27" i="1"/>
  <c r="BS28" i="1"/>
  <c r="BS29" i="1"/>
  <c r="BS30" i="1"/>
  <c r="BS31" i="1"/>
  <c r="BS32" i="1"/>
  <c r="BS33" i="1"/>
  <c r="BS34" i="1"/>
  <c r="BS35" i="1"/>
  <c r="BS36" i="1"/>
  <c r="BS37" i="1"/>
  <c r="BS38" i="1"/>
  <c r="AE38" i="1" s="1"/>
  <c r="AM38" i="1" s="1"/>
  <c r="BS39" i="1"/>
  <c r="BS40" i="1"/>
  <c r="BS41" i="1"/>
  <c r="BS42" i="1"/>
  <c r="BS43" i="1"/>
  <c r="BS44" i="1"/>
  <c r="BS45" i="1"/>
  <c r="BS46" i="1"/>
  <c r="BS47" i="1"/>
  <c r="BS48" i="1"/>
  <c r="BS49" i="1"/>
  <c r="BS50" i="1"/>
  <c r="AE50" i="1" s="1"/>
  <c r="BS51" i="1"/>
  <c r="BS52" i="1"/>
  <c r="BS53" i="1"/>
  <c r="BS54" i="1"/>
  <c r="BS55" i="1"/>
  <c r="BS56" i="1"/>
  <c r="BS57" i="1"/>
  <c r="BS58" i="1"/>
  <c r="BS59" i="1"/>
  <c r="BS60" i="1"/>
  <c r="BS61" i="1"/>
  <c r="BS62" i="1"/>
  <c r="BS63" i="1"/>
  <c r="BS64" i="1"/>
  <c r="BS65" i="1"/>
  <c r="BS66" i="1"/>
  <c r="BS67" i="1"/>
  <c r="BS68" i="1"/>
  <c r="BS69" i="1"/>
  <c r="BS70" i="1"/>
  <c r="AE70" i="1" s="1"/>
  <c r="BS71" i="1"/>
  <c r="AE71" i="1" s="1"/>
  <c r="AM71" i="1" s="1"/>
  <c r="BS72" i="1"/>
  <c r="BS73" i="1"/>
  <c r="BS74" i="1"/>
  <c r="AE74" i="1" s="1"/>
  <c r="AM74" i="1" s="1"/>
  <c r="BS75" i="1"/>
  <c r="AE75" i="1" s="1"/>
  <c r="AM75" i="1" s="1"/>
  <c r="BT4" i="1"/>
  <c r="BT5" i="1"/>
  <c r="BT6" i="1"/>
  <c r="BT7" i="1"/>
  <c r="BT8" i="1"/>
  <c r="BT9" i="1"/>
  <c r="BT10" i="1"/>
  <c r="BT11" i="1"/>
  <c r="BT12" i="1"/>
  <c r="BT13" i="1"/>
  <c r="BT14" i="1"/>
  <c r="BT15" i="1"/>
  <c r="BT16" i="1"/>
  <c r="BT17" i="1"/>
  <c r="BT18" i="1"/>
  <c r="BT19" i="1"/>
  <c r="BT20" i="1"/>
  <c r="BT21" i="1"/>
  <c r="BT22" i="1"/>
  <c r="BT23" i="1"/>
  <c r="BT24" i="1"/>
  <c r="BT25" i="1"/>
  <c r="BT26" i="1"/>
  <c r="BT27" i="1"/>
  <c r="BT28" i="1"/>
  <c r="BT29" i="1"/>
  <c r="BT30" i="1"/>
  <c r="BT31" i="1"/>
  <c r="BT32" i="1"/>
  <c r="BT33" i="1"/>
  <c r="BT34" i="1"/>
  <c r="AF34" i="1" s="1"/>
  <c r="BT35" i="1"/>
  <c r="BT36" i="1"/>
  <c r="BT37" i="1"/>
  <c r="BT38" i="1"/>
  <c r="BT39" i="1"/>
  <c r="BT40" i="1"/>
  <c r="BT41" i="1"/>
  <c r="BT42" i="1"/>
  <c r="BT43" i="1"/>
  <c r="BT44" i="1"/>
  <c r="BT45" i="1"/>
  <c r="BT46" i="1"/>
  <c r="BT47" i="1"/>
  <c r="BT48" i="1"/>
  <c r="BT49" i="1"/>
  <c r="BT50" i="1"/>
  <c r="BT51" i="1"/>
  <c r="BT52" i="1"/>
  <c r="BT53" i="1"/>
  <c r="BT54" i="1"/>
  <c r="AF54" i="1" s="1"/>
  <c r="BT55" i="1"/>
  <c r="BT56" i="1"/>
  <c r="BT57" i="1"/>
  <c r="BT58" i="1"/>
  <c r="AF58" i="1" s="1"/>
  <c r="AN58" i="1" s="1"/>
  <c r="BT59" i="1"/>
  <c r="AF59" i="1" s="1"/>
  <c r="AN59" i="1" s="1"/>
  <c r="BT60" i="1"/>
  <c r="BT61" i="1"/>
  <c r="BT62" i="1"/>
  <c r="BT63" i="1"/>
  <c r="AF63" i="1" s="1"/>
  <c r="AN63" i="1" s="1"/>
  <c r="BT64" i="1"/>
  <c r="BT65" i="1"/>
  <c r="BT66" i="1"/>
  <c r="BT67" i="1"/>
  <c r="AF67" i="1" s="1"/>
  <c r="AN67" i="1" s="1"/>
  <c r="BT68" i="1"/>
  <c r="BT69" i="1"/>
  <c r="BT70" i="1"/>
  <c r="BT71" i="1"/>
  <c r="BT72" i="1"/>
  <c r="BT73" i="1"/>
  <c r="BT74" i="1"/>
  <c r="BT75" i="1"/>
  <c r="BU4" i="1"/>
  <c r="BU5" i="1"/>
  <c r="BU6" i="1"/>
  <c r="BU7" i="1"/>
  <c r="BU8" i="1"/>
  <c r="BU9" i="1"/>
  <c r="BU10" i="1"/>
  <c r="BU11" i="1"/>
  <c r="BU12" i="1"/>
  <c r="BU13" i="1"/>
  <c r="BU14" i="1"/>
  <c r="BU15" i="1"/>
  <c r="BU16" i="1"/>
  <c r="BU17" i="1"/>
  <c r="BU18" i="1"/>
  <c r="BU19" i="1"/>
  <c r="BU20" i="1"/>
  <c r="BU21" i="1"/>
  <c r="BU22" i="1"/>
  <c r="BU23" i="1"/>
  <c r="BU24" i="1"/>
  <c r="BU25" i="1"/>
  <c r="BU26" i="1"/>
  <c r="BU27" i="1"/>
  <c r="BU28" i="1"/>
  <c r="BU29" i="1"/>
  <c r="BU30" i="1"/>
  <c r="BU31" i="1"/>
  <c r="BU32" i="1"/>
  <c r="BU33" i="1"/>
  <c r="BU34" i="1"/>
  <c r="BU35" i="1"/>
  <c r="BU36" i="1"/>
  <c r="BU37" i="1"/>
  <c r="BU38" i="1"/>
  <c r="BU39" i="1"/>
  <c r="BU40" i="1"/>
  <c r="BU41" i="1"/>
  <c r="BU42" i="1"/>
  <c r="AG42" i="1" s="1"/>
  <c r="AO42" i="1" s="1"/>
  <c r="BU43" i="1"/>
  <c r="BU44" i="1"/>
  <c r="BU45" i="1"/>
  <c r="BU46" i="1"/>
  <c r="BU47" i="1"/>
  <c r="BU48" i="1"/>
  <c r="BU49" i="1"/>
  <c r="BU50" i="1"/>
  <c r="AG50" i="1" s="1"/>
  <c r="BU51" i="1"/>
  <c r="BU52" i="1"/>
  <c r="BU53" i="1"/>
  <c r="BU54" i="1"/>
  <c r="BU55" i="1"/>
  <c r="BU56" i="1"/>
  <c r="BU57" i="1"/>
  <c r="BU58" i="1"/>
  <c r="AG58" i="1" s="1"/>
  <c r="AO58" i="1" s="1"/>
  <c r="BU59" i="1"/>
  <c r="BU60" i="1"/>
  <c r="BU61" i="1"/>
  <c r="BU62" i="1"/>
  <c r="BU63" i="1"/>
  <c r="AG63" i="1" s="1"/>
  <c r="AO63" i="1" s="1"/>
  <c r="BU64" i="1"/>
  <c r="BU65" i="1"/>
  <c r="BU66" i="1"/>
  <c r="AG66" i="1" s="1"/>
  <c r="AO66" i="1" s="1"/>
  <c r="BU67" i="1"/>
  <c r="BU68" i="1"/>
  <c r="BU69" i="1"/>
  <c r="BU70" i="1"/>
  <c r="AG70" i="1" s="1"/>
  <c r="BU71" i="1"/>
  <c r="BU72" i="1"/>
  <c r="BU73" i="1"/>
  <c r="BU74" i="1"/>
  <c r="AG74" i="1" s="1"/>
  <c r="AO74" i="1" s="1"/>
  <c r="BU75" i="1"/>
  <c r="BV4" i="1"/>
  <c r="BV5" i="1"/>
  <c r="BV6" i="1"/>
  <c r="BV7" i="1"/>
  <c r="BV8" i="1"/>
  <c r="BV9" i="1"/>
  <c r="BV10" i="1"/>
  <c r="BV11" i="1"/>
  <c r="BV12" i="1"/>
  <c r="BV13" i="1"/>
  <c r="BV14" i="1"/>
  <c r="BV15" i="1"/>
  <c r="BV16" i="1"/>
  <c r="BV17" i="1"/>
  <c r="BV18" i="1"/>
  <c r="BV19" i="1"/>
  <c r="BV20" i="1"/>
  <c r="BV21" i="1"/>
  <c r="BV22" i="1"/>
  <c r="BV23" i="1"/>
  <c r="BV24" i="1"/>
  <c r="BV25" i="1"/>
  <c r="BV26" i="1"/>
  <c r="BV27" i="1"/>
  <c r="BV28" i="1"/>
  <c r="BV29" i="1"/>
  <c r="BV30" i="1"/>
  <c r="BV31" i="1"/>
  <c r="BV32" i="1"/>
  <c r="BV33" i="1"/>
  <c r="BV34" i="1"/>
  <c r="BV35" i="1"/>
  <c r="BV36" i="1"/>
  <c r="BV37" i="1"/>
  <c r="BV38" i="1"/>
  <c r="BV39" i="1"/>
  <c r="BV40" i="1"/>
  <c r="BV41" i="1"/>
  <c r="BV42" i="1"/>
  <c r="BV43" i="1"/>
  <c r="BV44" i="1"/>
  <c r="BV45" i="1"/>
  <c r="BV46" i="1"/>
  <c r="BV47" i="1"/>
  <c r="BV48" i="1"/>
  <c r="BV49" i="1"/>
  <c r="BV50" i="1"/>
  <c r="BV51" i="1"/>
  <c r="AH51" i="1" s="1"/>
  <c r="AP51" i="1" s="1"/>
  <c r="BV52" i="1"/>
  <c r="BV53" i="1"/>
  <c r="BV54" i="1"/>
  <c r="AH54" i="1" s="1"/>
  <c r="AP54" i="1" s="1"/>
  <c r="BV55" i="1"/>
  <c r="BV56" i="1"/>
  <c r="BV57" i="1"/>
  <c r="BV58" i="1"/>
  <c r="BV59" i="1"/>
  <c r="AH59" i="1" s="1"/>
  <c r="AP59" i="1" s="1"/>
  <c r="BV60" i="1"/>
  <c r="BV61" i="1"/>
  <c r="BV62" i="1"/>
  <c r="AH62" i="1" s="1"/>
  <c r="AP62" i="1" s="1"/>
  <c r="BV63" i="1"/>
  <c r="BV64" i="1"/>
  <c r="BV65" i="1"/>
  <c r="BV66" i="1"/>
  <c r="BV67" i="1"/>
  <c r="AH67" i="1" s="1"/>
  <c r="AP67" i="1" s="1"/>
  <c r="BV68" i="1"/>
  <c r="BV69" i="1"/>
  <c r="BV70" i="1"/>
  <c r="BV71" i="1"/>
  <c r="AH71" i="1" s="1"/>
  <c r="AP71" i="1" s="1"/>
  <c r="BV72" i="1"/>
  <c r="BV73" i="1"/>
  <c r="BV74" i="1"/>
  <c r="BV75" i="1"/>
  <c r="AH75" i="1" s="1"/>
  <c r="AP75" i="1" s="1"/>
  <c r="BW4" i="1"/>
  <c r="BW5" i="1"/>
  <c r="BW6" i="1"/>
  <c r="BW7" i="1"/>
  <c r="BW8" i="1"/>
  <c r="BW9" i="1"/>
  <c r="BW10" i="1"/>
  <c r="BW11" i="1"/>
  <c r="BW12" i="1"/>
  <c r="BW13" i="1"/>
  <c r="BW14" i="1"/>
  <c r="BW15" i="1"/>
  <c r="BW16" i="1"/>
  <c r="BW17" i="1"/>
  <c r="BW18" i="1"/>
  <c r="BW19" i="1"/>
  <c r="BW20" i="1"/>
  <c r="BW21" i="1"/>
  <c r="BW22" i="1"/>
  <c r="BW23" i="1"/>
  <c r="BW24" i="1"/>
  <c r="BW25" i="1"/>
  <c r="BW26" i="1"/>
  <c r="BW27" i="1"/>
  <c r="BW28" i="1"/>
  <c r="BW29" i="1"/>
  <c r="BW30" i="1"/>
  <c r="BW31" i="1"/>
  <c r="BW32" i="1"/>
  <c r="BW33" i="1"/>
  <c r="BW34" i="1"/>
  <c r="BW35" i="1"/>
  <c r="BW36" i="1"/>
  <c r="BW37" i="1"/>
  <c r="BW38" i="1"/>
  <c r="BW39" i="1"/>
  <c r="BW40" i="1"/>
  <c r="BW41" i="1"/>
  <c r="BW42" i="1"/>
  <c r="BW43" i="1"/>
  <c r="BW44" i="1"/>
  <c r="BW45" i="1"/>
  <c r="BW46" i="1"/>
  <c r="AI46" i="1" s="1"/>
  <c r="AQ46" i="1" s="1"/>
  <c r="BW47" i="1"/>
  <c r="BW48" i="1"/>
  <c r="BW49" i="1"/>
  <c r="BW50" i="1"/>
  <c r="BW51" i="1"/>
  <c r="BW52" i="1"/>
  <c r="BW53" i="1"/>
  <c r="BW54" i="1"/>
  <c r="BW55" i="1"/>
  <c r="BW56" i="1"/>
  <c r="BW57" i="1"/>
  <c r="BW58" i="1"/>
  <c r="BW59" i="1"/>
  <c r="BW60" i="1"/>
  <c r="BW61" i="1"/>
  <c r="BW62" i="1"/>
  <c r="AI62" i="1" s="1"/>
  <c r="AQ62" i="1" s="1"/>
  <c r="BW63" i="1"/>
  <c r="BW64" i="1"/>
  <c r="BW65" i="1"/>
  <c r="BW66" i="1"/>
  <c r="BW67" i="1"/>
  <c r="AI67" i="1" s="1"/>
  <c r="AQ67" i="1" s="1"/>
  <c r="BW68" i="1"/>
  <c r="BW69" i="1"/>
  <c r="BW70" i="1"/>
  <c r="BW71" i="1"/>
  <c r="AI71" i="1" s="1"/>
  <c r="AQ71" i="1" s="1"/>
  <c r="BW72" i="1"/>
  <c r="BW73" i="1"/>
  <c r="BW74" i="1"/>
  <c r="BW75" i="1"/>
  <c r="AI75" i="1" s="1"/>
  <c r="AQ75" i="1" s="1"/>
  <c r="BX4" i="1"/>
  <c r="BX5" i="1"/>
  <c r="BX6" i="1"/>
  <c r="BX7" i="1"/>
  <c r="BX8" i="1"/>
  <c r="BX9" i="1"/>
  <c r="BX10" i="1"/>
  <c r="BX11" i="1"/>
  <c r="BX12" i="1"/>
  <c r="BX13" i="1"/>
  <c r="BX14" i="1"/>
  <c r="BX15" i="1"/>
  <c r="BX16" i="1"/>
  <c r="BX17" i="1"/>
  <c r="BX18" i="1"/>
  <c r="BX19" i="1"/>
  <c r="BX20" i="1"/>
  <c r="BX21" i="1"/>
  <c r="BX22" i="1"/>
  <c r="BX23" i="1"/>
  <c r="BX24" i="1"/>
  <c r="BX25" i="1"/>
  <c r="BX26" i="1"/>
  <c r="BX27" i="1"/>
  <c r="BX28" i="1"/>
  <c r="BX29" i="1"/>
  <c r="BX30" i="1"/>
  <c r="BX31" i="1"/>
  <c r="BX32" i="1"/>
  <c r="BX33" i="1"/>
  <c r="BX34" i="1"/>
  <c r="AJ34" i="1" s="1"/>
  <c r="BX35" i="1"/>
  <c r="BX36" i="1"/>
  <c r="BX37" i="1"/>
  <c r="BX38" i="1"/>
  <c r="AJ38" i="1" s="1"/>
  <c r="AR38" i="1" s="1"/>
  <c r="BX39" i="1"/>
  <c r="BX40" i="1"/>
  <c r="BX41" i="1"/>
  <c r="BX42" i="1"/>
  <c r="BX43" i="1"/>
  <c r="BX44" i="1"/>
  <c r="BX45" i="1"/>
  <c r="BX46" i="1"/>
  <c r="BX47" i="1"/>
  <c r="BX48" i="1"/>
  <c r="BX49" i="1"/>
  <c r="BX50" i="1"/>
  <c r="BX51" i="1"/>
  <c r="BX52" i="1"/>
  <c r="BX53" i="1"/>
  <c r="BX54" i="1"/>
  <c r="BX55" i="1"/>
  <c r="AJ55" i="1" s="1"/>
  <c r="BX56" i="1"/>
  <c r="BX57" i="1"/>
  <c r="BX58" i="1"/>
  <c r="BX59" i="1"/>
  <c r="BX60" i="1"/>
  <c r="BX61" i="1"/>
  <c r="BX62" i="1"/>
  <c r="BX63" i="1"/>
  <c r="AJ63" i="1" s="1"/>
  <c r="AR63" i="1" s="1"/>
  <c r="BX64" i="1"/>
  <c r="BX65" i="1"/>
  <c r="BX66" i="1"/>
  <c r="BX67" i="1"/>
  <c r="BX68" i="1"/>
  <c r="BX69" i="1"/>
  <c r="BX70" i="1"/>
  <c r="AJ70" i="1" s="1"/>
  <c r="BX71" i="1"/>
  <c r="BX72" i="1"/>
  <c r="BX73" i="1"/>
  <c r="BX74" i="1"/>
  <c r="AJ74" i="1" s="1"/>
  <c r="AR74" i="1" s="1"/>
  <c r="BX75" i="1"/>
  <c r="BY4" i="1"/>
  <c r="BY5" i="1"/>
  <c r="BY6" i="1"/>
  <c r="BY7" i="1"/>
  <c r="BY8" i="1"/>
  <c r="BY9" i="1"/>
  <c r="BY10" i="1"/>
  <c r="BY11" i="1"/>
  <c r="BY12" i="1"/>
  <c r="BY13" i="1"/>
  <c r="BY14" i="1"/>
  <c r="BY15" i="1"/>
  <c r="BY16" i="1"/>
  <c r="BY17" i="1"/>
  <c r="BY18" i="1"/>
  <c r="BY19" i="1"/>
  <c r="BY20" i="1"/>
  <c r="BY21" i="1"/>
  <c r="BY22" i="1"/>
  <c r="BY23" i="1"/>
  <c r="BY24" i="1"/>
  <c r="BY25" i="1"/>
  <c r="BY26" i="1"/>
  <c r="BY27" i="1"/>
  <c r="BY28" i="1"/>
  <c r="BY29" i="1"/>
  <c r="BY30" i="1"/>
  <c r="BY31" i="1"/>
  <c r="BY32" i="1"/>
  <c r="BY33" i="1"/>
  <c r="BY34" i="1"/>
  <c r="BY35" i="1"/>
  <c r="BY36" i="1"/>
  <c r="BY37" i="1"/>
  <c r="BY38" i="1"/>
  <c r="BY39" i="1"/>
  <c r="BY40" i="1"/>
  <c r="BY41" i="1"/>
  <c r="BY42" i="1"/>
  <c r="AK42" i="1" s="1"/>
  <c r="AS42" i="1" s="1"/>
  <c r="BY43" i="1"/>
  <c r="BY44" i="1"/>
  <c r="BY45" i="1"/>
  <c r="BY46" i="1"/>
  <c r="AK46" i="1" s="1"/>
  <c r="AS46" i="1" s="1"/>
  <c r="BY47" i="1"/>
  <c r="BY48" i="1"/>
  <c r="BY49" i="1"/>
  <c r="BY50" i="1"/>
  <c r="AK50" i="1" s="1"/>
  <c r="BY51" i="1"/>
  <c r="BY52" i="1"/>
  <c r="BY53" i="1"/>
  <c r="BY54" i="1"/>
  <c r="AK54" i="1" s="1"/>
  <c r="AS54" i="1" s="1"/>
  <c r="BY55" i="1"/>
  <c r="AK55" i="1" s="1"/>
  <c r="BY56" i="1"/>
  <c r="BY57" i="1"/>
  <c r="BY58" i="1"/>
  <c r="AK58" i="1" s="1"/>
  <c r="AS58" i="1" s="1"/>
  <c r="BY59" i="1"/>
  <c r="AK59" i="1" s="1"/>
  <c r="AS59" i="1" s="1"/>
  <c r="BY60" i="1"/>
  <c r="BY61" i="1"/>
  <c r="BY62" i="1"/>
  <c r="AK62" i="1" s="1"/>
  <c r="AS62" i="1" s="1"/>
  <c r="BY63" i="1"/>
  <c r="AK63" i="1" s="1"/>
  <c r="AS63" i="1" s="1"/>
  <c r="BY64" i="1"/>
  <c r="BY65" i="1"/>
  <c r="BY66" i="1"/>
  <c r="AK66" i="1" s="1"/>
  <c r="AS66" i="1" s="1"/>
  <c r="BY67" i="1"/>
  <c r="AK67" i="1" s="1"/>
  <c r="AS67" i="1" s="1"/>
  <c r="BY68" i="1"/>
  <c r="BY69" i="1"/>
  <c r="BY70" i="1"/>
  <c r="AK70" i="1" s="1"/>
  <c r="BY71" i="1"/>
  <c r="AK71" i="1" s="1"/>
  <c r="AS71" i="1" s="1"/>
  <c r="BY72" i="1"/>
  <c r="BY73" i="1"/>
  <c r="BY74" i="1"/>
  <c r="AK74" i="1" s="1"/>
  <c r="AS74" i="1" s="1"/>
  <c r="BY75" i="1"/>
  <c r="AK75" i="1" s="1"/>
  <c r="AS75" i="1" s="1"/>
  <c r="BZ4" i="1"/>
  <c r="BZ5" i="1"/>
  <c r="BZ6" i="1"/>
  <c r="BZ7" i="1"/>
  <c r="BZ8" i="1"/>
  <c r="BZ9" i="1"/>
  <c r="BZ10" i="1"/>
  <c r="BZ11" i="1"/>
  <c r="BZ12" i="1"/>
  <c r="BZ13" i="1"/>
  <c r="BZ14" i="1"/>
  <c r="BZ15" i="1"/>
  <c r="BZ16" i="1"/>
  <c r="BZ17" i="1"/>
  <c r="BZ18" i="1"/>
  <c r="BZ19" i="1"/>
  <c r="BZ20" i="1"/>
  <c r="BZ21" i="1"/>
  <c r="BZ22" i="1"/>
  <c r="BZ23" i="1"/>
  <c r="BZ24" i="1"/>
  <c r="BZ25" i="1"/>
  <c r="BZ26" i="1"/>
  <c r="BZ27" i="1"/>
  <c r="BZ28" i="1"/>
  <c r="BZ29" i="1"/>
  <c r="BZ30" i="1"/>
  <c r="BZ31" i="1"/>
  <c r="BZ32" i="1"/>
  <c r="BZ33" i="1"/>
  <c r="BZ34" i="1"/>
  <c r="BZ35" i="1"/>
  <c r="BZ36" i="1"/>
  <c r="BZ37" i="1"/>
  <c r="BZ38" i="1"/>
  <c r="BZ39" i="1"/>
  <c r="BZ40" i="1"/>
  <c r="BZ41" i="1"/>
  <c r="BZ42" i="1"/>
  <c r="BZ43" i="1"/>
  <c r="BZ44" i="1"/>
  <c r="BZ45" i="1"/>
  <c r="BZ46" i="1"/>
  <c r="BZ47" i="1"/>
  <c r="BZ48" i="1"/>
  <c r="BZ49" i="1"/>
  <c r="BZ50" i="1"/>
  <c r="BZ51" i="1"/>
  <c r="BZ52" i="1"/>
  <c r="BZ53" i="1"/>
  <c r="BZ54" i="1"/>
  <c r="BZ55" i="1"/>
  <c r="BZ56" i="1"/>
  <c r="BZ57" i="1"/>
  <c r="BZ58" i="1"/>
  <c r="BZ59" i="1"/>
  <c r="BZ60" i="1"/>
  <c r="BZ61" i="1"/>
  <c r="BZ62" i="1"/>
  <c r="BZ63" i="1"/>
  <c r="BZ64" i="1"/>
  <c r="BZ65" i="1"/>
  <c r="BZ66" i="1"/>
  <c r="BZ67" i="1"/>
  <c r="BZ68" i="1"/>
  <c r="BZ69" i="1"/>
  <c r="BZ70" i="1"/>
  <c r="BZ71" i="1"/>
  <c r="BZ72" i="1"/>
  <c r="BZ73" i="1"/>
  <c r="BZ74" i="1"/>
  <c r="BZ75" i="1"/>
  <c r="CL75" i="1"/>
  <c r="CK75" i="1"/>
  <c r="CJ75" i="1"/>
  <c r="CI75" i="1"/>
  <c r="CH75" i="1"/>
  <c r="CG75" i="1"/>
  <c r="CF75" i="1"/>
  <c r="CE75" i="1"/>
  <c r="CD75" i="1"/>
  <c r="CC75" i="1"/>
  <c r="BM75" i="1"/>
  <c r="BL75" i="1"/>
  <c r="AB75" i="1" s="1"/>
  <c r="AZ75" i="1"/>
  <c r="AY75" i="1"/>
  <c r="AU75" i="1"/>
  <c r="BH75" i="1" s="1"/>
  <c r="AJ75" i="1"/>
  <c r="AR75" i="1" s="1"/>
  <c r="AG75" i="1"/>
  <c r="AO75" i="1" s="1"/>
  <c r="AF75" i="1"/>
  <c r="AN75" i="1" s="1"/>
  <c r="T75" i="1"/>
  <c r="G75" i="1"/>
  <c r="F75" i="1"/>
  <c r="CL74" i="1"/>
  <c r="CK74" i="1"/>
  <c r="CJ74" i="1"/>
  <c r="CI74" i="1"/>
  <c r="CH74" i="1"/>
  <c r="CG74" i="1"/>
  <c r="CF74" i="1"/>
  <c r="CE74" i="1"/>
  <c r="CD74" i="1"/>
  <c r="CC74" i="1"/>
  <c r="BM74" i="1"/>
  <c r="BL74" i="1"/>
  <c r="AA74" i="1" s="1"/>
  <c r="AZ74" i="1"/>
  <c r="AY74" i="1"/>
  <c r="AU74" i="1"/>
  <c r="AI74" i="1"/>
  <c r="AQ74" i="1" s="1"/>
  <c r="AH74" i="1"/>
  <c r="AP74" i="1" s="1"/>
  <c r="AF74" i="1"/>
  <c r="AN74" i="1" s="1"/>
  <c r="T74" i="1"/>
  <c r="G74" i="1"/>
  <c r="F74" i="1"/>
  <c r="CL73" i="1"/>
  <c r="CK73" i="1"/>
  <c r="CJ73" i="1"/>
  <c r="CI73" i="1"/>
  <c r="CH73" i="1"/>
  <c r="CG73" i="1"/>
  <c r="CF73" i="1"/>
  <c r="CE73" i="1"/>
  <c r="CD73" i="1"/>
  <c r="CC73" i="1"/>
  <c r="AI73" i="1"/>
  <c r="AQ73" i="1" s="1"/>
  <c r="AE73" i="1"/>
  <c r="AM73" i="1" s="1"/>
  <c r="H73" i="1"/>
  <c r="BM73" i="1"/>
  <c r="I73" i="1" s="1"/>
  <c r="BL73" i="1"/>
  <c r="AA73" i="1" s="1"/>
  <c r="AZ73" i="1"/>
  <c r="AY73" i="1"/>
  <c r="AU73" i="1"/>
  <c r="AV73" i="1" s="1"/>
  <c r="BI73" i="1" s="1"/>
  <c r="AK73" i="1"/>
  <c r="AS73" i="1" s="1"/>
  <c r="AJ73" i="1"/>
  <c r="AR73" i="1" s="1"/>
  <c r="AH73" i="1"/>
  <c r="AP73" i="1" s="1"/>
  <c r="AG73" i="1"/>
  <c r="AO73" i="1" s="1"/>
  <c r="AF73" i="1"/>
  <c r="AN73" i="1" s="1"/>
  <c r="AD73" i="1"/>
  <c r="AL73" i="1" s="1"/>
  <c r="AB73" i="1"/>
  <c r="Z73" i="1"/>
  <c r="X73" i="1"/>
  <c r="V73" i="1"/>
  <c r="T73" i="1"/>
  <c r="G73" i="1"/>
  <c r="F73" i="1"/>
  <c r="CL72" i="1"/>
  <c r="CK72" i="1"/>
  <c r="CJ72" i="1"/>
  <c r="CI72" i="1"/>
  <c r="CH72" i="1"/>
  <c r="CG72" i="1"/>
  <c r="CF72" i="1"/>
  <c r="CE72" i="1"/>
  <c r="CD72" i="1"/>
  <c r="CC72" i="1"/>
  <c r="AE72" i="1"/>
  <c r="AM72" i="1" s="1"/>
  <c r="BM72" i="1"/>
  <c r="I72" i="1" s="1"/>
  <c r="BL72" i="1"/>
  <c r="Z72" i="1" s="1"/>
  <c r="AZ72" i="1"/>
  <c r="AY72" i="1"/>
  <c r="AU72" i="1"/>
  <c r="BH72" i="1" s="1"/>
  <c r="AK72" i="1"/>
  <c r="AS72" i="1" s="1"/>
  <c r="AJ72" i="1"/>
  <c r="AR72" i="1" s="1"/>
  <c r="AI72" i="1"/>
  <c r="AQ72" i="1" s="1"/>
  <c r="AH72" i="1"/>
  <c r="AP72" i="1" s="1"/>
  <c r="AG72" i="1"/>
  <c r="AO72" i="1" s="1"/>
  <c r="AF72" i="1"/>
  <c r="AN72" i="1" s="1"/>
  <c r="AD72" i="1"/>
  <c r="AL72" i="1" s="1"/>
  <c r="W72" i="1"/>
  <c r="H72" i="1"/>
  <c r="G72" i="1"/>
  <c r="F72" i="1"/>
  <c r="CL71" i="1"/>
  <c r="CK71" i="1"/>
  <c r="CJ71" i="1"/>
  <c r="CI71" i="1"/>
  <c r="CH71" i="1"/>
  <c r="CG71" i="1"/>
  <c r="CF71" i="1"/>
  <c r="CE71" i="1"/>
  <c r="CD71" i="1"/>
  <c r="CC71" i="1"/>
  <c r="H71" i="1"/>
  <c r="BM71" i="1"/>
  <c r="BL71" i="1"/>
  <c r="AZ71" i="1"/>
  <c r="AY71" i="1"/>
  <c r="AU71" i="1"/>
  <c r="AV71" i="1" s="1"/>
  <c r="AJ71" i="1"/>
  <c r="AR71" i="1" s="1"/>
  <c r="AG71" i="1"/>
  <c r="AO71" i="1" s="1"/>
  <c r="AF71" i="1"/>
  <c r="AN71" i="1" s="1"/>
  <c r="G71" i="1"/>
  <c r="F71" i="1"/>
  <c r="CL70" i="1"/>
  <c r="CK70" i="1"/>
  <c r="CJ70" i="1"/>
  <c r="CI70" i="1"/>
  <c r="CH70" i="1"/>
  <c r="CG70" i="1"/>
  <c r="CF70" i="1"/>
  <c r="CE70" i="1"/>
  <c r="CD70" i="1"/>
  <c r="CC70" i="1"/>
  <c r="AD70" i="1"/>
  <c r="BM70" i="1"/>
  <c r="BL70" i="1"/>
  <c r="Z70" i="1" s="1"/>
  <c r="AZ70" i="1"/>
  <c r="AY70" i="1"/>
  <c r="AU70" i="1"/>
  <c r="AI70" i="1"/>
  <c r="AH70" i="1"/>
  <c r="AF70" i="1"/>
  <c r="AB70" i="1"/>
  <c r="AA70" i="1"/>
  <c r="Y70" i="1"/>
  <c r="W70" i="1"/>
  <c r="U70" i="1"/>
  <c r="T70" i="1"/>
  <c r="S70" i="1"/>
  <c r="G70" i="1"/>
  <c r="F70" i="1"/>
  <c r="CL69" i="1"/>
  <c r="CK69" i="1"/>
  <c r="CJ69" i="1"/>
  <c r="CI69" i="1"/>
  <c r="CH69" i="1"/>
  <c r="CG69" i="1"/>
  <c r="CF69" i="1"/>
  <c r="CE69" i="1"/>
  <c r="CD69" i="1"/>
  <c r="CC69" i="1"/>
  <c r="AK69" i="1"/>
  <c r="AS69" i="1" s="1"/>
  <c r="AH69" i="1"/>
  <c r="AP69" i="1" s="1"/>
  <c r="BM69" i="1"/>
  <c r="I69" i="1" s="1"/>
  <c r="BL69" i="1"/>
  <c r="AZ69" i="1"/>
  <c r="AY69" i="1"/>
  <c r="AU69" i="1"/>
  <c r="BH69" i="1" s="1"/>
  <c r="AJ69" i="1"/>
  <c r="AR69" i="1" s="1"/>
  <c r="AI69" i="1"/>
  <c r="AQ69" i="1" s="1"/>
  <c r="AG69" i="1"/>
  <c r="AO69" i="1" s="1"/>
  <c r="AF69" i="1"/>
  <c r="AN69" i="1" s="1"/>
  <c r="AE69" i="1"/>
  <c r="AM69" i="1" s="1"/>
  <c r="AD69" i="1"/>
  <c r="AL69" i="1" s="1"/>
  <c r="H69" i="1"/>
  <c r="G69" i="1"/>
  <c r="F69" i="1"/>
  <c r="CL68" i="1"/>
  <c r="CK68" i="1"/>
  <c r="CJ68" i="1"/>
  <c r="CI68" i="1"/>
  <c r="CH68" i="1"/>
  <c r="CG68" i="1"/>
  <c r="CF68" i="1"/>
  <c r="CE68" i="1"/>
  <c r="CD68" i="1"/>
  <c r="CC68" i="1"/>
  <c r="AK68" i="1"/>
  <c r="AS68" i="1" s="1"/>
  <c r="AJ68" i="1"/>
  <c r="AR68" i="1" s="1"/>
  <c r="AG68" i="1"/>
  <c r="AO68" i="1" s="1"/>
  <c r="AF68" i="1"/>
  <c r="AN68" i="1" s="1"/>
  <c r="H68" i="1"/>
  <c r="BM68" i="1"/>
  <c r="I68" i="1" s="1"/>
  <c r="BL68" i="1"/>
  <c r="AC68" i="1" s="1"/>
  <c r="AZ68" i="1"/>
  <c r="AY68" i="1"/>
  <c r="AU68" i="1"/>
  <c r="AV68" i="1" s="1"/>
  <c r="AI68" i="1"/>
  <c r="AQ68" i="1" s="1"/>
  <c r="AH68" i="1"/>
  <c r="AP68" i="1" s="1"/>
  <c r="AE68" i="1"/>
  <c r="AM68" i="1" s="1"/>
  <c r="AD68" i="1"/>
  <c r="AL68" i="1" s="1"/>
  <c r="X68" i="1"/>
  <c r="V68" i="1"/>
  <c r="G68" i="1"/>
  <c r="F68" i="1"/>
  <c r="CL67" i="1"/>
  <c r="CK67" i="1"/>
  <c r="CJ67" i="1"/>
  <c r="CI67" i="1"/>
  <c r="CH67" i="1"/>
  <c r="CG67" i="1"/>
  <c r="CF67" i="1"/>
  <c r="CE67" i="1"/>
  <c r="CD67" i="1"/>
  <c r="CC67" i="1"/>
  <c r="BM67" i="1"/>
  <c r="BL67" i="1"/>
  <c r="AA67" i="1" s="1"/>
  <c r="AZ67" i="1"/>
  <c r="AY67" i="1"/>
  <c r="AU67" i="1"/>
  <c r="BH67" i="1" s="1"/>
  <c r="AJ67" i="1"/>
  <c r="AR67" i="1" s="1"/>
  <c r="AG67" i="1"/>
  <c r="AO67" i="1" s="1"/>
  <c r="AE67" i="1"/>
  <c r="AM67" i="1" s="1"/>
  <c r="AD67" i="1"/>
  <c r="AC67" i="1"/>
  <c r="AB67" i="1"/>
  <c r="Z67" i="1"/>
  <c r="X67" i="1"/>
  <c r="V67" i="1"/>
  <c r="U67" i="1"/>
  <c r="G67" i="1"/>
  <c r="F67" i="1"/>
  <c r="CL66" i="1"/>
  <c r="CK66" i="1"/>
  <c r="CJ66" i="1"/>
  <c r="CI66" i="1"/>
  <c r="CH66" i="1"/>
  <c r="CG66" i="1"/>
  <c r="CF66" i="1"/>
  <c r="CE66" i="1"/>
  <c r="CD66" i="1"/>
  <c r="CC66" i="1"/>
  <c r="BM66" i="1"/>
  <c r="BH66" i="1"/>
  <c r="BL66" i="1"/>
  <c r="Y66" i="1" s="1"/>
  <c r="AZ66" i="1"/>
  <c r="AY66" i="1"/>
  <c r="BI66" i="1"/>
  <c r="AU66" i="1"/>
  <c r="AV66" i="1" s="1"/>
  <c r="AJ66" i="1"/>
  <c r="AR66" i="1" s="1"/>
  <c r="AI66" i="1"/>
  <c r="AQ66" i="1" s="1"/>
  <c r="AH66" i="1"/>
  <c r="AP66" i="1" s="1"/>
  <c r="AF66" i="1"/>
  <c r="AN66" i="1" s="1"/>
  <c r="AE66" i="1"/>
  <c r="AM66" i="1" s="1"/>
  <c r="AD66" i="1"/>
  <c r="AL66" i="1" s="1"/>
  <c r="G66" i="1"/>
  <c r="F66" i="1"/>
  <c r="CL65" i="1"/>
  <c r="CK65" i="1"/>
  <c r="CJ65" i="1"/>
  <c r="CI65" i="1"/>
  <c r="CH65" i="1"/>
  <c r="CG65" i="1"/>
  <c r="CF65" i="1"/>
  <c r="CE65" i="1"/>
  <c r="CD65" i="1"/>
  <c r="CC65" i="1"/>
  <c r="AK65" i="1"/>
  <c r="AH65" i="1"/>
  <c r="BM65" i="1"/>
  <c r="I65" i="1" s="1"/>
  <c r="BL65" i="1"/>
  <c r="X65" i="1" s="1"/>
  <c r="AZ65" i="1"/>
  <c r="AY65" i="1"/>
  <c r="AU65" i="1"/>
  <c r="AJ65" i="1"/>
  <c r="AI65" i="1"/>
  <c r="AG65" i="1"/>
  <c r="AF65" i="1"/>
  <c r="AE65" i="1"/>
  <c r="AD65" i="1"/>
  <c r="H65" i="1"/>
  <c r="G65" i="1"/>
  <c r="F65" i="1"/>
  <c r="CL64" i="1"/>
  <c r="CK64" i="1"/>
  <c r="CJ64" i="1"/>
  <c r="CI64" i="1"/>
  <c r="CH64" i="1"/>
  <c r="CG64" i="1"/>
  <c r="CF64" i="1"/>
  <c r="CE64" i="1"/>
  <c r="CD64" i="1"/>
  <c r="CC64" i="1"/>
  <c r="AK64" i="1"/>
  <c r="AS64" i="1" s="1"/>
  <c r="AF64" i="1"/>
  <c r="AN64" i="1" s="1"/>
  <c r="H64" i="1"/>
  <c r="BM64" i="1"/>
  <c r="I64" i="1" s="1"/>
  <c r="BL64" i="1"/>
  <c r="AC64" i="1" s="1"/>
  <c r="AZ64" i="1"/>
  <c r="AY64" i="1"/>
  <c r="AU64" i="1"/>
  <c r="AV64" i="1" s="1"/>
  <c r="AJ64" i="1"/>
  <c r="AR64" i="1" s="1"/>
  <c r="AI64" i="1"/>
  <c r="AQ64" i="1" s="1"/>
  <c r="AH64" i="1"/>
  <c r="AP64" i="1" s="1"/>
  <c r="AG64" i="1"/>
  <c r="AO64" i="1" s="1"/>
  <c r="AE64" i="1"/>
  <c r="AM64" i="1" s="1"/>
  <c r="AD64" i="1"/>
  <c r="AL64" i="1" s="1"/>
  <c r="AA64" i="1"/>
  <c r="V64" i="1"/>
  <c r="T64" i="1"/>
  <c r="G64" i="1"/>
  <c r="F64" i="1"/>
  <c r="CL63" i="1"/>
  <c r="CK63" i="1"/>
  <c r="CJ63" i="1"/>
  <c r="CI63" i="1"/>
  <c r="CH63" i="1"/>
  <c r="CG63" i="1"/>
  <c r="CF63" i="1"/>
  <c r="CE63" i="1"/>
  <c r="CD63" i="1"/>
  <c r="CC63" i="1"/>
  <c r="BM63" i="1"/>
  <c r="BL63" i="1"/>
  <c r="AB63" i="1" s="1"/>
  <c r="AZ63" i="1"/>
  <c r="AY63" i="1"/>
  <c r="AU63" i="1"/>
  <c r="AI63" i="1"/>
  <c r="AQ63" i="1" s="1"/>
  <c r="AH63" i="1"/>
  <c r="AP63" i="1" s="1"/>
  <c r="AE63" i="1"/>
  <c r="AM63" i="1" s="1"/>
  <c r="AD63" i="1"/>
  <c r="AL63" i="1" s="1"/>
  <c r="AC63" i="1"/>
  <c r="U63" i="1"/>
  <c r="I63" i="1"/>
  <c r="BC63" i="1" s="1"/>
  <c r="G63" i="1"/>
  <c r="F63" i="1"/>
  <c r="CL62" i="1"/>
  <c r="CK62" i="1"/>
  <c r="CJ62" i="1"/>
  <c r="CI62" i="1"/>
  <c r="CH62" i="1"/>
  <c r="CG62" i="1"/>
  <c r="CF62" i="1"/>
  <c r="CE62" i="1"/>
  <c r="CD62" i="1"/>
  <c r="CC62" i="1"/>
  <c r="BM62" i="1"/>
  <c r="BL62" i="1"/>
  <c r="AB62" i="1" s="1"/>
  <c r="AZ62" i="1"/>
  <c r="AY62" i="1"/>
  <c r="AU62" i="1"/>
  <c r="AJ62" i="1"/>
  <c r="AR62" i="1" s="1"/>
  <c r="AG62" i="1"/>
  <c r="AO62" i="1" s="1"/>
  <c r="AF62" i="1"/>
  <c r="AN62" i="1" s="1"/>
  <c r="AE62" i="1"/>
  <c r="AM62" i="1" s="1"/>
  <c r="AD62" i="1"/>
  <c r="AL62" i="1" s="1"/>
  <c r="X62" i="1"/>
  <c r="G62" i="1"/>
  <c r="F62" i="1"/>
  <c r="CL61" i="1"/>
  <c r="CK61" i="1"/>
  <c r="CJ61" i="1"/>
  <c r="CI61" i="1"/>
  <c r="CH61" i="1"/>
  <c r="CG61" i="1"/>
  <c r="CF61" i="1"/>
  <c r="CE61" i="1"/>
  <c r="CD61" i="1"/>
  <c r="CC61" i="1"/>
  <c r="AK61" i="1"/>
  <c r="AS61" i="1" s="1"/>
  <c r="AG61" i="1"/>
  <c r="AO61" i="1" s="1"/>
  <c r="I61" i="1"/>
  <c r="BM61" i="1"/>
  <c r="BL61" i="1"/>
  <c r="AA61" i="1" s="1"/>
  <c r="AZ61" i="1"/>
  <c r="AY61" i="1"/>
  <c r="AU61" i="1"/>
  <c r="AV61" i="1" s="1"/>
  <c r="BI61" i="1" s="1"/>
  <c r="AJ61" i="1"/>
  <c r="AR61" i="1" s="1"/>
  <c r="AI61" i="1"/>
  <c r="AQ61" i="1" s="1"/>
  <c r="AH61" i="1"/>
  <c r="AP61" i="1" s="1"/>
  <c r="AF61" i="1"/>
  <c r="AN61" i="1" s="1"/>
  <c r="AE61" i="1"/>
  <c r="AM61" i="1" s="1"/>
  <c r="AD61" i="1"/>
  <c r="AL61" i="1" s="1"/>
  <c r="X61" i="1"/>
  <c r="H61" i="1"/>
  <c r="G61" i="1"/>
  <c r="F61" i="1"/>
  <c r="CL60" i="1"/>
  <c r="CK60" i="1"/>
  <c r="CJ60" i="1"/>
  <c r="CI60" i="1"/>
  <c r="CH60" i="1"/>
  <c r="CG60" i="1"/>
  <c r="CF60" i="1"/>
  <c r="CE60" i="1"/>
  <c r="CD60" i="1"/>
  <c r="CC60" i="1"/>
  <c r="AK60" i="1"/>
  <c r="AG60" i="1"/>
  <c r="AD60" i="1"/>
  <c r="BM60" i="1"/>
  <c r="I60" i="1" s="1"/>
  <c r="BL60" i="1"/>
  <c r="Z60" i="1" s="1"/>
  <c r="AZ60" i="1"/>
  <c r="AY60" i="1"/>
  <c r="AU60" i="1"/>
  <c r="AV60" i="1" s="1"/>
  <c r="AJ60" i="1"/>
  <c r="AI60" i="1"/>
  <c r="AH60" i="1"/>
  <c r="AF60" i="1"/>
  <c r="AE60" i="1"/>
  <c r="W60" i="1"/>
  <c r="H60" i="1"/>
  <c r="G60" i="1"/>
  <c r="F60" i="1"/>
  <c r="CL59" i="1"/>
  <c r="CK59" i="1"/>
  <c r="CJ59" i="1"/>
  <c r="CI59" i="1"/>
  <c r="CH59" i="1"/>
  <c r="CG59" i="1"/>
  <c r="CF59" i="1"/>
  <c r="CE59" i="1"/>
  <c r="CD59" i="1"/>
  <c r="CC59" i="1"/>
  <c r="BM59" i="1"/>
  <c r="BL59" i="1"/>
  <c r="AC59" i="1" s="1"/>
  <c r="AZ59" i="1"/>
  <c r="AY59" i="1"/>
  <c r="AU59" i="1"/>
  <c r="AV59" i="1" s="1"/>
  <c r="BI59" i="1" s="1"/>
  <c r="AJ59" i="1"/>
  <c r="AR59" i="1" s="1"/>
  <c r="AI59" i="1"/>
  <c r="AQ59" i="1" s="1"/>
  <c r="AG59" i="1"/>
  <c r="AO59" i="1" s="1"/>
  <c r="AE59" i="1"/>
  <c r="AM59" i="1" s="1"/>
  <c r="AD59" i="1"/>
  <c r="AL59" i="1" s="1"/>
  <c r="T59" i="1"/>
  <c r="G59" i="1"/>
  <c r="F59" i="1"/>
  <c r="CL58" i="1"/>
  <c r="CK58" i="1"/>
  <c r="CJ58" i="1"/>
  <c r="CI58" i="1"/>
  <c r="CH58" i="1"/>
  <c r="CG58" i="1"/>
  <c r="CF58" i="1"/>
  <c r="CE58" i="1"/>
  <c r="CD58" i="1"/>
  <c r="CC58" i="1"/>
  <c r="AJ58" i="1"/>
  <c r="AR58" i="1" s="1"/>
  <c r="BM58" i="1"/>
  <c r="BL58" i="1"/>
  <c r="Z58" i="1" s="1"/>
  <c r="AZ58" i="1"/>
  <c r="AY58" i="1"/>
  <c r="AU58" i="1"/>
  <c r="BH58" i="1" s="1"/>
  <c r="AI58" i="1"/>
  <c r="AQ58" i="1" s="1"/>
  <c r="AH58" i="1"/>
  <c r="AP58" i="1" s="1"/>
  <c r="AE58" i="1"/>
  <c r="AM58" i="1" s="1"/>
  <c r="AD58" i="1"/>
  <c r="AL58" i="1" s="1"/>
  <c r="AA58" i="1"/>
  <c r="G58" i="1"/>
  <c r="F58" i="1"/>
  <c r="CL57" i="1"/>
  <c r="CK57" i="1"/>
  <c r="CJ57" i="1"/>
  <c r="CI57" i="1"/>
  <c r="CH57" i="1"/>
  <c r="CG57" i="1"/>
  <c r="CF57" i="1"/>
  <c r="CE57" i="1"/>
  <c r="CD57" i="1"/>
  <c r="CC57" i="1"/>
  <c r="AI57" i="1"/>
  <c r="AQ57" i="1" s="1"/>
  <c r="AH57" i="1"/>
  <c r="AP57" i="1" s="1"/>
  <c r="BM57" i="1"/>
  <c r="I57" i="1" s="1"/>
  <c r="BL57" i="1"/>
  <c r="AA57" i="1" s="1"/>
  <c r="AZ57" i="1"/>
  <c r="AY57" i="1"/>
  <c r="AU57" i="1"/>
  <c r="AV57" i="1" s="1"/>
  <c r="BI57" i="1" s="1"/>
  <c r="AK57" i="1"/>
  <c r="AS57" i="1" s="1"/>
  <c r="AJ57" i="1"/>
  <c r="AR57" i="1" s="1"/>
  <c r="AG57" i="1"/>
  <c r="AO57" i="1" s="1"/>
  <c r="AF57" i="1"/>
  <c r="AN57" i="1" s="1"/>
  <c r="AE57" i="1"/>
  <c r="AM57" i="1" s="1"/>
  <c r="AD57" i="1"/>
  <c r="AL57" i="1" s="1"/>
  <c r="T57" i="1"/>
  <c r="H57" i="1"/>
  <c r="G57" i="1"/>
  <c r="F57" i="1"/>
  <c r="CL56" i="1"/>
  <c r="CK56" i="1"/>
  <c r="CJ56" i="1"/>
  <c r="CI56" i="1"/>
  <c r="CH56" i="1"/>
  <c r="CG56" i="1"/>
  <c r="CF56" i="1"/>
  <c r="CE56" i="1"/>
  <c r="CD56" i="1"/>
  <c r="CC56" i="1"/>
  <c r="AH56" i="1"/>
  <c r="AP56" i="1" s="1"/>
  <c r="AE56" i="1"/>
  <c r="AM56" i="1" s="1"/>
  <c r="AD56" i="1"/>
  <c r="AL56" i="1" s="1"/>
  <c r="H56" i="1"/>
  <c r="BM56" i="1"/>
  <c r="BL56" i="1"/>
  <c r="U56" i="1" s="1"/>
  <c r="AZ56" i="1"/>
  <c r="AY56" i="1"/>
  <c r="AU56" i="1"/>
  <c r="BH56" i="1" s="1"/>
  <c r="AK56" i="1"/>
  <c r="AS56" i="1" s="1"/>
  <c r="AJ56" i="1"/>
  <c r="AR56" i="1" s="1"/>
  <c r="AI56" i="1"/>
  <c r="AQ56" i="1" s="1"/>
  <c r="AG56" i="1"/>
  <c r="AO56" i="1" s="1"/>
  <c r="AF56" i="1"/>
  <c r="AN56" i="1" s="1"/>
  <c r="G56" i="1"/>
  <c r="F56" i="1"/>
  <c r="CL55" i="1"/>
  <c r="CK55" i="1"/>
  <c r="CJ55" i="1"/>
  <c r="CI55" i="1"/>
  <c r="CH55" i="1"/>
  <c r="CG55" i="1"/>
  <c r="CF55" i="1"/>
  <c r="CE55" i="1"/>
  <c r="CD55" i="1"/>
  <c r="CC55" i="1"/>
  <c r="AG55" i="1"/>
  <c r="BM55" i="1"/>
  <c r="BL55" i="1"/>
  <c r="AZ55" i="1"/>
  <c r="AY55" i="1"/>
  <c r="AU55" i="1"/>
  <c r="AI55" i="1"/>
  <c r="AH55" i="1"/>
  <c r="AF55" i="1"/>
  <c r="AE55" i="1"/>
  <c r="X55" i="1"/>
  <c r="G55" i="1"/>
  <c r="F55" i="1"/>
  <c r="CL54" i="1"/>
  <c r="CK54" i="1"/>
  <c r="CJ54" i="1"/>
  <c r="CI54" i="1"/>
  <c r="CH54" i="1"/>
  <c r="CG54" i="1"/>
  <c r="CF54" i="1"/>
  <c r="CE54" i="1"/>
  <c r="CD54" i="1"/>
  <c r="CC54" i="1"/>
  <c r="AI54" i="1"/>
  <c r="AQ54" i="1" s="1"/>
  <c r="BM54" i="1"/>
  <c r="BL54" i="1"/>
  <c r="AC54" i="1" s="1"/>
  <c r="AZ54" i="1"/>
  <c r="AY54" i="1"/>
  <c r="AU54" i="1"/>
  <c r="BH54" i="1" s="1"/>
  <c r="AJ54" i="1"/>
  <c r="AR54" i="1" s="1"/>
  <c r="AG54" i="1"/>
  <c r="AO54" i="1" s="1"/>
  <c r="AE54" i="1"/>
  <c r="AM54" i="1" s="1"/>
  <c r="AD54" i="1"/>
  <c r="AL54" i="1" s="1"/>
  <c r="AA54" i="1"/>
  <c r="Z54" i="1"/>
  <c r="W54" i="1"/>
  <c r="V54" i="1"/>
  <c r="S54" i="1"/>
  <c r="I54" i="1"/>
  <c r="G54" i="1"/>
  <c r="F54" i="1"/>
  <c r="CL53" i="1"/>
  <c r="CK53" i="1"/>
  <c r="CJ53" i="1"/>
  <c r="CI53" i="1"/>
  <c r="CH53" i="1"/>
  <c r="CG53" i="1"/>
  <c r="CF53" i="1"/>
  <c r="CE53" i="1"/>
  <c r="CD53" i="1"/>
  <c r="CC53" i="1"/>
  <c r="H53" i="1"/>
  <c r="BM53" i="1"/>
  <c r="BL53" i="1"/>
  <c r="X53" i="1" s="1"/>
  <c r="AZ53" i="1"/>
  <c r="AY53" i="1"/>
  <c r="AU53" i="1"/>
  <c r="AV53" i="1" s="1"/>
  <c r="BI53" i="1" s="1"/>
  <c r="AK53" i="1"/>
  <c r="AS53" i="1" s="1"/>
  <c r="AJ53" i="1"/>
  <c r="AR53" i="1" s="1"/>
  <c r="AI53" i="1"/>
  <c r="AQ53" i="1" s="1"/>
  <c r="AH53" i="1"/>
  <c r="AP53" i="1" s="1"/>
  <c r="AG53" i="1"/>
  <c r="AO53" i="1" s="1"/>
  <c r="AF53" i="1"/>
  <c r="AN53" i="1" s="1"/>
  <c r="AE53" i="1"/>
  <c r="AM53" i="1" s="1"/>
  <c r="AD53" i="1"/>
  <c r="AL53" i="1" s="1"/>
  <c r="V53" i="1"/>
  <c r="I53" i="1"/>
  <c r="G53" i="1"/>
  <c r="F53" i="1"/>
  <c r="CL52" i="1"/>
  <c r="CK52" i="1"/>
  <c r="CJ52" i="1"/>
  <c r="CI52" i="1"/>
  <c r="CH52" i="1"/>
  <c r="CG52" i="1"/>
  <c r="CF52" i="1"/>
  <c r="CE52" i="1"/>
  <c r="CD52" i="1"/>
  <c r="CC52" i="1"/>
  <c r="AD52" i="1"/>
  <c r="AL52" i="1" s="1"/>
  <c r="BM52" i="1"/>
  <c r="I52" i="1" s="1"/>
  <c r="BL52" i="1"/>
  <c r="Z52" i="1" s="1"/>
  <c r="AZ52" i="1"/>
  <c r="AY52" i="1"/>
  <c r="AU52" i="1"/>
  <c r="BH52" i="1" s="1"/>
  <c r="AK52" i="1"/>
  <c r="AS52" i="1" s="1"/>
  <c r="AJ52" i="1"/>
  <c r="AR52" i="1" s="1"/>
  <c r="AI52" i="1"/>
  <c r="AQ52" i="1" s="1"/>
  <c r="AH52" i="1"/>
  <c r="AP52" i="1" s="1"/>
  <c r="AG52" i="1"/>
  <c r="AO52" i="1" s="1"/>
  <c r="AF52" i="1"/>
  <c r="AN52" i="1" s="1"/>
  <c r="AE52" i="1"/>
  <c r="AM52" i="1" s="1"/>
  <c r="AB52" i="1"/>
  <c r="W52" i="1"/>
  <c r="H52" i="1"/>
  <c r="G52" i="1"/>
  <c r="F52" i="1"/>
  <c r="CL51" i="1"/>
  <c r="CK51" i="1"/>
  <c r="CJ51" i="1"/>
  <c r="CI51" i="1"/>
  <c r="CH51" i="1"/>
  <c r="CG51" i="1"/>
  <c r="CF51" i="1"/>
  <c r="CE51" i="1"/>
  <c r="CD51" i="1"/>
  <c r="CC51" i="1"/>
  <c r="AK51" i="1"/>
  <c r="AS51" i="1" s="1"/>
  <c r="H51" i="1"/>
  <c r="BM51" i="1"/>
  <c r="I51" i="1" s="1"/>
  <c r="BL51" i="1"/>
  <c r="AC51" i="1" s="1"/>
  <c r="AZ51" i="1"/>
  <c r="AY51" i="1"/>
  <c r="AU51" i="1"/>
  <c r="AJ51" i="1"/>
  <c r="AR51" i="1" s="1"/>
  <c r="AI51" i="1"/>
  <c r="AQ51" i="1" s="1"/>
  <c r="AG51" i="1"/>
  <c r="AO51" i="1" s="1"/>
  <c r="AF51" i="1"/>
  <c r="AN51" i="1" s="1"/>
  <c r="AE51" i="1"/>
  <c r="AM51" i="1" s="1"/>
  <c r="T51" i="1"/>
  <c r="G51" i="1"/>
  <c r="F51" i="1"/>
  <c r="CL50" i="1"/>
  <c r="CK50" i="1"/>
  <c r="CJ50" i="1"/>
  <c r="CI50" i="1"/>
  <c r="CH50" i="1"/>
  <c r="CG50" i="1"/>
  <c r="CF50" i="1"/>
  <c r="CE50" i="1"/>
  <c r="CD50" i="1"/>
  <c r="CC50" i="1"/>
  <c r="AJ50" i="1"/>
  <c r="BM50" i="1"/>
  <c r="BL50" i="1"/>
  <c r="Z50" i="1" s="1"/>
  <c r="AZ50" i="1"/>
  <c r="AY50" i="1"/>
  <c r="AU50" i="1"/>
  <c r="AI50" i="1"/>
  <c r="CS51" i="1" s="1"/>
  <c r="DB51" i="1" s="1"/>
  <c r="AH50" i="1"/>
  <c r="AF50" i="1"/>
  <c r="AD50" i="1"/>
  <c r="CN54" i="1" s="1"/>
  <c r="CW54" i="1" s="1"/>
  <c r="AA50" i="1"/>
  <c r="S50" i="1"/>
  <c r="I50" i="1"/>
  <c r="G50" i="1"/>
  <c r="F50" i="1"/>
  <c r="CL49" i="1"/>
  <c r="CK49" i="1"/>
  <c r="CJ49" i="1"/>
  <c r="CI49" i="1"/>
  <c r="CH49" i="1"/>
  <c r="CG49" i="1"/>
  <c r="CF49" i="1"/>
  <c r="CE49" i="1"/>
  <c r="CD49" i="1"/>
  <c r="CC49" i="1"/>
  <c r="AI49" i="1"/>
  <c r="AQ49" i="1" s="1"/>
  <c r="AH49" i="1"/>
  <c r="AP49" i="1" s="1"/>
  <c r="H49" i="1"/>
  <c r="BM49" i="1"/>
  <c r="I49" i="1" s="1"/>
  <c r="BL49" i="1"/>
  <c r="AA49" i="1" s="1"/>
  <c r="AZ49" i="1"/>
  <c r="AY49" i="1"/>
  <c r="AU49" i="1"/>
  <c r="AV49" i="1" s="1"/>
  <c r="BI49" i="1" s="1"/>
  <c r="AK49" i="1"/>
  <c r="AS49" i="1" s="1"/>
  <c r="AJ49" i="1"/>
  <c r="AR49" i="1" s="1"/>
  <c r="AG49" i="1"/>
  <c r="AO49" i="1" s="1"/>
  <c r="AF49" i="1"/>
  <c r="AN49" i="1" s="1"/>
  <c r="AE49" i="1"/>
  <c r="AM49" i="1" s="1"/>
  <c r="AD49" i="1"/>
  <c r="AL49" i="1" s="1"/>
  <c r="X49" i="1"/>
  <c r="G49" i="1"/>
  <c r="F49" i="1"/>
  <c r="CL48" i="1"/>
  <c r="CK48" i="1"/>
  <c r="CJ48" i="1"/>
  <c r="CI48" i="1"/>
  <c r="CH48" i="1"/>
  <c r="CG48" i="1"/>
  <c r="CF48" i="1"/>
  <c r="CE48" i="1"/>
  <c r="CD48" i="1"/>
  <c r="CC48" i="1"/>
  <c r="AK48" i="1"/>
  <c r="AS48" i="1" s="1"/>
  <c r="AH48" i="1"/>
  <c r="AP48" i="1" s="1"/>
  <c r="AD48" i="1"/>
  <c r="AL48" i="1" s="1"/>
  <c r="BM48" i="1"/>
  <c r="I48" i="1" s="1"/>
  <c r="BL48" i="1"/>
  <c r="Z48" i="1" s="1"/>
  <c r="AZ48" i="1"/>
  <c r="AY48" i="1"/>
  <c r="AU48" i="1"/>
  <c r="AV48" i="1" s="1"/>
  <c r="AJ48" i="1"/>
  <c r="AR48" i="1" s="1"/>
  <c r="AI48" i="1"/>
  <c r="AQ48" i="1" s="1"/>
  <c r="AG48" i="1"/>
  <c r="AO48" i="1" s="1"/>
  <c r="AF48" i="1"/>
  <c r="AN48" i="1" s="1"/>
  <c r="AE48" i="1"/>
  <c r="AM48" i="1" s="1"/>
  <c r="Y48" i="1"/>
  <c r="W48" i="1"/>
  <c r="H48" i="1"/>
  <c r="G48" i="1"/>
  <c r="F48" i="1"/>
  <c r="CL47" i="1"/>
  <c r="CK47" i="1"/>
  <c r="CJ47" i="1"/>
  <c r="CI47" i="1"/>
  <c r="CH47" i="1"/>
  <c r="CG47" i="1"/>
  <c r="CF47" i="1"/>
  <c r="CE47" i="1"/>
  <c r="CD47" i="1"/>
  <c r="CC47" i="1"/>
  <c r="AK47" i="1"/>
  <c r="AS47" i="1" s="1"/>
  <c r="AJ47" i="1"/>
  <c r="AR47" i="1" s="1"/>
  <c r="AG47" i="1"/>
  <c r="AO47" i="1" s="1"/>
  <c r="H47" i="1"/>
  <c r="BM47" i="1"/>
  <c r="I47" i="1" s="1"/>
  <c r="BL47" i="1"/>
  <c r="AC47" i="1" s="1"/>
  <c r="AZ47" i="1"/>
  <c r="AY47" i="1"/>
  <c r="AU47" i="1"/>
  <c r="AI47" i="1"/>
  <c r="AQ47" i="1" s="1"/>
  <c r="AH47" i="1"/>
  <c r="AP47" i="1" s="1"/>
  <c r="AF47" i="1"/>
  <c r="AN47" i="1" s="1"/>
  <c r="AE47" i="1"/>
  <c r="AM47" i="1" s="1"/>
  <c r="AD47" i="1"/>
  <c r="AL47" i="1" s="1"/>
  <c r="G47" i="1"/>
  <c r="F47" i="1"/>
  <c r="CL46" i="1"/>
  <c r="CK46" i="1"/>
  <c r="CJ46" i="1"/>
  <c r="CI46" i="1"/>
  <c r="CH46" i="1"/>
  <c r="CG46" i="1"/>
  <c r="CF46" i="1"/>
  <c r="CE46" i="1"/>
  <c r="CD46" i="1"/>
  <c r="CC46" i="1"/>
  <c r="AE46" i="1"/>
  <c r="AM46" i="1" s="1"/>
  <c r="BM46" i="1"/>
  <c r="BL46" i="1"/>
  <c r="AZ46" i="1"/>
  <c r="AY46" i="1"/>
  <c r="AU46" i="1"/>
  <c r="AJ46" i="1"/>
  <c r="AR46" i="1" s="1"/>
  <c r="AH46" i="1"/>
  <c r="AP46" i="1" s="1"/>
  <c r="AG46" i="1"/>
  <c r="AO46" i="1" s="1"/>
  <c r="AF46" i="1"/>
  <c r="AN46" i="1" s="1"/>
  <c r="AC46" i="1"/>
  <c r="AB46" i="1"/>
  <c r="AA46" i="1"/>
  <c r="Z46" i="1"/>
  <c r="Y46" i="1"/>
  <c r="X46" i="1"/>
  <c r="W46" i="1"/>
  <c r="V46" i="1"/>
  <c r="U46" i="1"/>
  <c r="T46" i="1"/>
  <c r="S46" i="1"/>
  <c r="H46" i="1"/>
  <c r="G46" i="1"/>
  <c r="F46" i="1"/>
  <c r="CL45" i="1"/>
  <c r="CK45" i="1"/>
  <c r="CJ45" i="1"/>
  <c r="CI45" i="1"/>
  <c r="CH45" i="1"/>
  <c r="CG45" i="1"/>
  <c r="CF45" i="1"/>
  <c r="CE45" i="1"/>
  <c r="CD45" i="1"/>
  <c r="CC45" i="1"/>
  <c r="AJ45" i="1"/>
  <c r="AE45" i="1"/>
  <c r="H45" i="1"/>
  <c r="BM45" i="1"/>
  <c r="I45" i="1" s="1"/>
  <c r="BL45" i="1"/>
  <c r="AA45" i="1" s="1"/>
  <c r="AZ45" i="1"/>
  <c r="AY45" i="1"/>
  <c r="AU45" i="1"/>
  <c r="AV45" i="1" s="1"/>
  <c r="BI45" i="1" s="1"/>
  <c r="AK45" i="1"/>
  <c r="AS45" i="1" s="1"/>
  <c r="AI45" i="1"/>
  <c r="AH45" i="1"/>
  <c r="AG45" i="1"/>
  <c r="AF45" i="1"/>
  <c r="AN45" i="1" s="1"/>
  <c r="AD45" i="1"/>
  <c r="AL45" i="1" s="1"/>
  <c r="X45" i="1"/>
  <c r="G45" i="1"/>
  <c r="F45" i="1"/>
  <c r="BB45" i="1" s="1"/>
  <c r="CL44" i="1"/>
  <c r="CK44" i="1"/>
  <c r="CJ44" i="1"/>
  <c r="CI44" i="1"/>
  <c r="CH44" i="1"/>
  <c r="CG44" i="1"/>
  <c r="CF44" i="1"/>
  <c r="CE44" i="1"/>
  <c r="CD44" i="1"/>
  <c r="CC44" i="1"/>
  <c r="AK44" i="1"/>
  <c r="AS44" i="1" s="1"/>
  <c r="AJ44" i="1"/>
  <c r="AR44" i="1" s="1"/>
  <c r="AG44" i="1"/>
  <c r="AO44" i="1" s="1"/>
  <c r="H44" i="1"/>
  <c r="BM44" i="1"/>
  <c r="I44" i="1" s="1"/>
  <c r="BL44" i="1"/>
  <c r="AB44" i="1" s="1"/>
  <c r="AZ44" i="1"/>
  <c r="AY44" i="1"/>
  <c r="AU44" i="1"/>
  <c r="AV44" i="1" s="1"/>
  <c r="AI44" i="1"/>
  <c r="AQ44" i="1" s="1"/>
  <c r="AH44" i="1"/>
  <c r="AP44" i="1" s="1"/>
  <c r="AF44" i="1"/>
  <c r="AN44" i="1" s="1"/>
  <c r="AE44" i="1"/>
  <c r="AM44" i="1" s="1"/>
  <c r="AD44" i="1"/>
  <c r="G44" i="1"/>
  <c r="F44" i="1"/>
  <c r="CL43" i="1"/>
  <c r="CK43" i="1"/>
  <c r="CJ43" i="1"/>
  <c r="CI43" i="1"/>
  <c r="CH43" i="1"/>
  <c r="CG43" i="1"/>
  <c r="CF43" i="1"/>
  <c r="CE43" i="1"/>
  <c r="CD43" i="1"/>
  <c r="CC43" i="1"/>
  <c r="AI43" i="1"/>
  <c r="AQ43" i="1" s="1"/>
  <c r="AE43" i="1"/>
  <c r="AM43" i="1" s="1"/>
  <c r="H43" i="1"/>
  <c r="BM43" i="1"/>
  <c r="I43" i="1" s="1"/>
  <c r="BL43" i="1"/>
  <c r="AA43" i="1" s="1"/>
  <c r="AZ43" i="1"/>
  <c r="AY43" i="1"/>
  <c r="AU43" i="1"/>
  <c r="AV43" i="1" s="1"/>
  <c r="BI43" i="1" s="1"/>
  <c r="AK43" i="1"/>
  <c r="AS43" i="1" s="1"/>
  <c r="AJ43" i="1"/>
  <c r="AR43" i="1" s="1"/>
  <c r="AH43" i="1"/>
  <c r="AP43" i="1" s="1"/>
  <c r="AG43" i="1"/>
  <c r="AO43" i="1" s="1"/>
  <c r="AF43" i="1"/>
  <c r="AN43" i="1" s="1"/>
  <c r="AD43" i="1"/>
  <c r="G43" i="1"/>
  <c r="F43" i="1"/>
  <c r="CL42" i="1"/>
  <c r="CK42" i="1"/>
  <c r="CJ42" i="1"/>
  <c r="CI42" i="1"/>
  <c r="CH42" i="1"/>
  <c r="CG42" i="1"/>
  <c r="CF42" i="1"/>
  <c r="CE42" i="1"/>
  <c r="CD42" i="1"/>
  <c r="CC42" i="1"/>
  <c r="AE42" i="1"/>
  <c r="AM42" i="1" s="1"/>
  <c r="BM42" i="1"/>
  <c r="BL42" i="1"/>
  <c r="AA42" i="1" s="1"/>
  <c r="AZ42" i="1"/>
  <c r="AY42" i="1"/>
  <c r="AU42" i="1"/>
  <c r="AV42" i="1" s="1"/>
  <c r="BI42" i="1" s="1"/>
  <c r="AJ42" i="1"/>
  <c r="AR42" i="1" s="1"/>
  <c r="AI42" i="1"/>
  <c r="AQ42" i="1" s="1"/>
  <c r="AH42" i="1"/>
  <c r="AP42" i="1" s="1"/>
  <c r="AF42" i="1"/>
  <c r="AN42" i="1" s="1"/>
  <c r="T42" i="1"/>
  <c r="H42" i="1"/>
  <c r="G42" i="1"/>
  <c r="F42" i="1"/>
  <c r="CL41" i="1"/>
  <c r="CK41" i="1"/>
  <c r="CJ41" i="1"/>
  <c r="CI41" i="1"/>
  <c r="CH41" i="1"/>
  <c r="CG41" i="1"/>
  <c r="CF41" i="1"/>
  <c r="CE41" i="1"/>
  <c r="CD41" i="1"/>
  <c r="CC41" i="1"/>
  <c r="AH41" i="1"/>
  <c r="AP41" i="1" s="1"/>
  <c r="AD41" i="1"/>
  <c r="AL41" i="1" s="1"/>
  <c r="BM41" i="1"/>
  <c r="I41" i="1" s="1"/>
  <c r="BL41" i="1"/>
  <c r="AA41" i="1" s="1"/>
  <c r="AZ41" i="1"/>
  <c r="AY41" i="1"/>
  <c r="AU41" i="1"/>
  <c r="AV41" i="1" s="1"/>
  <c r="BI41" i="1" s="1"/>
  <c r="AK41" i="1"/>
  <c r="AS41" i="1" s="1"/>
  <c r="AJ41" i="1"/>
  <c r="AR41" i="1" s="1"/>
  <c r="AI41" i="1"/>
  <c r="AQ41" i="1" s="1"/>
  <c r="AG41" i="1"/>
  <c r="AO41" i="1" s="1"/>
  <c r="AF41" i="1"/>
  <c r="AN41" i="1" s="1"/>
  <c r="AE41" i="1"/>
  <c r="AM41" i="1" s="1"/>
  <c r="H41" i="1"/>
  <c r="G41" i="1"/>
  <c r="F41" i="1"/>
  <c r="CL40" i="1"/>
  <c r="CK40" i="1"/>
  <c r="CJ40" i="1"/>
  <c r="CI40" i="1"/>
  <c r="CH40" i="1"/>
  <c r="CG40" i="1"/>
  <c r="CF40" i="1"/>
  <c r="CE40" i="1"/>
  <c r="CD40" i="1"/>
  <c r="CC40" i="1"/>
  <c r="AK40" i="1"/>
  <c r="AJ40" i="1"/>
  <c r="AG40" i="1"/>
  <c r="H40" i="1"/>
  <c r="BM40" i="1"/>
  <c r="I40" i="1" s="1"/>
  <c r="BL40" i="1"/>
  <c r="AC40" i="1" s="1"/>
  <c r="AZ40" i="1"/>
  <c r="AY40" i="1"/>
  <c r="AU40" i="1"/>
  <c r="AV40" i="1" s="1"/>
  <c r="AI40" i="1"/>
  <c r="CS44" i="1" s="1"/>
  <c r="AH40" i="1"/>
  <c r="AF40" i="1"/>
  <c r="AE40" i="1"/>
  <c r="AD40" i="1"/>
  <c r="G40" i="1"/>
  <c r="F40" i="1"/>
  <c r="CL39" i="1"/>
  <c r="CK39" i="1"/>
  <c r="CJ39" i="1"/>
  <c r="CI39" i="1"/>
  <c r="CH39" i="1"/>
  <c r="CG39" i="1"/>
  <c r="CF39" i="1"/>
  <c r="CE39" i="1"/>
  <c r="CD39" i="1"/>
  <c r="CC39" i="1"/>
  <c r="AI39" i="1"/>
  <c r="AQ39" i="1" s="1"/>
  <c r="AE39" i="1"/>
  <c r="AM39" i="1" s="1"/>
  <c r="H39" i="1"/>
  <c r="BM39" i="1"/>
  <c r="I39" i="1" s="1"/>
  <c r="BL39" i="1"/>
  <c r="Z39" i="1" s="1"/>
  <c r="AZ39" i="1"/>
  <c r="AY39" i="1"/>
  <c r="AU39" i="1"/>
  <c r="AK39" i="1"/>
  <c r="AS39" i="1" s="1"/>
  <c r="AJ39" i="1"/>
  <c r="AR39" i="1" s="1"/>
  <c r="AH39" i="1"/>
  <c r="AP39" i="1" s="1"/>
  <c r="AG39" i="1"/>
  <c r="AO39" i="1" s="1"/>
  <c r="AF39" i="1"/>
  <c r="AN39" i="1" s="1"/>
  <c r="AD39" i="1"/>
  <c r="G39" i="1"/>
  <c r="F39" i="1"/>
  <c r="CL38" i="1"/>
  <c r="CK38" i="1"/>
  <c r="CJ38" i="1"/>
  <c r="CI38" i="1"/>
  <c r="CH38" i="1"/>
  <c r="CG38" i="1"/>
  <c r="CF38" i="1"/>
  <c r="CE38" i="1"/>
  <c r="CD38" i="1"/>
  <c r="CC38" i="1"/>
  <c r="BM38" i="1"/>
  <c r="BL38" i="1"/>
  <c r="AA38" i="1" s="1"/>
  <c r="AZ38" i="1"/>
  <c r="AY38" i="1"/>
  <c r="AU38" i="1"/>
  <c r="AV38" i="1" s="1"/>
  <c r="BI38" i="1" s="1"/>
  <c r="AK38" i="1"/>
  <c r="AS38" i="1" s="1"/>
  <c r="AI38" i="1"/>
  <c r="AQ38" i="1" s="1"/>
  <c r="AH38" i="1"/>
  <c r="AP38" i="1" s="1"/>
  <c r="AG38" i="1"/>
  <c r="AO38" i="1" s="1"/>
  <c r="AF38" i="1"/>
  <c r="AN38" i="1" s="1"/>
  <c r="AB38" i="1"/>
  <c r="U38" i="1"/>
  <c r="G38" i="1"/>
  <c r="F38" i="1"/>
  <c r="CL37" i="1"/>
  <c r="CK37" i="1"/>
  <c r="CJ37" i="1"/>
  <c r="CI37" i="1"/>
  <c r="CH37" i="1"/>
  <c r="CG37" i="1"/>
  <c r="CF37" i="1"/>
  <c r="CE37" i="1"/>
  <c r="CD37" i="1"/>
  <c r="CC37" i="1"/>
  <c r="AH37" i="1"/>
  <c r="AP37" i="1" s="1"/>
  <c r="AD37" i="1"/>
  <c r="AL37" i="1" s="1"/>
  <c r="I37" i="1"/>
  <c r="BM37" i="1"/>
  <c r="BL37" i="1"/>
  <c r="AA37" i="1" s="1"/>
  <c r="AZ37" i="1"/>
  <c r="AY37" i="1"/>
  <c r="AU37" i="1"/>
  <c r="AV37" i="1" s="1"/>
  <c r="BI37" i="1" s="1"/>
  <c r="AK37" i="1"/>
  <c r="AS37" i="1" s="1"/>
  <c r="AJ37" i="1"/>
  <c r="AR37" i="1" s="1"/>
  <c r="AI37" i="1"/>
  <c r="AQ37" i="1" s="1"/>
  <c r="AG37" i="1"/>
  <c r="AO37" i="1" s="1"/>
  <c r="AF37" i="1"/>
  <c r="AN37" i="1" s="1"/>
  <c r="AE37" i="1"/>
  <c r="AM37" i="1" s="1"/>
  <c r="X37" i="1"/>
  <c r="H37" i="1"/>
  <c r="G37" i="1"/>
  <c r="F37" i="1"/>
  <c r="CL36" i="1"/>
  <c r="CK36" i="1"/>
  <c r="CJ36" i="1"/>
  <c r="CI36" i="1"/>
  <c r="CH36" i="1"/>
  <c r="CG36" i="1"/>
  <c r="CF36" i="1"/>
  <c r="CE36" i="1"/>
  <c r="CD36" i="1"/>
  <c r="CC36" i="1"/>
  <c r="AK36" i="1"/>
  <c r="AS36" i="1" s="1"/>
  <c r="AJ36" i="1"/>
  <c r="AR36" i="1" s="1"/>
  <c r="AG36" i="1"/>
  <c r="AO36" i="1" s="1"/>
  <c r="H36" i="1"/>
  <c r="BM36" i="1"/>
  <c r="BL36" i="1"/>
  <c r="AC36" i="1" s="1"/>
  <c r="AZ36" i="1"/>
  <c r="AY36" i="1"/>
  <c r="AU36" i="1"/>
  <c r="AV36" i="1" s="1"/>
  <c r="AI36" i="1"/>
  <c r="AQ36" i="1" s="1"/>
  <c r="AH36" i="1"/>
  <c r="AP36" i="1" s="1"/>
  <c r="AF36" i="1"/>
  <c r="AN36" i="1" s="1"/>
  <c r="AE36" i="1"/>
  <c r="AM36" i="1" s="1"/>
  <c r="AD36" i="1"/>
  <c r="AL36" i="1" s="1"/>
  <c r="V36" i="1"/>
  <c r="I36" i="1"/>
  <c r="G36" i="1"/>
  <c r="F36" i="1"/>
  <c r="CL35" i="1"/>
  <c r="CK35" i="1"/>
  <c r="CJ35" i="1"/>
  <c r="CI35" i="1"/>
  <c r="CH35" i="1"/>
  <c r="CG35" i="1"/>
  <c r="CF35" i="1"/>
  <c r="CE35" i="1"/>
  <c r="CD35" i="1"/>
  <c r="CC35" i="1"/>
  <c r="AI35" i="1"/>
  <c r="AQ35" i="1" s="1"/>
  <c r="AE35" i="1"/>
  <c r="AM35" i="1" s="1"/>
  <c r="H35" i="1"/>
  <c r="BM35" i="1"/>
  <c r="I35" i="1" s="1"/>
  <c r="BL35" i="1"/>
  <c r="AC35" i="1" s="1"/>
  <c r="AZ35" i="1"/>
  <c r="AY35" i="1"/>
  <c r="AU35" i="1"/>
  <c r="AK35" i="1"/>
  <c r="AS35" i="1" s="1"/>
  <c r="AJ35" i="1"/>
  <c r="AR35" i="1" s="1"/>
  <c r="AH35" i="1"/>
  <c r="AP35" i="1" s="1"/>
  <c r="AG35" i="1"/>
  <c r="AO35" i="1" s="1"/>
  <c r="AF35" i="1"/>
  <c r="AN35" i="1" s="1"/>
  <c r="AD35" i="1"/>
  <c r="G35" i="1"/>
  <c r="F35" i="1"/>
  <c r="CL34" i="1"/>
  <c r="CK34" i="1"/>
  <c r="CJ34" i="1"/>
  <c r="CI34" i="1"/>
  <c r="CH34" i="1"/>
  <c r="CG34" i="1"/>
  <c r="CF34" i="1"/>
  <c r="CE34" i="1"/>
  <c r="CD34" i="1"/>
  <c r="CC34" i="1"/>
  <c r="BM34" i="1"/>
  <c r="I34" i="1" s="1"/>
  <c r="BL34" i="1"/>
  <c r="AA34" i="1" s="1"/>
  <c r="AZ34" i="1"/>
  <c r="AY34" i="1"/>
  <c r="AU34" i="1"/>
  <c r="AV34" i="1" s="1"/>
  <c r="BI34" i="1" s="1"/>
  <c r="AK34" i="1"/>
  <c r="AI34" i="1"/>
  <c r="AH34" i="1"/>
  <c r="AG34" i="1"/>
  <c r="AE34" i="1"/>
  <c r="AD34" i="1"/>
  <c r="AC34" i="1"/>
  <c r="H34" i="1"/>
  <c r="G34" i="1"/>
  <c r="F34" i="1"/>
  <c r="CL33" i="1"/>
  <c r="CK33" i="1"/>
  <c r="CJ33" i="1"/>
  <c r="CI33" i="1"/>
  <c r="CH33" i="1"/>
  <c r="CG33" i="1"/>
  <c r="CF33" i="1"/>
  <c r="CE33" i="1"/>
  <c r="CD33" i="1"/>
  <c r="CC33" i="1"/>
  <c r="BM33" i="1"/>
  <c r="I33" i="1" s="1"/>
  <c r="BL33" i="1"/>
  <c r="AC33" i="1" s="1"/>
  <c r="AZ33" i="1"/>
  <c r="AY33" i="1"/>
  <c r="AU33" i="1"/>
  <c r="AV33" i="1" s="1"/>
  <c r="AK33" i="1"/>
  <c r="AS33" i="1" s="1"/>
  <c r="AJ33" i="1"/>
  <c r="AR33" i="1" s="1"/>
  <c r="AI33" i="1"/>
  <c r="AQ33" i="1" s="1"/>
  <c r="AH33" i="1"/>
  <c r="AP33" i="1" s="1"/>
  <c r="AG33" i="1"/>
  <c r="AO33" i="1" s="1"/>
  <c r="AF33" i="1"/>
  <c r="AN33" i="1" s="1"/>
  <c r="AE33" i="1"/>
  <c r="AM33" i="1" s="1"/>
  <c r="AD33" i="1"/>
  <c r="AL33" i="1" s="1"/>
  <c r="AB33" i="1"/>
  <c r="Z33" i="1"/>
  <c r="W33" i="1"/>
  <c r="T33" i="1"/>
  <c r="H33" i="1"/>
  <c r="G33" i="1"/>
  <c r="F33" i="1"/>
  <c r="CL32" i="1"/>
  <c r="CK32" i="1"/>
  <c r="CJ32" i="1"/>
  <c r="CI32" i="1"/>
  <c r="CH32" i="1"/>
  <c r="CG32" i="1"/>
  <c r="CF32" i="1"/>
  <c r="CE32" i="1"/>
  <c r="CD32" i="1"/>
  <c r="CC32" i="1"/>
  <c r="AJ32" i="1"/>
  <c r="AR32" i="1" s="1"/>
  <c r="AE32" i="1"/>
  <c r="AM32" i="1" s="1"/>
  <c r="BM32" i="1"/>
  <c r="BL32" i="1"/>
  <c r="Z32" i="1" s="1"/>
  <c r="AZ32" i="1"/>
  <c r="AY32" i="1"/>
  <c r="AU32" i="1"/>
  <c r="BH32" i="1" s="1"/>
  <c r="AK32" i="1"/>
  <c r="AS32" i="1" s="1"/>
  <c r="AI32" i="1"/>
  <c r="AQ32" i="1" s="1"/>
  <c r="AH32" i="1"/>
  <c r="AP32" i="1" s="1"/>
  <c r="AG32" i="1"/>
  <c r="AO32" i="1" s="1"/>
  <c r="AF32" i="1"/>
  <c r="AN32" i="1" s="1"/>
  <c r="AD32" i="1"/>
  <c r="AL32" i="1" s="1"/>
  <c r="AA32" i="1"/>
  <c r="S32" i="1"/>
  <c r="I32" i="1"/>
  <c r="BC32" i="1" s="1"/>
  <c r="H32" i="1"/>
  <c r="G32" i="1"/>
  <c r="F32" i="1"/>
  <c r="CL31" i="1"/>
  <c r="CK31" i="1"/>
  <c r="CJ31" i="1"/>
  <c r="CI31" i="1"/>
  <c r="CH31" i="1"/>
  <c r="CG31" i="1"/>
  <c r="CF31" i="1"/>
  <c r="CE31" i="1"/>
  <c r="CD31" i="1"/>
  <c r="CC31" i="1"/>
  <c r="AI31" i="1"/>
  <c r="AQ31" i="1" s="1"/>
  <c r="AH31" i="1"/>
  <c r="AP31" i="1" s="1"/>
  <c r="AE31" i="1"/>
  <c r="AM31" i="1" s="1"/>
  <c r="AD31" i="1"/>
  <c r="AL31" i="1" s="1"/>
  <c r="BM31" i="1"/>
  <c r="BL31" i="1"/>
  <c r="AZ31" i="1"/>
  <c r="AY31" i="1"/>
  <c r="AU31" i="1"/>
  <c r="AK31" i="1"/>
  <c r="AS31" i="1" s="1"/>
  <c r="AJ31" i="1"/>
  <c r="AR31" i="1" s="1"/>
  <c r="AG31" i="1"/>
  <c r="AO31" i="1" s="1"/>
  <c r="AF31" i="1"/>
  <c r="AN31" i="1" s="1"/>
  <c r="X31" i="1"/>
  <c r="I31" i="1"/>
  <c r="H31" i="1"/>
  <c r="G31" i="1"/>
  <c r="F31" i="1"/>
  <c r="CL30" i="1"/>
  <c r="CK30" i="1"/>
  <c r="CJ30" i="1"/>
  <c r="CI30" i="1"/>
  <c r="CH30" i="1"/>
  <c r="CG30" i="1"/>
  <c r="CF30" i="1"/>
  <c r="CE30" i="1"/>
  <c r="CD30" i="1"/>
  <c r="CC30" i="1"/>
  <c r="AK30" i="1"/>
  <c r="AS30" i="1" s="1"/>
  <c r="AG30" i="1"/>
  <c r="AO30" i="1" s="1"/>
  <c r="AD30" i="1"/>
  <c r="AL30" i="1" s="1"/>
  <c r="BM30" i="1"/>
  <c r="I30" i="1" s="1"/>
  <c r="BL30" i="1"/>
  <c r="Z30" i="1" s="1"/>
  <c r="AZ30" i="1"/>
  <c r="AY30" i="1"/>
  <c r="AU30" i="1"/>
  <c r="AJ30" i="1"/>
  <c r="AR30" i="1" s="1"/>
  <c r="AI30" i="1"/>
  <c r="AQ30" i="1" s="1"/>
  <c r="AH30" i="1"/>
  <c r="AP30" i="1" s="1"/>
  <c r="AF30" i="1"/>
  <c r="AN30" i="1" s="1"/>
  <c r="AE30" i="1"/>
  <c r="AM30" i="1" s="1"/>
  <c r="AB30" i="1"/>
  <c r="AA30" i="1"/>
  <c r="X30" i="1"/>
  <c r="W30" i="1"/>
  <c r="T30" i="1"/>
  <c r="S30" i="1"/>
  <c r="H30" i="1"/>
  <c r="G30" i="1"/>
  <c r="F30" i="1"/>
  <c r="CL29" i="1"/>
  <c r="CK29" i="1"/>
  <c r="CJ29" i="1"/>
  <c r="CI29" i="1"/>
  <c r="CH29" i="1"/>
  <c r="CG29" i="1"/>
  <c r="CF29" i="1"/>
  <c r="CE29" i="1"/>
  <c r="CD29" i="1"/>
  <c r="CC29" i="1"/>
  <c r="AK29" i="1"/>
  <c r="AS29" i="1" s="1"/>
  <c r="AF29" i="1"/>
  <c r="AN29" i="1" s="1"/>
  <c r="H29" i="1"/>
  <c r="BM29" i="1"/>
  <c r="I29" i="1" s="1"/>
  <c r="BL29" i="1"/>
  <c r="AC29" i="1" s="1"/>
  <c r="AZ29" i="1"/>
  <c r="AY29" i="1"/>
  <c r="AU29" i="1"/>
  <c r="AV29" i="1" s="1"/>
  <c r="AJ29" i="1"/>
  <c r="AR29" i="1" s="1"/>
  <c r="AI29" i="1"/>
  <c r="AQ29" i="1" s="1"/>
  <c r="AH29" i="1"/>
  <c r="AP29" i="1" s="1"/>
  <c r="AG29" i="1"/>
  <c r="AO29" i="1" s="1"/>
  <c r="AE29" i="1"/>
  <c r="AM29" i="1" s="1"/>
  <c r="AD29" i="1"/>
  <c r="AL29" i="1" s="1"/>
  <c r="AB29" i="1"/>
  <c r="Z29" i="1"/>
  <c r="X29" i="1"/>
  <c r="W29" i="1"/>
  <c r="V29" i="1"/>
  <c r="T29" i="1"/>
  <c r="S29" i="1"/>
  <c r="G29" i="1"/>
  <c r="F29" i="1"/>
  <c r="CL28" i="1"/>
  <c r="CK28" i="1"/>
  <c r="CJ28" i="1"/>
  <c r="CI28" i="1"/>
  <c r="CH28" i="1"/>
  <c r="CG28" i="1"/>
  <c r="CF28" i="1"/>
  <c r="CE28" i="1"/>
  <c r="CD28" i="1"/>
  <c r="CC28" i="1"/>
  <c r="AJ28" i="1"/>
  <c r="AF28" i="1"/>
  <c r="BM28" i="1"/>
  <c r="I28" i="1" s="1"/>
  <c r="BL28" i="1"/>
  <c r="AC28" i="1" s="1"/>
  <c r="AZ28" i="1"/>
  <c r="AY28" i="1"/>
  <c r="AU28" i="1"/>
  <c r="AK28" i="1"/>
  <c r="AI28" i="1"/>
  <c r="AH28" i="1"/>
  <c r="AG28" i="1"/>
  <c r="AE28" i="1"/>
  <c r="AD28" i="1"/>
  <c r="Z28" i="1"/>
  <c r="T28" i="1"/>
  <c r="H28" i="1"/>
  <c r="G28" i="1"/>
  <c r="F28" i="1"/>
  <c r="CL27" i="1"/>
  <c r="CK27" i="1"/>
  <c r="CJ27" i="1"/>
  <c r="CI27" i="1"/>
  <c r="CH27" i="1"/>
  <c r="CG27" i="1"/>
  <c r="CF27" i="1"/>
  <c r="CE27" i="1"/>
  <c r="CD27" i="1"/>
  <c r="CC27" i="1"/>
  <c r="AI27" i="1"/>
  <c r="AQ27" i="1" s="1"/>
  <c r="AH27" i="1"/>
  <c r="AP27" i="1" s="1"/>
  <c r="AE27" i="1"/>
  <c r="AM27" i="1" s="1"/>
  <c r="AD27" i="1"/>
  <c r="AL27" i="1" s="1"/>
  <c r="BM27" i="1"/>
  <c r="I27" i="1" s="1"/>
  <c r="BH27" i="1"/>
  <c r="BL27" i="1"/>
  <c r="AC27" i="1" s="1"/>
  <c r="AZ27" i="1"/>
  <c r="AY27" i="1"/>
  <c r="BI27" i="1"/>
  <c r="AU27" i="1"/>
  <c r="AV27" i="1" s="1"/>
  <c r="AK27" i="1"/>
  <c r="AS27" i="1" s="1"/>
  <c r="AJ27" i="1"/>
  <c r="AR27" i="1" s="1"/>
  <c r="AG27" i="1"/>
  <c r="AO27" i="1" s="1"/>
  <c r="AF27" i="1"/>
  <c r="AN27" i="1" s="1"/>
  <c r="X27" i="1"/>
  <c r="T27" i="1"/>
  <c r="H27" i="1"/>
  <c r="G27" i="1"/>
  <c r="F27" i="1"/>
  <c r="CL26" i="1"/>
  <c r="CK26" i="1"/>
  <c r="CJ26" i="1"/>
  <c r="CI26" i="1"/>
  <c r="CH26" i="1"/>
  <c r="CG26" i="1"/>
  <c r="CF26" i="1"/>
  <c r="CE26" i="1"/>
  <c r="CD26" i="1"/>
  <c r="CC26" i="1"/>
  <c r="AK26" i="1"/>
  <c r="AS26" i="1" s="1"/>
  <c r="AG26" i="1"/>
  <c r="AO26" i="1" s="1"/>
  <c r="AD26" i="1"/>
  <c r="AL26" i="1" s="1"/>
  <c r="BM26" i="1"/>
  <c r="I26" i="1" s="1"/>
  <c r="BL26" i="1"/>
  <c r="Y26" i="1" s="1"/>
  <c r="AZ26" i="1"/>
  <c r="AY26" i="1"/>
  <c r="AU26" i="1"/>
  <c r="AJ26" i="1"/>
  <c r="AR26" i="1" s="1"/>
  <c r="AI26" i="1"/>
  <c r="AQ26" i="1" s="1"/>
  <c r="AH26" i="1"/>
  <c r="AP26" i="1" s="1"/>
  <c r="AF26" i="1"/>
  <c r="AN26" i="1" s="1"/>
  <c r="AE26" i="1"/>
  <c r="AM26" i="1" s="1"/>
  <c r="AC26" i="1"/>
  <c r="AA26" i="1"/>
  <c r="X26" i="1"/>
  <c r="U26" i="1"/>
  <c r="T26" i="1"/>
  <c r="H26" i="1"/>
  <c r="G26" i="1"/>
  <c r="F26" i="1"/>
  <c r="CL25" i="1"/>
  <c r="CK25" i="1"/>
  <c r="CJ25" i="1"/>
  <c r="CI25" i="1"/>
  <c r="CH25" i="1"/>
  <c r="CG25" i="1"/>
  <c r="CF25" i="1"/>
  <c r="CE25" i="1"/>
  <c r="CD25" i="1"/>
  <c r="CC25" i="1"/>
  <c r="AK25" i="1"/>
  <c r="AS25" i="1" s="1"/>
  <c r="H25" i="1"/>
  <c r="BM25" i="1"/>
  <c r="I25" i="1" s="1"/>
  <c r="BL25" i="1"/>
  <c r="AC25" i="1" s="1"/>
  <c r="AZ25" i="1"/>
  <c r="AY25" i="1"/>
  <c r="AU25" i="1"/>
  <c r="AV25" i="1" s="1"/>
  <c r="AJ25" i="1"/>
  <c r="AR25" i="1" s="1"/>
  <c r="AI25" i="1"/>
  <c r="AQ25" i="1" s="1"/>
  <c r="AH25" i="1"/>
  <c r="AP25" i="1" s="1"/>
  <c r="AG25" i="1"/>
  <c r="AO25" i="1" s="1"/>
  <c r="AF25" i="1"/>
  <c r="AN25" i="1" s="1"/>
  <c r="AE25" i="1"/>
  <c r="AM25" i="1" s="1"/>
  <c r="AD25" i="1"/>
  <c r="AL25" i="1" s="1"/>
  <c r="AA25" i="1"/>
  <c r="Z25" i="1"/>
  <c r="T25" i="1"/>
  <c r="S25" i="1"/>
  <c r="G25" i="1"/>
  <c r="F25" i="1"/>
  <c r="CL24" i="1"/>
  <c r="CK24" i="1"/>
  <c r="CJ24" i="1"/>
  <c r="CI24" i="1"/>
  <c r="CH24" i="1"/>
  <c r="CG24" i="1"/>
  <c r="CF24" i="1"/>
  <c r="CE24" i="1"/>
  <c r="CD24" i="1"/>
  <c r="CC24" i="1"/>
  <c r="AJ24" i="1"/>
  <c r="AR24" i="1" s="1"/>
  <c r="AF24" i="1"/>
  <c r="AN24" i="1" s="1"/>
  <c r="BM24" i="1"/>
  <c r="I24" i="1" s="1"/>
  <c r="BC24" i="1" s="1"/>
  <c r="BL24" i="1"/>
  <c r="Z24" i="1" s="1"/>
  <c r="AZ24" i="1"/>
  <c r="AY24" i="1"/>
  <c r="AU24" i="1"/>
  <c r="AK24" i="1"/>
  <c r="AS24" i="1" s="1"/>
  <c r="AI24" i="1"/>
  <c r="AQ24" i="1" s="1"/>
  <c r="AH24" i="1"/>
  <c r="AP24" i="1" s="1"/>
  <c r="AG24" i="1"/>
  <c r="AO24" i="1" s="1"/>
  <c r="AE24" i="1"/>
  <c r="AM24" i="1" s="1"/>
  <c r="AD24" i="1"/>
  <c r="AL24" i="1" s="1"/>
  <c r="AC24" i="1"/>
  <c r="AB24" i="1"/>
  <c r="AA24" i="1"/>
  <c r="X24" i="1"/>
  <c r="W24" i="1"/>
  <c r="U24" i="1"/>
  <c r="S24" i="1"/>
  <c r="H24" i="1"/>
  <c r="BB24" i="1" s="1"/>
  <c r="G24" i="1"/>
  <c r="F24" i="1"/>
  <c r="CL23" i="1"/>
  <c r="CK23" i="1"/>
  <c r="CJ23" i="1"/>
  <c r="CI23" i="1"/>
  <c r="CH23" i="1"/>
  <c r="CG23" i="1"/>
  <c r="CF23" i="1"/>
  <c r="CE23" i="1"/>
  <c r="CD23" i="1"/>
  <c r="CC23" i="1"/>
  <c r="AI23" i="1"/>
  <c r="AQ23" i="1" s="1"/>
  <c r="AH23" i="1"/>
  <c r="AP23" i="1" s="1"/>
  <c r="BM23" i="1"/>
  <c r="I23" i="1" s="1"/>
  <c r="BH23" i="1"/>
  <c r="BL23" i="1"/>
  <c r="AC23" i="1" s="1"/>
  <c r="AZ23" i="1"/>
  <c r="AY23" i="1"/>
  <c r="BI23" i="1"/>
  <c r="AU23" i="1"/>
  <c r="AV23" i="1" s="1"/>
  <c r="AK23" i="1"/>
  <c r="AS23" i="1" s="1"/>
  <c r="AJ23" i="1"/>
  <c r="AR23" i="1" s="1"/>
  <c r="AG23" i="1"/>
  <c r="AO23" i="1" s="1"/>
  <c r="AF23" i="1"/>
  <c r="AN23" i="1" s="1"/>
  <c r="AE23" i="1"/>
  <c r="AM23" i="1" s="1"/>
  <c r="AD23" i="1"/>
  <c r="AL23" i="1" s="1"/>
  <c r="AB23" i="1"/>
  <c r="X23" i="1"/>
  <c r="H23" i="1"/>
  <c r="G23" i="1"/>
  <c r="F23" i="1"/>
  <c r="CL22" i="1"/>
  <c r="CK22" i="1"/>
  <c r="CJ22" i="1"/>
  <c r="CI22" i="1"/>
  <c r="CH22" i="1"/>
  <c r="CG22" i="1"/>
  <c r="CF22" i="1"/>
  <c r="CE22" i="1"/>
  <c r="CD22" i="1"/>
  <c r="CC22" i="1"/>
  <c r="AK22" i="1"/>
  <c r="AG22" i="1"/>
  <c r="BM22" i="1"/>
  <c r="I22" i="1" s="1"/>
  <c r="BL22" i="1"/>
  <c r="Z22" i="1" s="1"/>
  <c r="AZ22" i="1"/>
  <c r="AY22" i="1"/>
  <c r="AU22" i="1"/>
  <c r="AJ22" i="1"/>
  <c r="AI22" i="1"/>
  <c r="AH22" i="1"/>
  <c r="AF22" i="1"/>
  <c r="AE22" i="1"/>
  <c r="AD22" i="1"/>
  <c r="AB22" i="1"/>
  <c r="W22" i="1"/>
  <c r="U22" i="1"/>
  <c r="H22" i="1"/>
  <c r="G22" i="1"/>
  <c r="F22" i="1"/>
  <c r="CL21" i="1"/>
  <c r="CK21" i="1"/>
  <c r="CJ21" i="1"/>
  <c r="CI21" i="1"/>
  <c r="CH21" i="1"/>
  <c r="CG21" i="1"/>
  <c r="CF21" i="1"/>
  <c r="CE21" i="1"/>
  <c r="CD21" i="1"/>
  <c r="CC21" i="1"/>
  <c r="AK21" i="1"/>
  <c r="AS21" i="1" s="1"/>
  <c r="H21" i="1"/>
  <c r="BM21" i="1"/>
  <c r="BL21" i="1"/>
  <c r="AC21" i="1" s="1"/>
  <c r="AZ21" i="1"/>
  <c r="AY21" i="1"/>
  <c r="AU21" i="1"/>
  <c r="AV21" i="1" s="1"/>
  <c r="AL21" i="1"/>
  <c r="AJ21" i="1"/>
  <c r="AR21" i="1" s="1"/>
  <c r="AI21" i="1"/>
  <c r="AQ21" i="1" s="1"/>
  <c r="AH21" i="1"/>
  <c r="AP21" i="1" s="1"/>
  <c r="AG21" i="1"/>
  <c r="AO21" i="1" s="1"/>
  <c r="AF21" i="1"/>
  <c r="AN21" i="1" s="1"/>
  <c r="AE21" i="1"/>
  <c r="AM21" i="1" s="1"/>
  <c r="AD21" i="1"/>
  <c r="W21" i="1"/>
  <c r="I21" i="1"/>
  <c r="BC21" i="1" s="1"/>
  <c r="G21" i="1"/>
  <c r="F21" i="1"/>
  <c r="CL20" i="1"/>
  <c r="CK20" i="1"/>
  <c r="CJ20" i="1"/>
  <c r="CI20" i="1"/>
  <c r="CH20" i="1"/>
  <c r="CG20" i="1"/>
  <c r="CF20" i="1"/>
  <c r="CE20" i="1"/>
  <c r="CD20" i="1"/>
  <c r="CC20" i="1"/>
  <c r="AK20" i="1"/>
  <c r="AS20" i="1" s="1"/>
  <c r="AJ20" i="1"/>
  <c r="AR20" i="1" s="1"/>
  <c r="AG20" i="1"/>
  <c r="AO20" i="1" s="1"/>
  <c r="H20" i="1"/>
  <c r="BM20" i="1"/>
  <c r="I20" i="1" s="1"/>
  <c r="BL20" i="1"/>
  <c r="AC20" i="1" s="1"/>
  <c r="AZ20" i="1"/>
  <c r="AY20" i="1"/>
  <c r="AU20" i="1"/>
  <c r="AV20" i="1" s="1"/>
  <c r="AI20" i="1"/>
  <c r="AQ20" i="1" s="1"/>
  <c r="AH20" i="1"/>
  <c r="AP20" i="1" s="1"/>
  <c r="AF20" i="1"/>
  <c r="AN20" i="1" s="1"/>
  <c r="AE20" i="1"/>
  <c r="AM20" i="1" s="1"/>
  <c r="AD20" i="1"/>
  <c r="AB20" i="1"/>
  <c r="AA20" i="1"/>
  <c r="Z20" i="1"/>
  <c r="X20" i="1"/>
  <c r="W20" i="1"/>
  <c r="V20" i="1"/>
  <c r="T20" i="1"/>
  <c r="S20" i="1"/>
  <c r="G20" i="1"/>
  <c r="F20" i="1"/>
  <c r="CL19" i="1"/>
  <c r="CK19" i="1"/>
  <c r="CJ19" i="1"/>
  <c r="CI19" i="1"/>
  <c r="CH19" i="1"/>
  <c r="CG19" i="1"/>
  <c r="CF19" i="1"/>
  <c r="CE19" i="1"/>
  <c r="CD19" i="1"/>
  <c r="CC19" i="1"/>
  <c r="AI19" i="1"/>
  <c r="AF19" i="1"/>
  <c r="AN19" i="1" s="1"/>
  <c r="BM19" i="1"/>
  <c r="I19" i="1" s="1"/>
  <c r="BL19" i="1"/>
  <c r="AA19" i="1" s="1"/>
  <c r="AZ19" i="1"/>
  <c r="AY19" i="1"/>
  <c r="AU19" i="1"/>
  <c r="AV19" i="1" s="1"/>
  <c r="BI19" i="1" s="1"/>
  <c r="AK19" i="1"/>
  <c r="AS19" i="1" s="1"/>
  <c r="AJ19" i="1"/>
  <c r="AR19" i="1" s="1"/>
  <c r="AH19" i="1"/>
  <c r="AP19" i="1" s="1"/>
  <c r="AG19" i="1"/>
  <c r="AO19" i="1" s="1"/>
  <c r="AE19" i="1"/>
  <c r="AM19" i="1" s="1"/>
  <c r="AD19" i="1"/>
  <c r="AL19" i="1" s="1"/>
  <c r="AB19" i="1"/>
  <c r="Z19" i="1"/>
  <c r="V19" i="1"/>
  <c r="U19" i="1"/>
  <c r="H19" i="1"/>
  <c r="G19" i="1"/>
  <c r="F19" i="1"/>
  <c r="CL18" i="1"/>
  <c r="CK18" i="1"/>
  <c r="CJ18" i="1"/>
  <c r="CI18" i="1"/>
  <c r="CH18" i="1"/>
  <c r="CG18" i="1"/>
  <c r="CF18" i="1"/>
  <c r="CE18" i="1"/>
  <c r="CD18" i="1"/>
  <c r="CC18" i="1"/>
  <c r="I18" i="1"/>
  <c r="BM18" i="1"/>
  <c r="BL18" i="1"/>
  <c r="AA18" i="1" s="1"/>
  <c r="AZ18" i="1"/>
  <c r="AY18" i="1"/>
  <c r="AU18" i="1"/>
  <c r="AV18" i="1" s="1"/>
  <c r="BI18" i="1" s="1"/>
  <c r="AK18" i="1"/>
  <c r="AS18" i="1" s="1"/>
  <c r="AJ18" i="1"/>
  <c r="AR18" i="1" s="1"/>
  <c r="AI18" i="1"/>
  <c r="AQ18" i="1" s="1"/>
  <c r="AH18" i="1"/>
  <c r="AP18" i="1" s="1"/>
  <c r="AG18" i="1"/>
  <c r="AO18" i="1" s="1"/>
  <c r="AF18" i="1"/>
  <c r="AN18" i="1" s="1"/>
  <c r="AE18" i="1"/>
  <c r="AM18" i="1" s="1"/>
  <c r="AD18" i="1"/>
  <c r="AL18" i="1" s="1"/>
  <c r="H18" i="1"/>
  <c r="G18" i="1"/>
  <c r="BC18" i="1" s="1"/>
  <c r="F18" i="1"/>
  <c r="CL17" i="1"/>
  <c r="CK17" i="1"/>
  <c r="CJ17" i="1"/>
  <c r="CI17" i="1"/>
  <c r="CH17" i="1"/>
  <c r="CG17" i="1"/>
  <c r="CF17" i="1"/>
  <c r="CE17" i="1"/>
  <c r="CD17" i="1"/>
  <c r="CC17" i="1"/>
  <c r="AK17" i="1"/>
  <c r="AS17" i="1" s="1"/>
  <c r="AH17" i="1"/>
  <c r="AP17" i="1" s="1"/>
  <c r="H17" i="1"/>
  <c r="BM17" i="1"/>
  <c r="I17" i="1" s="1"/>
  <c r="BC17" i="1" s="1"/>
  <c r="BL17" i="1"/>
  <c r="Z17" i="1" s="1"/>
  <c r="AZ17" i="1"/>
  <c r="AY17" i="1"/>
  <c r="AU17" i="1"/>
  <c r="AV17" i="1" s="1"/>
  <c r="AJ17" i="1"/>
  <c r="AR17" i="1" s="1"/>
  <c r="AI17" i="1"/>
  <c r="AQ17" i="1" s="1"/>
  <c r="AG17" i="1"/>
  <c r="AO17" i="1" s="1"/>
  <c r="AF17" i="1"/>
  <c r="AN17" i="1" s="1"/>
  <c r="AE17" i="1"/>
  <c r="AM17" i="1" s="1"/>
  <c r="AD17" i="1"/>
  <c r="AL17" i="1" s="1"/>
  <c r="AB17" i="1"/>
  <c r="AA17" i="1"/>
  <c r="X17" i="1"/>
  <c r="S17" i="1"/>
  <c r="G17" i="1"/>
  <c r="F17" i="1"/>
  <c r="BB17" i="1" s="1"/>
  <c r="CL16" i="1"/>
  <c r="CK16" i="1"/>
  <c r="CJ16" i="1"/>
  <c r="CI16" i="1"/>
  <c r="CH16" i="1"/>
  <c r="CG16" i="1"/>
  <c r="CF16" i="1"/>
  <c r="CE16" i="1"/>
  <c r="CD16" i="1"/>
  <c r="CC16" i="1"/>
  <c r="AK16" i="1"/>
  <c r="AJ16" i="1"/>
  <c r="AG16" i="1"/>
  <c r="AF16" i="1"/>
  <c r="H16" i="1"/>
  <c r="BM16" i="1"/>
  <c r="BL16" i="1"/>
  <c r="AB16" i="1" s="1"/>
  <c r="AZ16" i="1"/>
  <c r="AY16" i="1"/>
  <c r="AU16" i="1"/>
  <c r="AV16" i="1" s="1"/>
  <c r="AI16" i="1"/>
  <c r="AH16" i="1"/>
  <c r="AE16" i="1"/>
  <c r="CO16" i="1" s="1"/>
  <c r="CX16" i="1" s="1"/>
  <c r="AD16" i="1"/>
  <c r="U16" i="1"/>
  <c r="I16" i="1"/>
  <c r="G16" i="1"/>
  <c r="F16" i="1"/>
  <c r="CL15" i="1"/>
  <c r="CK15" i="1"/>
  <c r="CJ15" i="1"/>
  <c r="CI15" i="1"/>
  <c r="CH15" i="1"/>
  <c r="CG15" i="1"/>
  <c r="CF15" i="1"/>
  <c r="CE15" i="1"/>
  <c r="CD15" i="1"/>
  <c r="CC15" i="1"/>
  <c r="AI15" i="1"/>
  <c r="AQ15" i="1" s="1"/>
  <c r="AE15" i="1"/>
  <c r="AM15" i="1" s="1"/>
  <c r="BM15" i="1"/>
  <c r="BL15" i="1"/>
  <c r="AA15" i="1" s="1"/>
  <c r="AZ15" i="1"/>
  <c r="AY15" i="1"/>
  <c r="AU15" i="1"/>
  <c r="AV15" i="1" s="1"/>
  <c r="BI15" i="1" s="1"/>
  <c r="AK15" i="1"/>
  <c r="AS15" i="1" s="1"/>
  <c r="AJ15" i="1"/>
  <c r="AR15" i="1" s="1"/>
  <c r="AH15" i="1"/>
  <c r="AP15" i="1" s="1"/>
  <c r="AG15" i="1"/>
  <c r="AO15" i="1" s="1"/>
  <c r="AF15" i="1"/>
  <c r="AN15" i="1" s="1"/>
  <c r="AD15" i="1"/>
  <c r="AL15" i="1" s="1"/>
  <c r="Z15" i="1"/>
  <c r="U15" i="1"/>
  <c r="I15" i="1"/>
  <c r="H15" i="1"/>
  <c r="G15" i="1"/>
  <c r="F15" i="1"/>
  <c r="CL14" i="1"/>
  <c r="CK14" i="1"/>
  <c r="CJ14" i="1"/>
  <c r="CI14" i="1"/>
  <c r="CH14" i="1"/>
  <c r="CG14" i="1"/>
  <c r="CF14" i="1"/>
  <c r="CE14" i="1"/>
  <c r="CD14" i="1"/>
  <c r="CC14" i="1"/>
  <c r="H14" i="1"/>
  <c r="I14" i="1"/>
  <c r="BL14" i="1"/>
  <c r="Z14" i="1" s="1"/>
  <c r="AZ14" i="1"/>
  <c r="AY14" i="1"/>
  <c r="AU14" i="1"/>
  <c r="AV14" i="1" s="1"/>
  <c r="AK14" i="1"/>
  <c r="AS14" i="1" s="1"/>
  <c r="AJ14" i="1"/>
  <c r="AR14" i="1" s="1"/>
  <c r="AI14" i="1"/>
  <c r="AQ14" i="1" s="1"/>
  <c r="AH14" i="1"/>
  <c r="AP14" i="1" s="1"/>
  <c r="AG14" i="1"/>
  <c r="AO14" i="1" s="1"/>
  <c r="AF14" i="1"/>
  <c r="AN14" i="1" s="1"/>
  <c r="AE14" i="1"/>
  <c r="AM14" i="1" s="1"/>
  <c r="AD14" i="1"/>
  <c r="AL14" i="1" s="1"/>
  <c r="AB14" i="1"/>
  <c r="G14" i="1"/>
  <c r="F14" i="1"/>
  <c r="CL13" i="1"/>
  <c r="CK13" i="1"/>
  <c r="CJ13" i="1"/>
  <c r="CI13" i="1"/>
  <c r="CH13" i="1"/>
  <c r="CG13" i="1"/>
  <c r="CF13" i="1"/>
  <c r="CE13" i="1"/>
  <c r="CD13" i="1"/>
  <c r="CC13" i="1"/>
  <c r="AK13" i="1"/>
  <c r="AS13" i="1" s="1"/>
  <c r="AF13" i="1"/>
  <c r="AN13" i="1" s="1"/>
  <c r="H13" i="1"/>
  <c r="BM13" i="1"/>
  <c r="BL13" i="1"/>
  <c r="Z13" i="1" s="1"/>
  <c r="AZ13" i="1"/>
  <c r="AY13" i="1"/>
  <c r="AU13" i="1"/>
  <c r="AV13" i="1" s="1"/>
  <c r="AJ13" i="1"/>
  <c r="AR13" i="1" s="1"/>
  <c r="AI13" i="1"/>
  <c r="AQ13" i="1" s="1"/>
  <c r="AH13" i="1"/>
  <c r="AP13" i="1" s="1"/>
  <c r="AG13" i="1"/>
  <c r="AO13" i="1" s="1"/>
  <c r="AE13" i="1"/>
  <c r="AM13" i="1" s="1"/>
  <c r="AD13" i="1"/>
  <c r="AL13" i="1" s="1"/>
  <c r="I13" i="1"/>
  <c r="G13" i="1"/>
  <c r="F13" i="1"/>
  <c r="CL12" i="1"/>
  <c r="CK12" i="1"/>
  <c r="CJ12" i="1"/>
  <c r="CI12" i="1"/>
  <c r="CH12" i="1"/>
  <c r="CG12" i="1"/>
  <c r="CF12" i="1"/>
  <c r="CE12" i="1"/>
  <c r="CD12" i="1"/>
  <c r="CC12" i="1"/>
  <c r="AJ12" i="1"/>
  <c r="AF12" i="1"/>
  <c r="BM12" i="1"/>
  <c r="I12" i="1" s="1"/>
  <c r="BL12" i="1"/>
  <c r="Z12" i="1" s="1"/>
  <c r="AZ12" i="1"/>
  <c r="AY12" i="1"/>
  <c r="AU12" i="1"/>
  <c r="AK12" i="1"/>
  <c r="AS12" i="1" s="1"/>
  <c r="AI12" i="1"/>
  <c r="AQ12" i="1" s="1"/>
  <c r="AH12" i="1"/>
  <c r="AP12" i="1" s="1"/>
  <c r="AG12" i="1"/>
  <c r="AO12" i="1" s="1"/>
  <c r="AE12" i="1"/>
  <c r="AM12" i="1" s="1"/>
  <c r="AD12" i="1"/>
  <c r="AL12" i="1" s="1"/>
  <c r="AB12" i="1"/>
  <c r="X12" i="1"/>
  <c r="W12" i="1"/>
  <c r="T12" i="1"/>
  <c r="H12" i="1"/>
  <c r="G12" i="1"/>
  <c r="F12" i="1"/>
  <c r="CL11" i="1"/>
  <c r="CK11" i="1"/>
  <c r="CJ11" i="1"/>
  <c r="CI11" i="1"/>
  <c r="CH11" i="1"/>
  <c r="CG11" i="1"/>
  <c r="CF11" i="1"/>
  <c r="CE11" i="1"/>
  <c r="CD11" i="1"/>
  <c r="CC11" i="1"/>
  <c r="AI11" i="1"/>
  <c r="AQ11" i="1" s="1"/>
  <c r="AH11" i="1"/>
  <c r="AP11" i="1" s="1"/>
  <c r="BM11" i="1"/>
  <c r="I11" i="1" s="1"/>
  <c r="BL11" i="1"/>
  <c r="X11" i="1" s="1"/>
  <c r="AZ11" i="1"/>
  <c r="AY11" i="1"/>
  <c r="AU11" i="1"/>
  <c r="AK11" i="1"/>
  <c r="AS11" i="1" s="1"/>
  <c r="AJ11" i="1"/>
  <c r="AR11" i="1" s="1"/>
  <c r="AG11" i="1"/>
  <c r="AO11" i="1" s="1"/>
  <c r="AF11" i="1"/>
  <c r="AN11" i="1" s="1"/>
  <c r="AE11" i="1"/>
  <c r="AM11" i="1" s="1"/>
  <c r="AD11" i="1"/>
  <c r="AL11" i="1" s="1"/>
  <c r="H11" i="1"/>
  <c r="G11" i="1"/>
  <c r="F11" i="1"/>
  <c r="CL10" i="1"/>
  <c r="CK10" i="1"/>
  <c r="CJ10" i="1"/>
  <c r="CI10" i="1"/>
  <c r="CH10" i="1"/>
  <c r="CG10" i="1"/>
  <c r="CF10" i="1"/>
  <c r="CE10" i="1"/>
  <c r="CD10" i="1"/>
  <c r="CC10" i="1"/>
  <c r="AK10" i="1"/>
  <c r="AG10" i="1"/>
  <c r="BM10" i="1"/>
  <c r="I10" i="1" s="1"/>
  <c r="BL10" i="1"/>
  <c r="Z10" i="1" s="1"/>
  <c r="AZ10" i="1"/>
  <c r="AY10" i="1"/>
  <c r="AU10" i="1"/>
  <c r="AV10" i="1" s="1"/>
  <c r="AJ10" i="1"/>
  <c r="AI10" i="1"/>
  <c r="AH10" i="1"/>
  <c r="AF10" i="1"/>
  <c r="AE10" i="1"/>
  <c r="AD10" i="1"/>
  <c r="H10" i="1"/>
  <c r="G10" i="1"/>
  <c r="F10" i="1"/>
  <c r="CL9" i="1"/>
  <c r="CK9" i="1"/>
  <c r="CJ9" i="1"/>
  <c r="CI9" i="1"/>
  <c r="CH9" i="1"/>
  <c r="CG9" i="1"/>
  <c r="CF9" i="1"/>
  <c r="CE9" i="1"/>
  <c r="CD9" i="1"/>
  <c r="CC9" i="1"/>
  <c r="AK9" i="1"/>
  <c r="AS9" i="1" s="1"/>
  <c r="AF9" i="1"/>
  <c r="AN9" i="1" s="1"/>
  <c r="H9" i="1"/>
  <c r="BM9" i="1"/>
  <c r="I9" i="1" s="1"/>
  <c r="BL9" i="1"/>
  <c r="Z9" i="1" s="1"/>
  <c r="AZ9" i="1"/>
  <c r="AY9" i="1"/>
  <c r="AU9" i="1"/>
  <c r="AV9" i="1" s="1"/>
  <c r="AJ9" i="1"/>
  <c r="AR9" i="1" s="1"/>
  <c r="AI9" i="1"/>
  <c r="AQ9" i="1" s="1"/>
  <c r="AH9" i="1"/>
  <c r="AP9" i="1" s="1"/>
  <c r="AG9" i="1"/>
  <c r="AO9" i="1" s="1"/>
  <c r="AE9" i="1"/>
  <c r="AM9" i="1" s="1"/>
  <c r="AD9" i="1"/>
  <c r="X9" i="1"/>
  <c r="T9" i="1"/>
  <c r="G9" i="1"/>
  <c r="F9" i="1"/>
  <c r="CL8" i="1"/>
  <c r="CK8" i="1"/>
  <c r="CJ8" i="1"/>
  <c r="CI8" i="1"/>
  <c r="CH8" i="1"/>
  <c r="CG8" i="1"/>
  <c r="CF8" i="1"/>
  <c r="CE8" i="1"/>
  <c r="CD8" i="1"/>
  <c r="CC8" i="1"/>
  <c r="AJ8" i="1"/>
  <c r="AR8" i="1" s="1"/>
  <c r="AF8" i="1"/>
  <c r="AN8" i="1" s="1"/>
  <c r="BM8" i="1"/>
  <c r="I8" i="1" s="1"/>
  <c r="BL8" i="1"/>
  <c r="Z8" i="1" s="1"/>
  <c r="AZ8" i="1"/>
  <c r="AY8" i="1"/>
  <c r="AU8" i="1"/>
  <c r="AK8" i="1"/>
  <c r="AS8" i="1" s="1"/>
  <c r="AI8" i="1"/>
  <c r="AQ8" i="1" s="1"/>
  <c r="AH8" i="1"/>
  <c r="AP8" i="1" s="1"/>
  <c r="AG8" i="1"/>
  <c r="AO8" i="1" s="1"/>
  <c r="AE8" i="1"/>
  <c r="AM8" i="1" s="1"/>
  <c r="AD8" i="1"/>
  <c r="AL8" i="1" s="1"/>
  <c r="AB8" i="1"/>
  <c r="AA8" i="1"/>
  <c r="W8" i="1"/>
  <c r="U8" i="1"/>
  <c r="H8" i="1"/>
  <c r="BB8" i="1" s="1"/>
  <c r="G8" i="1"/>
  <c r="F8" i="1"/>
  <c r="CL7" i="1"/>
  <c r="CK7" i="1"/>
  <c r="CJ7" i="1"/>
  <c r="CI7" i="1"/>
  <c r="CH7" i="1"/>
  <c r="CG7" i="1"/>
  <c r="CF7" i="1"/>
  <c r="CE7" i="1"/>
  <c r="CD7" i="1"/>
  <c r="CC7" i="1"/>
  <c r="AI7" i="1"/>
  <c r="AH7" i="1"/>
  <c r="BM7" i="1"/>
  <c r="I7" i="1" s="1"/>
  <c r="BL7" i="1"/>
  <c r="AA7" i="1" s="1"/>
  <c r="AZ7" i="1"/>
  <c r="AY7" i="1"/>
  <c r="AU7" i="1"/>
  <c r="AV7" i="1" s="1"/>
  <c r="BI7" i="1" s="1"/>
  <c r="AK7" i="1"/>
  <c r="AS7" i="1" s="1"/>
  <c r="AJ7" i="1"/>
  <c r="AR7" i="1" s="1"/>
  <c r="AG7" i="1"/>
  <c r="AO7" i="1" s="1"/>
  <c r="AF7" i="1"/>
  <c r="AN7" i="1" s="1"/>
  <c r="AE7" i="1"/>
  <c r="AM7" i="1" s="1"/>
  <c r="AD7" i="1"/>
  <c r="AL7" i="1" s="1"/>
  <c r="X7" i="1"/>
  <c r="H7" i="1"/>
  <c r="G7" i="1"/>
  <c r="F7" i="1"/>
  <c r="CL6" i="1"/>
  <c r="CK6" i="1"/>
  <c r="CJ6" i="1"/>
  <c r="CI6" i="1"/>
  <c r="CH6" i="1"/>
  <c r="CG6" i="1"/>
  <c r="CF6" i="1"/>
  <c r="CE6" i="1"/>
  <c r="CD6" i="1"/>
  <c r="CC6" i="1"/>
  <c r="AK6" i="1"/>
  <c r="AS6" i="1" s="1"/>
  <c r="AG6" i="1"/>
  <c r="AO6" i="1" s="1"/>
  <c r="BM6" i="1"/>
  <c r="I6" i="1" s="1"/>
  <c r="BL6" i="1"/>
  <c r="Z6" i="1" s="1"/>
  <c r="AZ6" i="1"/>
  <c r="AY6" i="1"/>
  <c r="AU6" i="1"/>
  <c r="AV6" i="1" s="1"/>
  <c r="AJ6" i="1"/>
  <c r="AR6" i="1" s="1"/>
  <c r="AI6" i="1"/>
  <c r="AH6" i="1"/>
  <c r="AP6" i="1" s="1"/>
  <c r="AF6" i="1"/>
  <c r="AN6" i="1" s="1"/>
  <c r="AE6" i="1"/>
  <c r="AD6" i="1"/>
  <c r="AL6" i="1" s="1"/>
  <c r="AA6" i="1"/>
  <c r="X6" i="1"/>
  <c r="S6" i="1"/>
  <c r="H6" i="1"/>
  <c r="G6" i="1"/>
  <c r="F6" i="1"/>
  <c r="CL5" i="1"/>
  <c r="CK5" i="1"/>
  <c r="CJ5" i="1"/>
  <c r="CI5" i="1"/>
  <c r="CH5" i="1"/>
  <c r="CG5" i="1"/>
  <c r="CF5" i="1"/>
  <c r="CE5" i="1"/>
  <c r="CD5" i="1"/>
  <c r="CC5" i="1"/>
  <c r="AK5" i="1"/>
  <c r="AS5" i="1" s="1"/>
  <c r="AF5" i="1"/>
  <c r="AN5" i="1" s="1"/>
  <c r="H5" i="1"/>
  <c r="BM5" i="1"/>
  <c r="BL5" i="1"/>
  <c r="AA5" i="1" s="1"/>
  <c r="AZ5" i="1"/>
  <c r="AY5" i="1"/>
  <c r="AU5" i="1"/>
  <c r="AV5" i="1" s="1"/>
  <c r="AJ5" i="1"/>
  <c r="AR5" i="1" s="1"/>
  <c r="AI5" i="1"/>
  <c r="AQ5" i="1" s="1"/>
  <c r="AH5" i="1"/>
  <c r="AP5" i="1" s="1"/>
  <c r="AG5" i="1"/>
  <c r="AO5" i="1" s="1"/>
  <c r="AE5" i="1"/>
  <c r="AM5" i="1" s="1"/>
  <c r="AD5" i="1"/>
  <c r="I5" i="1"/>
  <c r="G5" i="1"/>
  <c r="F5" i="1"/>
  <c r="CL4" i="1"/>
  <c r="CK4" i="1"/>
  <c r="CJ4" i="1"/>
  <c r="CI4" i="1"/>
  <c r="CH4" i="1"/>
  <c r="CG4" i="1"/>
  <c r="CF4" i="1"/>
  <c r="CE4" i="1"/>
  <c r="CD4" i="1"/>
  <c r="CC4" i="1"/>
  <c r="AJ4" i="1"/>
  <c r="AF4" i="1"/>
  <c r="BL4" i="1"/>
  <c r="AZ4" i="1"/>
  <c r="AY4" i="1"/>
  <c r="AU4" i="1"/>
  <c r="AK4" i="1"/>
  <c r="AI4" i="1"/>
  <c r="AH4" i="1"/>
  <c r="AG4" i="1"/>
  <c r="AE4" i="1"/>
  <c r="AD4" i="1"/>
  <c r="S4" i="1"/>
  <c r="I4" i="1"/>
  <c r="H4" i="1"/>
  <c r="BH7" i="1" l="1"/>
  <c r="CB27" i="1"/>
  <c r="S5" i="1"/>
  <c r="AA9" i="1"/>
  <c r="BC9" i="1"/>
  <c r="CB15" i="1"/>
  <c r="BC13" i="1"/>
  <c r="X15" i="1"/>
  <c r="AC15" i="1"/>
  <c r="T17" i="1"/>
  <c r="BB21" i="1"/>
  <c r="T24" i="1"/>
  <c r="Y24" i="1"/>
  <c r="V25" i="1"/>
  <c r="BB26" i="1"/>
  <c r="BC27" i="1"/>
  <c r="AB27" i="1"/>
  <c r="BC29" i="1"/>
  <c r="T35" i="1"/>
  <c r="X36" i="1"/>
  <c r="AB37" i="1"/>
  <c r="BH37" i="1"/>
  <c r="V38" i="1"/>
  <c r="AC38" i="1"/>
  <c r="U43" i="1"/>
  <c r="T48" i="1"/>
  <c r="AA48" i="1"/>
  <c r="Y62" i="1"/>
  <c r="BB68" i="1"/>
  <c r="AB74" i="1"/>
  <c r="AV74" i="1"/>
  <c r="I74" i="1"/>
  <c r="BE74" i="1" s="1"/>
  <c r="CN4" i="1"/>
  <c r="CW4" i="1" s="1"/>
  <c r="AB7" i="1"/>
  <c r="AT24" i="1"/>
  <c r="CO9" i="1"/>
  <c r="CX9" i="1" s="1"/>
  <c r="S9" i="1"/>
  <c r="AB9" i="1"/>
  <c r="X10" i="1"/>
  <c r="S12" i="1"/>
  <c r="AA12" i="1"/>
  <c r="BC12" i="1"/>
  <c r="T13" i="1"/>
  <c r="T15" i="1"/>
  <c r="Y15" i="1"/>
  <c r="X25" i="1"/>
  <c r="W32" i="1"/>
  <c r="X34" i="1"/>
  <c r="Z35" i="1"/>
  <c r="S36" i="1"/>
  <c r="Z36" i="1"/>
  <c r="X38" i="1"/>
  <c r="X41" i="1"/>
  <c r="AB42" i="1"/>
  <c r="Z43" i="1"/>
  <c r="BB46" i="1"/>
  <c r="U48" i="1"/>
  <c r="AB48" i="1"/>
  <c r="W50" i="1"/>
  <c r="T54" i="1"/>
  <c r="X54" i="1"/>
  <c r="AB54" i="1"/>
  <c r="BB57" i="1"/>
  <c r="U58" i="1"/>
  <c r="I58" i="1"/>
  <c r="BE58" i="1" s="1"/>
  <c r="Z64" i="1"/>
  <c r="T67" i="1"/>
  <c r="Y67" i="1"/>
  <c r="BB69" i="1"/>
  <c r="AB72" i="1"/>
  <c r="BC74" i="1"/>
  <c r="BC8" i="1"/>
  <c r="T36" i="1"/>
  <c r="AA36" i="1"/>
  <c r="T37" i="1"/>
  <c r="Z38" i="1"/>
  <c r="Y39" i="1"/>
  <c r="CN43" i="1"/>
  <c r="CW43" i="1" s="1"/>
  <c r="DB44" i="1"/>
  <c r="BB41" i="1"/>
  <c r="I42" i="1"/>
  <c r="U54" i="1"/>
  <c r="Y54" i="1"/>
  <c r="AV70" i="1"/>
  <c r="I70" i="1"/>
  <c r="BC70" i="1" s="1"/>
  <c r="BD70" i="1" s="1"/>
  <c r="I71" i="1"/>
  <c r="I67" i="1"/>
  <c r="I55" i="1"/>
  <c r="BC55" i="1" s="1"/>
  <c r="V15" i="1"/>
  <c r="AB15" i="1"/>
  <c r="CB64" i="1"/>
  <c r="BC66" i="1"/>
  <c r="AA11" i="1"/>
  <c r="AB11" i="1"/>
  <c r="Z4" i="1"/>
  <c r="AA4" i="1"/>
  <c r="W4" i="1"/>
  <c r="F4" i="1"/>
  <c r="Z5" i="1"/>
  <c r="V5" i="1"/>
  <c r="AC5" i="1"/>
  <c r="Y5" i="1"/>
  <c r="U5" i="1"/>
  <c r="AB5" i="1"/>
  <c r="X5" i="1"/>
  <c r="T5" i="1"/>
  <c r="W5" i="1"/>
  <c r="AV11" i="1"/>
  <c r="BI11" i="1" s="1"/>
  <c r="BH11" i="1"/>
  <c r="AC13" i="1"/>
  <c r="X13" i="1"/>
  <c r="S13" i="1"/>
  <c r="AB13" i="1"/>
  <c r="W13" i="1"/>
  <c r="AA13" i="1"/>
  <c r="V13" i="1"/>
  <c r="BC14" i="1"/>
  <c r="S8" i="1"/>
  <c r="X8" i="1"/>
  <c r="AC8" i="1"/>
  <c r="W9" i="1"/>
  <c r="T14" i="1"/>
  <c r="V16" i="1"/>
  <c r="CN21" i="1"/>
  <c r="CW21" i="1" s="1"/>
  <c r="AB21" i="1"/>
  <c r="V28" i="1"/>
  <c r="AA28" i="1"/>
  <c r="CQ32" i="1"/>
  <c r="CZ32" i="1" s="1"/>
  <c r="CA30" i="1"/>
  <c r="T32" i="1"/>
  <c r="X32" i="1"/>
  <c r="AB32" i="1"/>
  <c r="BE33" i="1"/>
  <c r="T34" i="1"/>
  <c r="Y34" i="1"/>
  <c r="CN39" i="1"/>
  <c r="CW39" i="1" s="1"/>
  <c r="V35" i="1"/>
  <c r="AA35" i="1"/>
  <c r="BC36" i="1"/>
  <c r="W36" i="1"/>
  <c r="AB36" i="1"/>
  <c r="S39" i="1"/>
  <c r="AA39" i="1"/>
  <c r="BC44" i="1"/>
  <c r="CQ45" i="1"/>
  <c r="CZ45" i="1" s="1"/>
  <c r="X47" i="1"/>
  <c r="S48" i="1"/>
  <c r="X48" i="1"/>
  <c r="AC48" i="1"/>
  <c r="AT48" i="1" s="1"/>
  <c r="T50" i="1"/>
  <c r="X50" i="1"/>
  <c r="AB50" i="1"/>
  <c r="CQ53" i="1"/>
  <c r="CZ53" i="1" s="1"/>
  <c r="V51" i="1"/>
  <c r="S52" i="1"/>
  <c r="X52" i="1"/>
  <c r="AC52" i="1"/>
  <c r="BC54" i="1"/>
  <c r="X57" i="1"/>
  <c r="BH57" i="1"/>
  <c r="W58" i="1"/>
  <c r="AB58" i="1"/>
  <c r="V59" i="1"/>
  <c r="BH59" i="1"/>
  <c r="X60" i="1"/>
  <c r="AB61" i="1"/>
  <c r="BH61" i="1"/>
  <c r="BC62" i="1"/>
  <c r="V63" i="1"/>
  <c r="W64" i="1"/>
  <c r="AB64" i="1"/>
  <c r="BB66" i="1"/>
  <c r="BD66" i="1" s="1"/>
  <c r="S68" i="1"/>
  <c r="Z68" i="1"/>
  <c r="S72" i="1"/>
  <c r="X72" i="1"/>
  <c r="AC72" i="1"/>
  <c r="BB73" i="1"/>
  <c r="BB74" i="1"/>
  <c r="U74" i="1"/>
  <c r="AC74" i="1"/>
  <c r="BC68" i="1"/>
  <c r="BB7" i="1"/>
  <c r="T8" i="1"/>
  <c r="Y8" i="1"/>
  <c r="CO13" i="1"/>
  <c r="CX13" i="1" s="1"/>
  <c r="CT14" i="1"/>
  <c r="DC14" i="1" s="1"/>
  <c r="W14" i="1"/>
  <c r="BH15" i="1"/>
  <c r="Y16" i="1"/>
  <c r="CO21" i="1"/>
  <c r="CX21" i="1" s="1"/>
  <c r="BC20" i="1"/>
  <c r="AA22" i="1"/>
  <c r="CP25" i="1"/>
  <c r="CY25" i="1" s="1"/>
  <c r="W25" i="1"/>
  <c r="AB25" i="1"/>
  <c r="S26" i="1"/>
  <c r="W28" i="1"/>
  <c r="AB28" i="1"/>
  <c r="AA29" i="1"/>
  <c r="BB32" i="1"/>
  <c r="U32" i="1"/>
  <c r="Y32" i="1"/>
  <c r="BF32" i="1" s="1"/>
  <c r="AC32" i="1"/>
  <c r="BB33" i="1"/>
  <c r="BC34" i="1"/>
  <c r="U34" i="1"/>
  <c r="Z34" i="1"/>
  <c r="CS36" i="1"/>
  <c r="W35" i="1"/>
  <c r="AB35" i="1"/>
  <c r="U39" i="1"/>
  <c r="AC39" i="1"/>
  <c r="S40" i="1"/>
  <c r="V44" i="1"/>
  <c r="CB54" i="1"/>
  <c r="U50" i="1"/>
  <c r="Y50" i="1"/>
  <c r="AC50" i="1"/>
  <c r="CR54" i="1"/>
  <c r="DA54" i="1" s="1"/>
  <c r="X51" i="1"/>
  <c r="BB52" i="1"/>
  <c r="T52" i="1"/>
  <c r="Y52" i="1"/>
  <c r="AB57" i="1"/>
  <c r="S58" i="1"/>
  <c r="X58" i="1"/>
  <c r="AC58" i="1"/>
  <c r="AT58" i="1" s="1"/>
  <c r="Z59" i="1"/>
  <c r="Y63" i="1"/>
  <c r="S64" i="1"/>
  <c r="X64" i="1"/>
  <c r="BB65" i="1"/>
  <c r="CQ65" i="1"/>
  <c r="CZ65" i="1" s="1"/>
  <c r="T68" i="1"/>
  <c r="AA68" i="1"/>
  <c r="T72" i="1"/>
  <c r="Y72" i="1"/>
  <c r="BH73" i="1"/>
  <c r="X74" i="1"/>
  <c r="AC16" i="1"/>
  <c r="BC6" i="1"/>
  <c r="BG13" i="1"/>
  <c r="AW13" i="1" s="1"/>
  <c r="Z16" i="1"/>
  <c r="S28" i="1"/>
  <c r="X28" i="1"/>
  <c r="CN32" i="1"/>
  <c r="CW32" i="1" s="1"/>
  <c r="V32" i="1"/>
  <c r="BG32" i="1"/>
  <c r="AW32" i="1" s="1"/>
  <c r="CB39" i="1"/>
  <c r="V34" i="1"/>
  <c r="AB34" i="1"/>
  <c r="CP37" i="1"/>
  <c r="CY37" i="1" s="1"/>
  <c r="S35" i="1"/>
  <c r="X35" i="1"/>
  <c r="AT38" i="1"/>
  <c r="W39" i="1"/>
  <c r="X40" i="1"/>
  <c r="CR43" i="1"/>
  <c r="DA43" i="1" s="1"/>
  <c r="BH42" i="1"/>
  <c r="BH43" i="1"/>
  <c r="Z44" i="1"/>
  <c r="BC48" i="1"/>
  <c r="V50" i="1"/>
  <c r="AB51" i="1"/>
  <c r="U52" i="1"/>
  <c r="AA52" i="1"/>
  <c r="BC53" i="1"/>
  <c r="T58" i="1"/>
  <c r="Y58" i="1"/>
  <c r="AB59" i="1"/>
  <c r="BE61" i="1"/>
  <c r="Z63" i="1"/>
  <c r="CN66" i="1"/>
  <c r="CW66" i="1" s="1"/>
  <c r="BD68" i="1"/>
  <c r="U72" i="1"/>
  <c r="AA72" i="1"/>
  <c r="Y74" i="1"/>
  <c r="BB67" i="1"/>
  <c r="AV52" i="1"/>
  <c r="G4" i="1"/>
  <c r="T4" i="1"/>
  <c r="X4" i="1"/>
  <c r="AB4" i="1"/>
  <c r="CQ7" i="1"/>
  <c r="CZ7" i="1" s="1"/>
  <c r="BH4" i="1"/>
  <c r="AV4" i="1"/>
  <c r="BB6" i="1"/>
  <c r="BD6" i="1" s="1"/>
  <c r="T6" i="1"/>
  <c r="AB6" i="1"/>
  <c r="T7" i="1"/>
  <c r="V8" i="1"/>
  <c r="U9" i="1"/>
  <c r="Y9" i="1"/>
  <c r="AC9" i="1"/>
  <c r="S10" i="1"/>
  <c r="AA10" i="1"/>
  <c r="CP14" i="1"/>
  <c r="CY14" i="1" s="1"/>
  <c r="BB11" i="1"/>
  <c r="CB12" i="1"/>
  <c r="U12" i="1"/>
  <c r="Y12" i="1"/>
  <c r="AC12" i="1"/>
  <c r="AT12" i="1" s="1"/>
  <c r="X14" i="1"/>
  <c r="BE14" i="1"/>
  <c r="BC15" i="1"/>
  <c r="S16" i="1"/>
  <c r="W16" i="1"/>
  <c r="AA16" i="1"/>
  <c r="BD17" i="1"/>
  <c r="W17" i="1"/>
  <c r="BE17" i="1"/>
  <c r="T18" i="1"/>
  <c r="BH18" i="1"/>
  <c r="X19" i="1"/>
  <c r="AC19" i="1"/>
  <c r="BH19" i="1"/>
  <c r="U20" i="1"/>
  <c r="Y20" i="1"/>
  <c r="BF20" i="1" s="1"/>
  <c r="S21" i="1"/>
  <c r="X21" i="1"/>
  <c r="AT21" i="1"/>
  <c r="S22" i="1"/>
  <c r="X22" i="1"/>
  <c r="AC22" i="1"/>
  <c r="T23" i="1"/>
  <c r="V24" i="1"/>
  <c r="BF24" i="1" s="1"/>
  <c r="Z26" i="1"/>
  <c r="AB26" i="1"/>
  <c r="W26" i="1"/>
  <c r="BB30" i="1"/>
  <c r="AC31" i="1"/>
  <c r="AT31" i="1" s="1"/>
  <c r="T31" i="1"/>
  <c r="AB31" i="1"/>
  <c r="CO5" i="1"/>
  <c r="CX5" i="1" s="1"/>
  <c r="BF8" i="1"/>
  <c r="U4" i="1"/>
  <c r="Y4" i="1"/>
  <c r="AC4" i="1"/>
  <c r="CR8" i="1"/>
  <c r="DA8" i="1" s="1"/>
  <c r="W6" i="1"/>
  <c r="CS4" i="1"/>
  <c r="DB4" i="1" s="1"/>
  <c r="V9" i="1"/>
  <c r="BB10" i="1"/>
  <c r="T10" i="1"/>
  <c r="AB10" i="1"/>
  <c r="T11" i="1"/>
  <c r="V12" i="1"/>
  <c r="S14" i="1"/>
  <c r="AA14" i="1"/>
  <c r="BE15" i="1"/>
  <c r="BA15" i="1"/>
  <c r="T16" i="1"/>
  <c r="X16" i="1"/>
  <c r="CR16" i="1"/>
  <c r="DA16" i="1" s="1"/>
  <c r="BB18" i="1"/>
  <c r="X18" i="1"/>
  <c r="T19" i="1"/>
  <c r="Y19" i="1"/>
  <c r="T21" i="1"/>
  <c r="Z21" i="1"/>
  <c r="BB22" i="1"/>
  <c r="T22" i="1"/>
  <c r="Y22" i="1"/>
  <c r="CN27" i="1"/>
  <c r="CW27" i="1" s="1"/>
  <c r="CS24" i="1"/>
  <c r="DB24" i="1" s="1"/>
  <c r="BH26" i="1"/>
  <c r="AV26" i="1"/>
  <c r="BC26" i="1"/>
  <c r="BH28" i="1"/>
  <c r="AV28" i="1"/>
  <c r="BC31" i="1"/>
  <c r="AV31" i="1"/>
  <c r="BI31" i="1" s="1"/>
  <c r="BH31" i="1"/>
  <c r="BH35" i="1"/>
  <c r="AV35" i="1"/>
  <c r="BD8" i="1"/>
  <c r="V4" i="1"/>
  <c r="CN8" i="1"/>
  <c r="CW8" i="1" s="1"/>
  <c r="CS9" i="1"/>
  <c r="DB9" i="1" s="1"/>
  <c r="CO4" i="1"/>
  <c r="CX4" i="1" s="1"/>
  <c r="BC7" i="1"/>
  <c r="BD7" i="1" s="1"/>
  <c r="BH8" i="1"/>
  <c r="AV8" i="1"/>
  <c r="W10" i="1"/>
  <c r="CN15" i="1"/>
  <c r="CW15" i="1" s="1"/>
  <c r="AB18" i="1"/>
  <c r="BC19" i="1"/>
  <c r="V21" i="1"/>
  <c r="AA21" i="1"/>
  <c r="CO24" i="1"/>
  <c r="CX24" i="1" s="1"/>
  <c r="CT25" i="1"/>
  <c r="DC25" i="1" s="1"/>
  <c r="BH24" i="1"/>
  <c r="AV24" i="1"/>
  <c r="BH30" i="1"/>
  <c r="AV30" i="1"/>
  <c r="BH12" i="1"/>
  <c r="AV12" i="1"/>
  <c r="BF16" i="1"/>
  <c r="BE19" i="1"/>
  <c r="BA19" i="1"/>
  <c r="BH22" i="1"/>
  <c r="AV22" i="1"/>
  <c r="BD24" i="1"/>
  <c r="CU32" i="1"/>
  <c r="DD32" i="1" s="1"/>
  <c r="BE31" i="1"/>
  <c r="S33" i="1"/>
  <c r="X33" i="1"/>
  <c r="BG33" i="1"/>
  <c r="AW33" i="1" s="1"/>
  <c r="CO36" i="1"/>
  <c r="CX36" i="1" s="1"/>
  <c r="DB36" i="1"/>
  <c r="BH34" i="1"/>
  <c r="BE36" i="1"/>
  <c r="BE37" i="1"/>
  <c r="T39" i="1"/>
  <c r="X39" i="1"/>
  <c r="AB39" i="1"/>
  <c r="BH39" i="1"/>
  <c r="AV39" i="1"/>
  <c r="CA42" i="1"/>
  <c r="W40" i="1"/>
  <c r="AB40" i="1"/>
  <c r="T41" i="1"/>
  <c r="Y42" i="1"/>
  <c r="T43" i="1"/>
  <c r="Y43" i="1"/>
  <c r="U44" i="1"/>
  <c r="Y44" i="1"/>
  <c r="AC44" i="1"/>
  <c r="T45" i="1"/>
  <c r="BH45" i="1"/>
  <c r="V47" i="1"/>
  <c r="BG47" i="1"/>
  <c r="AW47" i="1" s="1"/>
  <c r="BE48" i="1"/>
  <c r="T49" i="1"/>
  <c r="BF50" i="1"/>
  <c r="BH53" i="1"/>
  <c r="AA65" i="1"/>
  <c r="T65" i="1"/>
  <c r="AB65" i="1"/>
  <c r="AV32" i="1"/>
  <c r="BA38" i="1"/>
  <c r="BC39" i="1"/>
  <c r="AT44" i="1"/>
  <c r="BC47" i="1"/>
  <c r="AV47" i="1"/>
  <c r="BI47" i="1" s="1"/>
  <c r="AT47" i="1"/>
  <c r="CA53" i="1"/>
  <c r="BC51" i="1"/>
  <c r="AV51" i="1"/>
  <c r="BI51" i="1" s="1"/>
  <c r="BH51" i="1"/>
  <c r="AC55" i="1"/>
  <c r="V55" i="1"/>
  <c r="AB55" i="1"/>
  <c r="T55" i="1"/>
  <c r="Z55" i="1"/>
  <c r="Y56" i="1"/>
  <c r="AC56" i="1"/>
  <c r="S56" i="1"/>
  <c r="AA56" i="1"/>
  <c r="X56" i="1"/>
  <c r="AV65" i="1"/>
  <c r="BI65" i="1" s="1"/>
  <c r="BH65" i="1"/>
  <c r="CR75" i="1"/>
  <c r="DA75" i="1" s="1"/>
  <c r="CR72" i="1"/>
  <c r="DA72" i="1" s="1"/>
  <c r="CN55" i="1"/>
  <c r="CW55" i="1" s="1"/>
  <c r="BE63" i="1"/>
  <c r="I75" i="1"/>
  <c r="CA71" i="1" s="1"/>
  <c r="I59" i="1"/>
  <c r="BC25" i="1"/>
  <c r="BE26" i="1"/>
  <c r="BE27" i="1"/>
  <c r="AT27" i="1"/>
  <c r="CB29" i="1"/>
  <c r="U28" i="1"/>
  <c r="Y28" i="1"/>
  <c r="CR32" i="1"/>
  <c r="DA32" i="1" s="1"/>
  <c r="AT29" i="1"/>
  <c r="V33" i="1"/>
  <c r="AA33" i="1"/>
  <c r="CA38" i="1"/>
  <c r="CQ38" i="1"/>
  <c r="CZ38" i="1" s="1"/>
  <c r="CU38" i="1"/>
  <c r="DD38" i="1" s="1"/>
  <c r="BC35" i="1"/>
  <c r="U35" i="1"/>
  <c r="Y35" i="1"/>
  <c r="BG36" i="1"/>
  <c r="AW36" i="1" s="1"/>
  <c r="AT36" i="1"/>
  <c r="BB37" i="1"/>
  <c r="T38" i="1"/>
  <c r="Y38" i="1"/>
  <c r="BH38" i="1"/>
  <c r="V39" i="1"/>
  <c r="AT39" i="1"/>
  <c r="BB40" i="1"/>
  <c r="T40" i="1"/>
  <c r="Z40" i="1"/>
  <c r="CO44" i="1"/>
  <c r="CX44" i="1" s="1"/>
  <c r="AB41" i="1"/>
  <c r="BH41" i="1"/>
  <c r="BC42" i="1"/>
  <c r="U42" i="1"/>
  <c r="AC42" i="1"/>
  <c r="BA42" i="1"/>
  <c r="BC43" i="1"/>
  <c r="V43" i="1"/>
  <c r="AB43" i="1"/>
  <c r="BA43" i="1"/>
  <c r="S44" i="1"/>
  <c r="W44" i="1"/>
  <c r="AA44" i="1"/>
  <c r="BC45" i="1"/>
  <c r="BD45" i="1" s="1"/>
  <c r="AC45" i="1"/>
  <c r="AO45" i="1"/>
  <c r="BE46" i="1"/>
  <c r="BF46" i="1"/>
  <c r="AT46" i="1"/>
  <c r="Z47" i="1"/>
  <c r="BH47" i="1"/>
  <c r="BB48" i="1"/>
  <c r="AB49" i="1"/>
  <c r="BH49" i="1"/>
  <c r="CP52" i="1"/>
  <c r="CY52" i="1" s="1"/>
  <c r="CU53" i="1"/>
  <c r="DD53" i="1" s="1"/>
  <c r="Z51" i="1"/>
  <c r="BD52" i="1"/>
  <c r="BC52" i="1"/>
  <c r="AV55" i="1"/>
  <c r="BI55" i="1" s="1"/>
  <c r="BH55" i="1"/>
  <c r="BG63" i="1"/>
  <c r="AW63" i="1" s="1"/>
  <c r="BH63" i="1"/>
  <c r="AV63" i="1"/>
  <c r="BC72" i="1"/>
  <c r="AV56" i="1"/>
  <c r="BI56" i="1" s="1"/>
  <c r="AT33" i="1"/>
  <c r="CR39" i="1"/>
  <c r="DA39" i="1" s="1"/>
  <c r="BA34" i="1"/>
  <c r="BF35" i="1"/>
  <c r="AT35" i="1"/>
  <c r="BC37" i="1"/>
  <c r="BC38" i="1"/>
  <c r="V40" i="1"/>
  <c r="AA40" i="1"/>
  <c r="CP41" i="1"/>
  <c r="CY41" i="1" s="1"/>
  <c r="BB42" i="1"/>
  <c r="BD42" i="1" s="1"/>
  <c r="X42" i="1"/>
  <c r="BG42" i="1"/>
  <c r="AW42" i="1" s="1"/>
  <c r="X43" i="1"/>
  <c r="AC43" i="1"/>
  <c r="AT43" i="1" s="1"/>
  <c r="T44" i="1"/>
  <c r="X44" i="1"/>
  <c r="BE44" i="1"/>
  <c r="CS47" i="1"/>
  <c r="DB47" i="1" s="1"/>
  <c r="CO45" i="1"/>
  <c r="CX45" i="1" s="1"/>
  <c r="CS45" i="1"/>
  <c r="BC46" i="1"/>
  <c r="BD46" i="1" s="1"/>
  <c r="BH46" i="1"/>
  <c r="AV46" i="1"/>
  <c r="T47" i="1"/>
  <c r="AB47" i="1"/>
  <c r="BH50" i="1"/>
  <c r="AV50" i="1"/>
  <c r="AA53" i="1"/>
  <c r="AB53" i="1"/>
  <c r="T53" i="1"/>
  <c r="Z53" i="1"/>
  <c r="AV62" i="1"/>
  <c r="BI62" i="1" s="1"/>
  <c r="BH62" i="1"/>
  <c r="CU75" i="1"/>
  <c r="DD75" i="1" s="1"/>
  <c r="X71" i="1"/>
  <c r="T71" i="1"/>
  <c r="BE72" i="1"/>
  <c r="BG73" i="1"/>
  <c r="AW73" i="1" s="1"/>
  <c r="BB54" i="1"/>
  <c r="BF54" i="1"/>
  <c r="CP55" i="1"/>
  <c r="CY55" i="1" s="1"/>
  <c r="BG56" i="1"/>
  <c r="AW56" i="1" s="1"/>
  <c r="V58" i="1"/>
  <c r="BF58" i="1" s="1"/>
  <c r="BC59" i="1"/>
  <c r="X59" i="1"/>
  <c r="S60" i="1"/>
  <c r="AA60" i="1"/>
  <c r="CR62" i="1"/>
  <c r="DA62" i="1" s="1"/>
  <c r="BG61" i="1"/>
  <c r="AW61" i="1" s="1"/>
  <c r="BB62" i="1"/>
  <c r="BD62" i="1" s="1"/>
  <c r="AC62" i="1"/>
  <c r="S63" i="1"/>
  <c r="W63" i="1"/>
  <c r="AA63" i="1"/>
  <c r="BB64" i="1"/>
  <c r="BC65" i="1"/>
  <c r="CQ69" i="1"/>
  <c r="CZ69" i="1" s="1"/>
  <c r="W68" i="1"/>
  <c r="AB68" i="1"/>
  <c r="BE68" i="1"/>
  <c r="X70" i="1"/>
  <c r="AC70" i="1"/>
  <c r="BC71" i="1"/>
  <c r="BH71" i="1"/>
  <c r="AT72" i="1"/>
  <c r="V74" i="1"/>
  <c r="Z74" i="1"/>
  <c r="BG74" i="1"/>
  <c r="AW74" i="1" s="1"/>
  <c r="AV75" i="1"/>
  <c r="AV67" i="1"/>
  <c r="BI67" i="1" s="1"/>
  <c r="CR55" i="1"/>
  <c r="DA55" i="1" s="1"/>
  <c r="BA59" i="1"/>
  <c r="AT59" i="1"/>
  <c r="BB60" i="1"/>
  <c r="T60" i="1"/>
  <c r="AB60" i="1"/>
  <c r="CS60" i="1"/>
  <c r="DB60" i="1" s="1"/>
  <c r="T61" i="1"/>
  <c r="U62" i="1"/>
  <c r="T63" i="1"/>
  <c r="X63" i="1"/>
  <c r="BC64" i="1"/>
  <c r="CS67" i="1"/>
  <c r="DB67" i="1" s="1"/>
  <c r="BE69" i="1"/>
  <c r="BB70" i="1"/>
  <c r="CT73" i="1"/>
  <c r="DC73" i="1" s="1"/>
  <c r="CT74" i="1"/>
  <c r="DC74" i="1" s="1"/>
  <c r="V72" i="1"/>
  <c r="S74" i="1"/>
  <c r="W74" i="1"/>
  <c r="AV58" i="1"/>
  <c r="AV54" i="1"/>
  <c r="BE54" i="1"/>
  <c r="AT54" i="1"/>
  <c r="BC60" i="1"/>
  <c r="CO60" i="1"/>
  <c r="CX60" i="1" s="1"/>
  <c r="AT63" i="1"/>
  <c r="BG64" i="1"/>
  <c r="AW64" i="1" s="1"/>
  <c r="CO65" i="1"/>
  <c r="CX65" i="1" s="1"/>
  <c r="BG68" i="1"/>
  <c r="AW68" i="1" s="1"/>
  <c r="CQ71" i="1"/>
  <c r="CZ71" i="1" s="1"/>
  <c r="CT70" i="1"/>
  <c r="DC70" i="1" s="1"/>
  <c r="BC75" i="1"/>
  <c r="AV69" i="1"/>
  <c r="BI69" i="1" s="1"/>
  <c r="CB9" i="1"/>
  <c r="CR4" i="1"/>
  <c r="DA4" i="1" s="1"/>
  <c r="AP7" i="1"/>
  <c r="AT8" i="1"/>
  <c r="AT9" i="1"/>
  <c r="CQ14" i="1"/>
  <c r="CZ14" i="1" s="1"/>
  <c r="CQ11" i="1"/>
  <c r="CZ11" i="1" s="1"/>
  <c r="CQ15" i="1"/>
  <c r="CZ15" i="1" s="1"/>
  <c r="CQ12" i="1"/>
  <c r="CZ12" i="1" s="1"/>
  <c r="CQ13" i="1"/>
  <c r="CZ13" i="1" s="1"/>
  <c r="AO10" i="1"/>
  <c r="CQ10" i="1"/>
  <c r="CZ10" i="1" s="1"/>
  <c r="CU14" i="1"/>
  <c r="DD14" i="1" s="1"/>
  <c r="CU11" i="1"/>
  <c r="DD11" i="1" s="1"/>
  <c r="CU15" i="1"/>
  <c r="DD15" i="1" s="1"/>
  <c r="CU12" i="1"/>
  <c r="DD12" i="1" s="1"/>
  <c r="CU13" i="1"/>
  <c r="DD13" i="1" s="1"/>
  <c r="AS10" i="1"/>
  <c r="CU10" i="1"/>
  <c r="DD10" i="1" s="1"/>
  <c r="BC11" i="1"/>
  <c r="CP10" i="1"/>
  <c r="CY10" i="1" s="1"/>
  <c r="AN12" i="1"/>
  <c r="CT10" i="1"/>
  <c r="DC10" i="1" s="1"/>
  <c r="AR12" i="1"/>
  <c r="AT13" i="1"/>
  <c r="BB13" i="1"/>
  <c r="BD13" i="1" s="1"/>
  <c r="BE13" i="1"/>
  <c r="BB14" i="1"/>
  <c r="BD14" i="1" s="1"/>
  <c r="BG14" i="1"/>
  <c r="AW14" i="1" s="1"/>
  <c r="CB21" i="1"/>
  <c r="CB19" i="1"/>
  <c r="BB16" i="1"/>
  <c r="CB20" i="1"/>
  <c r="CB16" i="1"/>
  <c r="BE16" i="1"/>
  <c r="CB17" i="1"/>
  <c r="CB18" i="1"/>
  <c r="CP21" i="1"/>
  <c r="CY21" i="1" s="1"/>
  <c r="CP20" i="1"/>
  <c r="CY20" i="1" s="1"/>
  <c r="CP17" i="1"/>
  <c r="CY17" i="1" s="1"/>
  <c r="CP18" i="1"/>
  <c r="CY18" i="1" s="1"/>
  <c r="CP19" i="1"/>
  <c r="CY19" i="1" s="1"/>
  <c r="AN16" i="1"/>
  <c r="CP16" i="1"/>
  <c r="CY16" i="1" s="1"/>
  <c r="CT21" i="1"/>
  <c r="DC21" i="1" s="1"/>
  <c r="CT17" i="1"/>
  <c r="DC17" i="1" s="1"/>
  <c r="CT20" i="1"/>
  <c r="DC20" i="1" s="1"/>
  <c r="CT18" i="1"/>
  <c r="DC18" i="1" s="1"/>
  <c r="CT19" i="1"/>
  <c r="DC19" i="1" s="1"/>
  <c r="AR16" i="1"/>
  <c r="CT16" i="1"/>
  <c r="DC16" i="1" s="1"/>
  <c r="BE18" i="1"/>
  <c r="BG18" i="1"/>
  <c r="AW18" i="1" s="1"/>
  <c r="AT19" i="1"/>
  <c r="AT20" i="1"/>
  <c r="BB20" i="1"/>
  <c r="BD20" i="1" s="1"/>
  <c r="BE20" i="1"/>
  <c r="BD21" i="1"/>
  <c r="CA8" i="1"/>
  <c r="CA7" i="1"/>
  <c r="AT5" i="1"/>
  <c r="BE6" i="1"/>
  <c r="AQ7" i="1"/>
  <c r="BG7" i="1" s="1"/>
  <c r="CS5" i="1"/>
  <c r="DB5" i="1" s="1"/>
  <c r="BG8" i="1"/>
  <c r="AW8" i="1" s="1"/>
  <c r="BB9" i="1"/>
  <c r="BD9" i="1" s="1"/>
  <c r="BE9" i="1"/>
  <c r="CR15" i="1"/>
  <c r="DA15" i="1" s="1"/>
  <c r="CA14" i="1"/>
  <c r="CA11" i="1"/>
  <c r="BC10" i="1"/>
  <c r="BD10" i="1" s="1"/>
  <c r="CA15" i="1"/>
  <c r="CA12" i="1"/>
  <c r="CA13" i="1"/>
  <c r="CA10" i="1"/>
  <c r="BD11" i="1"/>
  <c r="BG11" i="1"/>
  <c r="AW11" i="1" s="1"/>
  <c r="AT15" i="1"/>
  <c r="CA19" i="1"/>
  <c r="CQ20" i="1"/>
  <c r="CZ20" i="1" s="1"/>
  <c r="CQ21" i="1"/>
  <c r="CZ21" i="1" s="1"/>
  <c r="CQ18" i="1"/>
  <c r="CZ18" i="1" s="1"/>
  <c r="CQ19" i="1"/>
  <c r="CZ19" i="1" s="1"/>
  <c r="AO16" i="1"/>
  <c r="CQ16" i="1"/>
  <c r="CZ16" i="1" s="1"/>
  <c r="CQ17" i="1"/>
  <c r="CZ17" i="1" s="1"/>
  <c r="CU20" i="1"/>
  <c r="DD20" i="1" s="1"/>
  <c r="CU21" i="1"/>
  <c r="DD21" i="1" s="1"/>
  <c r="CU18" i="1"/>
  <c r="DD18" i="1" s="1"/>
  <c r="CU19" i="1"/>
  <c r="DD19" i="1" s="1"/>
  <c r="AS16" i="1"/>
  <c r="CU16" i="1"/>
  <c r="DD16" i="1" s="1"/>
  <c r="CU17" i="1"/>
  <c r="DD17" i="1" s="1"/>
  <c r="BG17" i="1"/>
  <c r="AW17" i="1" s="1"/>
  <c r="CS16" i="1"/>
  <c r="DB16" i="1" s="1"/>
  <c r="AQ19" i="1"/>
  <c r="BG19" i="1" s="1"/>
  <c r="AW19" i="1" s="1"/>
  <c r="CU8" i="1"/>
  <c r="DD8" i="1" s="1"/>
  <c r="CP7" i="1"/>
  <c r="CY7" i="1" s="1"/>
  <c r="AN4" i="1"/>
  <c r="CP6" i="1"/>
  <c r="CY6" i="1" s="1"/>
  <c r="CP8" i="1"/>
  <c r="CY8" i="1" s="1"/>
  <c r="CP4" i="1"/>
  <c r="CY4" i="1" s="1"/>
  <c r="CP9" i="1"/>
  <c r="CY9" i="1" s="1"/>
  <c r="CP5" i="1"/>
  <c r="CY5" i="1" s="1"/>
  <c r="CT6" i="1"/>
  <c r="DC6" i="1" s="1"/>
  <c r="CT7" i="1"/>
  <c r="DC7" i="1" s="1"/>
  <c r="AR4" i="1"/>
  <c r="CT8" i="1"/>
  <c r="DC8" i="1" s="1"/>
  <c r="CT4" i="1"/>
  <c r="DC4" i="1" s="1"/>
  <c r="CT9" i="1"/>
  <c r="DC9" i="1" s="1"/>
  <c r="CT5" i="1"/>
  <c r="DC5" i="1" s="1"/>
  <c r="BE5" i="1"/>
  <c r="BB5" i="1"/>
  <c r="CS13" i="1"/>
  <c r="DB13" i="1" s="1"/>
  <c r="BG15" i="1"/>
  <c r="AW15" i="1" s="1"/>
  <c r="BD18" i="1"/>
  <c r="BG21" i="1"/>
  <c r="AW21" i="1" s="1"/>
  <c r="AS4" i="1"/>
  <c r="CB4" i="1"/>
  <c r="AM6" i="1"/>
  <c r="AQ6" i="1"/>
  <c r="CU7" i="1"/>
  <c r="DD7" i="1" s="1"/>
  <c r="BE8" i="1"/>
  <c r="AL4" i="1"/>
  <c r="AP4" i="1"/>
  <c r="AT4" i="1"/>
  <c r="BB4" i="1"/>
  <c r="BC5" i="1"/>
  <c r="BI6" i="1"/>
  <c r="BH6" i="1"/>
  <c r="CA6" i="1"/>
  <c r="CQ6" i="1"/>
  <c r="CZ6" i="1" s="1"/>
  <c r="CU6" i="1"/>
  <c r="DD6" i="1" s="1"/>
  <c r="U7" i="1"/>
  <c r="Y7" i="1"/>
  <c r="AC7" i="1"/>
  <c r="AT7" i="1" s="1"/>
  <c r="BA7" i="1"/>
  <c r="BE7" i="1"/>
  <c r="CB7" i="1"/>
  <c r="CN7" i="1"/>
  <c r="CW7" i="1" s="1"/>
  <c r="CR7" i="1"/>
  <c r="DA7" i="1" s="1"/>
  <c r="CO8" i="1"/>
  <c r="CX8" i="1" s="1"/>
  <c r="CS8" i="1"/>
  <c r="DB8" i="1" s="1"/>
  <c r="AN10" i="1"/>
  <c r="AR10" i="1"/>
  <c r="BI10" i="1"/>
  <c r="BH10" i="1"/>
  <c r="U11" i="1"/>
  <c r="Y11" i="1"/>
  <c r="AC11" i="1"/>
  <c r="AT11" i="1" s="1"/>
  <c r="BA11" i="1"/>
  <c r="BE11" i="1"/>
  <c r="CB11" i="1"/>
  <c r="CN11" i="1"/>
  <c r="CW11" i="1" s="1"/>
  <c r="CR11" i="1"/>
  <c r="DA11" i="1" s="1"/>
  <c r="BB12" i="1"/>
  <c r="BD12" i="1" s="1"/>
  <c r="CO12" i="1"/>
  <c r="CX12" i="1" s="1"/>
  <c r="CS12" i="1"/>
  <c r="DB12" i="1" s="1"/>
  <c r="CP13" i="1"/>
  <c r="CY13" i="1" s="1"/>
  <c r="CT13" i="1"/>
  <c r="DC13" i="1" s="1"/>
  <c r="BI14" i="1"/>
  <c r="BH14" i="1"/>
  <c r="CB14" i="1"/>
  <c r="CN14" i="1"/>
  <c r="CW14" i="1" s="1"/>
  <c r="CR14" i="1"/>
  <c r="DA14" i="1" s="1"/>
  <c r="BB15" i="1"/>
  <c r="BD15" i="1" s="1"/>
  <c r="CO15" i="1"/>
  <c r="CX15" i="1" s="1"/>
  <c r="CS15" i="1"/>
  <c r="DB15" i="1" s="1"/>
  <c r="CS21" i="1"/>
  <c r="DB21" i="1" s="1"/>
  <c r="AM16" i="1"/>
  <c r="AQ16" i="1"/>
  <c r="BC16" i="1"/>
  <c r="BI17" i="1"/>
  <c r="BH17" i="1"/>
  <c r="CA17" i="1"/>
  <c r="U18" i="1"/>
  <c r="Y18" i="1"/>
  <c r="AC18" i="1"/>
  <c r="AT18" i="1" s="1"/>
  <c r="BA18" i="1"/>
  <c r="CN18" i="1"/>
  <c r="CW18" i="1" s="1"/>
  <c r="CR18" i="1"/>
  <c r="DA18" i="1" s="1"/>
  <c r="BB19" i="1"/>
  <c r="BD19" i="1" s="1"/>
  <c r="CO19" i="1"/>
  <c r="CX19" i="1" s="1"/>
  <c r="CS19" i="1"/>
  <c r="DB19" i="1" s="1"/>
  <c r="CR20" i="1"/>
  <c r="DA20" i="1" s="1"/>
  <c r="AT23" i="1"/>
  <c r="BG24" i="1"/>
  <c r="AW24" i="1" s="1"/>
  <c r="BG25" i="1"/>
  <c r="AW25" i="1" s="1"/>
  <c r="BG26" i="1"/>
  <c r="AW26" i="1" s="1"/>
  <c r="BG29" i="1"/>
  <c r="AW29" i="1" s="1"/>
  <c r="BG30" i="1"/>
  <c r="AW30" i="1" s="1"/>
  <c r="BG31" i="1"/>
  <c r="AW31" i="1" s="1"/>
  <c r="BD32" i="1"/>
  <c r="AT32" i="1"/>
  <c r="BE4" i="1"/>
  <c r="AQ4" i="1"/>
  <c r="BC4" i="1"/>
  <c r="BI5" i="1"/>
  <c r="BH5" i="1"/>
  <c r="CA5" i="1"/>
  <c r="CM5" i="1"/>
  <c r="CV5" i="1" s="1"/>
  <c r="CQ5" i="1"/>
  <c r="CZ5" i="1" s="1"/>
  <c r="CU5" i="1"/>
  <c r="DD5" i="1" s="1"/>
  <c r="U6" i="1"/>
  <c r="Y6" i="1"/>
  <c r="AC6" i="1"/>
  <c r="AT6" i="1" s="1"/>
  <c r="CB6" i="1"/>
  <c r="CN6" i="1"/>
  <c r="CW6" i="1" s="1"/>
  <c r="CR6" i="1"/>
  <c r="DA6" i="1" s="1"/>
  <c r="V7" i="1"/>
  <c r="Z7" i="1"/>
  <c r="CO7" i="1"/>
  <c r="CX7" i="1" s="1"/>
  <c r="CS7" i="1"/>
  <c r="DB7" i="1" s="1"/>
  <c r="BI9" i="1"/>
  <c r="BH9" i="1"/>
  <c r="CA9" i="1"/>
  <c r="CM9" i="1"/>
  <c r="CV9" i="1" s="1"/>
  <c r="CQ9" i="1"/>
  <c r="CZ9" i="1" s="1"/>
  <c r="CU9" i="1"/>
  <c r="DD9" i="1" s="1"/>
  <c r="U10" i="1"/>
  <c r="Y10" i="1"/>
  <c r="AC10" i="1"/>
  <c r="BE10" i="1"/>
  <c r="CB10" i="1"/>
  <c r="CN10" i="1"/>
  <c r="CW10" i="1" s="1"/>
  <c r="CR10" i="1"/>
  <c r="DA10" i="1" s="1"/>
  <c r="V11" i="1"/>
  <c r="Z11" i="1"/>
  <c r="CO11" i="1"/>
  <c r="CX11" i="1" s="1"/>
  <c r="CS11" i="1"/>
  <c r="DB11" i="1" s="1"/>
  <c r="CP12" i="1"/>
  <c r="CY12" i="1" s="1"/>
  <c r="CT12" i="1"/>
  <c r="DC12" i="1" s="1"/>
  <c r="BI13" i="1"/>
  <c r="BH13" i="1"/>
  <c r="U14" i="1"/>
  <c r="Y14" i="1"/>
  <c r="AC14" i="1"/>
  <c r="AT14" i="1" s="1"/>
  <c r="CO14" i="1"/>
  <c r="CX14" i="1" s="1"/>
  <c r="CS14" i="1"/>
  <c r="DB14" i="1" s="1"/>
  <c r="S15" i="1"/>
  <c r="W15" i="1"/>
  <c r="CP15" i="1"/>
  <c r="CY15" i="1" s="1"/>
  <c r="CT15" i="1"/>
  <c r="DC15" i="1" s="1"/>
  <c r="BI16" i="1"/>
  <c r="BH16" i="1"/>
  <c r="CA16" i="1"/>
  <c r="U17" i="1"/>
  <c r="Y17" i="1"/>
  <c r="AC17" i="1"/>
  <c r="AT17" i="1" s="1"/>
  <c r="CN17" i="1"/>
  <c r="CW17" i="1" s="1"/>
  <c r="CR17" i="1"/>
  <c r="DA17" i="1" s="1"/>
  <c r="V18" i="1"/>
  <c r="Z18" i="1"/>
  <c r="CO18" i="1"/>
  <c r="CX18" i="1" s="1"/>
  <c r="CS18" i="1"/>
  <c r="DB18" i="1" s="1"/>
  <c r="S19" i="1"/>
  <c r="W19" i="1"/>
  <c r="BI20" i="1"/>
  <c r="BH20" i="1"/>
  <c r="CA20" i="1"/>
  <c r="CN20" i="1"/>
  <c r="CW20" i="1" s="1"/>
  <c r="CS20" i="1"/>
  <c r="DB20" i="1" s="1"/>
  <c r="CQ26" i="1"/>
  <c r="CZ26" i="1" s="1"/>
  <c r="CQ22" i="1"/>
  <c r="CZ22" i="1" s="1"/>
  <c r="CQ27" i="1"/>
  <c r="CZ27" i="1" s="1"/>
  <c r="CQ23" i="1"/>
  <c r="CZ23" i="1" s="1"/>
  <c r="CQ24" i="1"/>
  <c r="CZ24" i="1" s="1"/>
  <c r="CQ25" i="1"/>
  <c r="CZ25" i="1" s="1"/>
  <c r="AO22" i="1"/>
  <c r="CU26" i="1"/>
  <c r="DD26" i="1" s="1"/>
  <c r="CU22" i="1"/>
  <c r="DD22" i="1" s="1"/>
  <c r="CU27" i="1"/>
  <c r="DD27" i="1" s="1"/>
  <c r="CU23" i="1"/>
  <c r="DD23" i="1" s="1"/>
  <c r="CU24" i="1"/>
  <c r="DD24" i="1" s="1"/>
  <c r="CU25" i="1"/>
  <c r="DD25" i="1" s="1"/>
  <c r="AS22" i="1"/>
  <c r="BC23" i="1"/>
  <c r="AT26" i="1"/>
  <c r="CP33" i="1"/>
  <c r="CY33" i="1" s="1"/>
  <c r="CP29" i="1"/>
  <c r="CY29" i="1" s="1"/>
  <c r="CP30" i="1"/>
  <c r="CY30" i="1" s="1"/>
  <c r="CP31" i="1"/>
  <c r="CY31" i="1" s="1"/>
  <c r="AN28" i="1"/>
  <c r="CP32" i="1"/>
  <c r="CY32" i="1" s="1"/>
  <c r="CP28" i="1"/>
  <c r="CY28" i="1" s="1"/>
  <c r="CT33" i="1"/>
  <c r="DC33" i="1" s="1"/>
  <c r="CT29" i="1"/>
  <c r="DC29" i="1" s="1"/>
  <c r="CT30" i="1"/>
  <c r="DC30" i="1" s="1"/>
  <c r="CT31" i="1"/>
  <c r="DC31" i="1" s="1"/>
  <c r="AR28" i="1"/>
  <c r="CT32" i="1"/>
  <c r="DC32" i="1" s="1"/>
  <c r="CT28" i="1"/>
  <c r="DC28" i="1" s="1"/>
  <c r="BB29" i="1"/>
  <c r="BD29" i="1" s="1"/>
  <c r="BE29" i="1"/>
  <c r="AO4" i="1"/>
  <c r="AL5" i="1"/>
  <c r="BG5" i="1" s="1"/>
  <c r="AW5" i="1" s="1"/>
  <c r="CM7" i="1"/>
  <c r="CV7" i="1" s="1"/>
  <c r="CB8" i="1"/>
  <c r="AM4" i="1"/>
  <c r="CA4" i="1"/>
  <c r="CM4" i="1"/>
  <c r="CV4" i="1" s="1"/>
  <c r="CQ4" i="1"/>
  <c r="CZ4" i="1" s="1"/>
  <c r="CU4" i="1"/>
  <c r="DD4" i="1" s="1"/>
  <c r="CB5" i="1"/>
  <c r="CN5" i="1"/>
  <c r="CW5" i="1" s="1"/>
  <c r="CR5" i="1"/>
  <c r="DA5" i="1" s="1"/>
  <c r="V6" i="1"/>
  <c r="CO6" i="1"/>
  <c r="CX6" i="1" s="1"/>
  <c r="CS6" i="1"/>
  <c r="DB6" i="1" s="1"/>
  <c r="S7" i="1"/>
  <c r="W7" i="1"/>
  <c r="CQ8" i="1"/>
  <c r="CZ8" i="1" s="1"/>
  <c r="CN9" i="1"/>
  <c r="CW9" i="1" s="1"/>
  <c r="CR9" i="1"/>
  <c r="DA9" i="1" s="1"/>
  <c r="V10" i="1"/>
  <c r="AL10" i="1"/>
  <c r="AP10" i="1"/>
  <c r="CO10" i="1"/>
  <c r="CX10" i="1" s="1"/>
  <c r="CS10" i="1"/>
  <c r="DB10" i="1" s="1"/>
  <c r="S11" i="1"/>
  <c r="W11" i="1"/>
  <c r="CP11" i="1"/>
  <c r="CY11" i="1" s="1"/>
  <c r="CT11" i="1"/>
  <c r="DC11" i="1" s="1"/>
  <c r="U13" i="1"/>
  <c r="Y13" i="1"/>
  <c r="CB13" i="1"/>
  <c r="CN13" i="1"/>
  <c r="CW13" i="1" s="1"/>
  <c r="CR13" i="1"/>
  <c r="DA13" i="1" s="1"/>
  <c r="V14" i="1"/>
  <c r="CM20" i="1"/>
  <c r="CV20" i="1" s="1"/>
  <c r="CM21" i="1"/>
  <c r="CV21" i="1" s="1"/>
  <c r="CN16" i="1"/>
  <c r="CW16" i="1" s="1"/>
  <c r="V17" i="1"/>
  <c r="CO17" i="1"/>
  <c r="CX17" i="1" s="1"/>
  <c r="CS17" i="1"/>
  <c r="DB17" i="1" s="1"/>
  <c r="S18" i="1"/>
  <c r="W18" i="1"/>
  <c r="CM19" i="1"/>
  <c r="CV19" i="1" s="1"/>
  <c r="CO20" i="1"/>
  <c r="CX20" i="1" s="1"/>
  <c r="BH21" i="1"/>
  <c r="BI21" i="1"/>
  <c r="BE21" i="1"/>
  <c r="CM26" i="1"/>
  <c r="CV26" i="1" s="1"/>
  <c r="CR27" i="1"/>
  <c r="DA27" i="1" s="1"/>
  <c r="CA26" i="1"/>
  <c r="CA22" i="1"/>
  <c r="CA27" i="1"/>
  <c r="CA23" i="1"/>
  <c r="BC22" i="1"/>
  <c r="CA24" i="1"/>
  <c r="CA25" i="1"/>
  <c r="BE23" i="1"/>
  <c r="BG23" i="1"/>
  <c r="AW23" i="1" s="1"/>
  <c r="AT25" i="1"/>
  <c r="BB25" i="1"/>
  <c r="BD25" i="1" s="1"/>
  <c r="BE25" i="1"/>
  <c r="BD26" i="1"/>
  <c r="BC30" i="1"/>
  <c r="BD30" i="1" s="1"/>
  <c r="AL9" i="1"/>
  <c r="BG9" i="1" s="1"/>
  <c r="AW9" i="1" s="1"/>
  <c r="AM10" i="1"/>
  <c r="AQ10" i="1"/>
  <c r="BE12" i="1"/>
  <c r="CN12" i="1"/>
  <c r="CW12" i="1" s="1"/>
  <c r="CR12" i="1"/>
  <c r="DA12" i="1" s="1"/>
  <c r="CA21" i="1"/>
  <c r="CR21" i="1"/>
  <c r="DA21" i="1" s="1"/>
  <c r="AL16" i="1"/>
  <c r="AP16" i="1"/>
  <c r="AT16" i="1"/>
  <c r="CA18" i="1"/>
  <c r="CM18" i="1"/>
  <c r="CV18" i="1" s="1"/>
  <c r="CN19" i="1"/>
  <c r="CW19" i="1" s="1"/>
  <c r="CR19" i="1"/>
  <c r="DA19" i="1" s="1"/>
  <c r="AL20" i="1"/>
  <c r="BG20" i="1" s="1"/>
  <c r="AW20" i="1" s="1"/>
  <c r="BD22" i="1"/>
  <c r="BG27" i="1"/>
  <c r="AW27" i="1" s="1"/>
  <c r="BE30" i="1"/>
  <c r="BE22" i="1"/>
  <c r="CB22" i="1"/>
  <c r="CN22" i="1"/>
  <c r="CW22" i="1" s="1"/>
  <c r="CR22" i="1"/>
  <c r="DA22" i="1" s="1"/>
  <c r="V23" i="1"/>
  <c r="Z23" i="1"/>
  <c r="BB23" i="1"/>
  <c r="BD23" i="1" s="1"/>
  <c r="CO23" i="1"/>
  <c r="CX23" i="1" s="1"/>
  <c r="CS23" i="1"/>
  <c r="DB23" i="1" s="1"/>
  <c r="CP24" i="1"/>
  <c r="CY24" i="1" s="1"/>
  <c r="CT24" i="1"/>
  <c r="DC24" i="1" s="1"/>
  <c r="BI25" i="1"/>
  <c r="BH25" i="1"/>
  <c r="CM25" i="1"/>
  <c r="CV25" i="1" s="1"/>
  <c r="CB26" i="1"/>
  <c r="CN26" i="1"/>
  <c r="CW26" i="1" s="1"/>
  <c r="CR26" i="1"/>
  <c r="DA26" i="1" s="1"/>
  <c r="V27" i="1"/>
  <c r="Z27" i="1"/>
  <c r="BB27" i="1"/>
  <c r="BD27" i="1" s="1"/>
  <c r="CO27" i="1"/>
  <c r="CX27" i="1" s="1"/>
  <c r="CS27" i="1"/>
  <c r="DB27" i="1" s="1"/>
  <c r="CO33" i="1"/>
  <c r="CX33" i="1" s="1"/>
  <c r="CS33" i="1"/>
  <c r="DB33" i="1" s="1"/>
  <c r="AM28" i="1"/>
  <c r="AQ28" i="1"/>
  <c r="BC28" i="1"/>
  <c r="BI29" i="1"/>
  <c r="BH29" i="1"/>
  <c r="CA29" i="1"/>
  <c r="CQ29" i="1"/>
  <c r="CZ29" i="1" s="1"/>
  <c r="CU29" i="1"/>
  <c r="DD29" i="1" s="1"/>
  <c r="U30" i="1"/>
  <c r="Y30" i="1"/>
  <c r="AC30" i="1"/>
  <c r="AT30" i="1" s="1"/>
  <c r="CB30" i="1"/>
  <c r="CN30" i="1"/>
  <c r="CW30" i="1" s="1"/>
  <c r="CR30" i="1"/>
  <c r="DA30" i="1" s="1"/>
  <c r="V31" i="1"/>
  <c r="Z31" i="1"/>
  <c r="BB31" i="1"/>
  <c r="BD31" i="1" s="1"/>
  <c r="CO31" i="1"/>
  <c r="CX31" i="1" s="1"/>
  <c r="CS31" i="1"/>
  <c r="DB31" i="1" s="1"/>
  <c r="BC33" i="1"/>
  <c r="BD33" i="1" s="1"/>
  <c r="BI33" i="1"/>
  <c r="BH33" i="1"/>
  <c r="BE39" i="1"/>
  <c r="BB39" i="1"/>
  <c r="BD39" i="1" s="1"/>
  <c r="CQ42" i="1"/>
  <c r="CZ42" i="1" s="1"/>
  <c r="CQ43" i="1"/>
  <c r="CZ43" i="1" s="1"/>
  <c r="AO40" i="1"/>
  <c r="CQ44" i="1"/>
  <c r="CZ44" i="1" s="1"/>
  <c r="CQ40" i="1"/>
  <c r="CZ40" i="1" s="1"/>
  <c r="CQ41" i="1"/>
  <c r="CZ41" i="1" s="1"/>
  <c r="CU42" i="1"/>
  <c r="DD42" i="1" s="1"/>
  <c r="CU43" i="1"/>
  <c r="DD43" i="1" s="1"/>
  <c r="AS40" i="1"/>
  <c r="CU44" i="1"/>
  <c r="DD44" i="1" s="1"/>
  <c r="CU40" i="1"/>
  <c r="CU41" i="1"/>
  <c r="DD41" i="1" s="1"/>
  <c r="BC41" i="1"/>
  <c r="BE43" i="1"/>
  <c r="BB43" i="1"/>
  <c r="BD43" i="1" s="1"/>
  <c r="BB44" i="1"/>
  <c r="BD44" i="1" s="1"/>
  <c r="U21" i="1"/>
  <c r="Y21" i="1"/>
  <c r="V22" i="1"/>
  <c r="BF22" i="1" s="1"/>
  <c r="AL22" i="1"/>
  <c r="AP22" i="1"/>
  <c r="AT22" i="1"/>
  <c r="CO22" i="1"/>
  <c r="CX22" i="1" s="1"/>
  <c r="CS22" i="1"/>
  <c r="DB22" i="1" s="1"/>
  <c r="S23" i="1"/>
  <c r="W23" i="1"/>
  <c r="AA23" i="1"/>
  <c r="CP23" i="1"/>
  <c r="CY23" i="1" s="1"/>
  <c r="CT23" i="1"/>
  <c r="DC23" i="1" s="1"/>
  <c r="CM24" i="1"/>
  <c r="CV24" i="1" s="1"/>
  <c r="U25" i="1"/>
  <c r="Y25" i="1"/>
  <c r="CB25" i="1"/>
  <c r="CN25" i="1"/>
  <c r="CW25" i="1" s="1"/>
  <c r="CR25" i="1"/>
  <c r="DA25" i="1" s="1"/>
  <c r="V26" i="1"/>
  <c r="BF26" i="1" s="1"/>
  <c r="CO26" i="1"/>
  <c r="CX26" i="1" s="1"/>
  <c r="CS26" i="1"/>
  <c r="DB26" i="1" s="1"/>
  <c r="S27" i="1"/>
  <c r="W27" i="1"/>
  <c r="AA27" i="1"/>
  <c r="CP27" i="1"/>
  <c r="CY27" i="1" s="1"/>
  <c r="CT27" i="1"/>
  <c r="DC27" i="1" s="1"/>
  <c r="CA28" i="1"/>
  <c r="CQ28" i="1"/>
  <c r="CZ28" i="1" s="1"/>
  <c r="CU28" i="1"/>
  <c r="DD28" i="1" s="1"/>
  <c r="U29" i="1"/>
  <c r="Y29" i="1"/>
  <c r="CN29" i="1"/>
  <c r="CW29" i="1" s="1"/>
  <c r="CR29" i="1"/>
  <c r="DA29" i="1" s="1"/>
  <c r="V30" i="1"/>
  <c r="CO30" i="1"/>
  <c r="CX30" i="1" s="1"/>
  <c r="CS30" i="1"/>
  <c r="DB30" i="1" s="1"/>
  <c r="S31" i="1"/>
  <c r="W31" i="1"/>
  <c r="AA31" i="1"/>
  <c r="CA32" i="1"/>
  <c r="U33" i="1"/>
  <c r="Y33" i="1"/>
  <c r="BG37" i="1"/>
  <c r="AW37" i="1" s="1"/>
  <c r="BD38" i="1"/>
  <c r="BE41" i="1"/>
  <c r="AT42" i="1"/>
  <c r="CB47" i="1"/>
  <c r="CB48" i="1"/>
  <c r="CB49" i="1"/>
  <c r="CB45" i="1"/>
  <c r="CB46" i="1"/>
  <c r="BE45" i="1"/>
  <c r="CT48" i="1"/>
  <c r="DC48" i="1" s="1"/>
  <c r="CT49" i="1"/>
  <c r="DC49" i="1" s="1"/>
  <c r="CT45" i="1"/>
  <c r="DC45" i="1" s="1"/>
  <c r="CT46" i="1"/>
  <c r="DC46" i="1" s="1"/>
  <c r="CT47" i="1"/>
  <c r="DC47" i="1" s="1"/>
  <c r="AR45" i="1"/>
  <c r="AM22" i="1"/>
  <c r="AQ22" i="1"/>
  <c r="CP22" i="1"/>
  <c r="CY22" i="1" s="1"/>
  <c r="CT22" i="1"/>
  <c r="DC22" i="1" s="1"/>
  <c r="CM23" i="1"/>
  <c r="CV23" i="1" s="1"/>
  <c r="BE24" i="1"/>
  <c r="CB24" i="1"/>
  <c r="CN24" i="1"/>
  <c r="CW24" i="1" s="1"/>
  <c r="CR24" i="1"/>
  <c r="DA24" i="1" s="1"/>
  <c r="CO25" i="1"/>
  <c r="CX25" i="1" s="1"/>
  <c r="CS25" i="1"/>
  <c r="DB25" i="1" s="1"/>
  <c r="CP26" i="1"/>
  <c r="CY26" i="1" s="1"/>
  <c r="CT26" i="1"/>
  <c r="DC26" i="1" s="1"/>
  <c r="CM27" i="1"/>
  <c r="CV27" i="1" s="1"/>
  <c r="CB33" i="1"/>
  <c r="CQ33" i="1"/>
  <c r="CZ33" i="1" s="1"/>
  <c r="CU33" i="1"/>
  <c r="DD33" i="1" s="1"/>
  <c r="AO28" i="1"/>
  <c r="AS28" i="1"/>
  <c r="BE28" i="1"/>
  <c r="CB28" i="1"/>
  <c r="CN28" i="1"/>
  <c r="CW28" i="1" s="1"/>
  <c r="CR28" i="1"/>
  <c r="DA28" i="1" s="1"/>
  <c r="CO29" i="1"/>
  <c r="CX29" i="1" s="1"/>
  <c r="CS29" i="1"/>
  <c r="DB29" i="1" s="1"/>
  <c r="CA31" i="1"/>
  <c r="CQ31" i="1"/>
  <c r="CZ31" i="1" s="1"/>
  <c r="CU31" i="1"/>
  <c r="DD31" i="1" s="1"/>
  <c r="BE32" i="1"/>
  <c r="CB32" i="1"/>
  <c r="CA33" i="1"/>
  <c r="BG41" i="1"/>
  <c r="AW41" i="1" s="1"/>
  <c r="AN22" i="1"/>
  <c r="AR22" i="1"/>
  <c r="BI22" i="1"/>
  <c r="CM22" i="1"/>
  <c r="CV22" i="1" s="1"/>
  <c r="U23" i="1"/>
  <c r="Y23" i="1"/>
  <c r="BA23" i="1"/>
  <c r="CB23" i="1"/>
  <c r="CN23" i="1"/>
  <c r="CW23" i="1" s="1"/>
  <c r="CR23" i="1"/>
  <c r="DA23" i="1" s="1"/>
  <c r="BI26" i="1"/>
  <c r="U27" i="1"/>
  <c r="Y27" i="1"/>
  <c r="BA27" i="1"/>
  <c r="CN33" i="1"/>
  <c r="CW33" i="1" s="1"/>
  <c r="CR33" i="1"/>
  <c r="DA33" i="1" s="1"/>
  <c r="AL28" i="1"/>
  <c r="AP28" i="1"/>
  <c r="AT28" i="1"/>
  <c r="BB28" i="1"/>
  <c r="BD28" i="1" s="1"/>
  <c r="CO28" i="1"/>
  <c r="CX28" i="1" s="1"/>
  <c r="CS28" i="1"/>
  <c r="DB28" i="1" s="1"/>
  <c r="BI30" i="1"/>
  <c r="CM30" i="1"/>
  <c r="CV30" i="1" s="1"/>
  <c r="CQ30" i="1"/>
  <c r="CZ30" i="1" s="1"/>
  <c r="CU30" i="1"/>
  <c r="DD30" i="1" s="1"/>
  <c r="U31" i="1"/>
  <c r="Y31" i="1"/>
  <c r="BA31" i="1"/>
  <c r="CB31" i="1"/>
  <c r="CN31" i="1"/>
  <c r="CW31" i="1" s="1"/>
  <c r="CR31" i="1"/>
  <c r="DA31" i="1" s="1"/>
  <c r="CO32" i="1"/>
  <c r="CX32" i="1" s="1"/>
  <c r="CS32" i="1"/>
  <c r="DB32" i="1" s="1"/>
  <c r="CT37" i="1"/>
  <c r="DC37" i="1" s="1"/>
  <c r="BE35" i="1"/>
  <c r="BB35" i="1"/>
  <c r="BD35" i="1" s="1"/>
  <c r="BB36" i="1"/>
  <c r="BD36" i="1" s="1"/>
  <c r="BG38" i="1"/>
  <c r="AW38" i="1" s="1"/>
  <c r="AT40" i="1"/>
  <c r="CB43" i="1"/>
  <c r="CB44" i="1"/>
  <c r="CB40" i="1"/>
  <c r="BE40" i="1"/>
  <c r="CB41" i="1"/>
  <c r="CB42" i="1"/>
  <c r="CT41" i="1"/>
  <c r="DC41" i="1" s="1"/>
  <c r="CT42" i="1"/>
  <c r="DC42" i="1" s="1"/>
  <c r="CT43" i="1"/>
  <c r="DC43" i="1" s="1"/>
  <c r="AR40" i="1"/>
  <c r="CT44" i="1"/>
  <c r="DC44" i="1" s="1"/>
  <c r="CT40" i="1"/>
  <c r="BD41" i="1"/>
  <c r="AO34" i="1"/>
  <c r="AS34" i="1"/>
  <c r="BE34" i="1"/>
  <c r="CB34" i="1"/>
  <c r="CN34" i="1"/>
  <c r="CW34" i="1" s="1"/>
  <c r="CR34" i="1"/>
  <c r="DA34" i="1" s="1"/>
  <c r="AL35" i="1"/>
  <c r="BG35" i="1" s="1"/>
  <c r="AW35" i="1" s="1"/>
  <c r="CO35" i="1"/>
  <c r="CX35" i="1" s="1"/>
  <c r="CS35" i="1"/>
  <c r="DB35" i="1" s="1"/>
  <c r="CP36" i="1"/>
  <c r="CY36" i="1" s="1"/>
  <c r="CT36" i="1"/>
  <c r="DC36" i="1" s="1"/>
  <c r="CA37" i="1"/>
  <c r="CQ37" i="1"/>
  <c r="CZ37" i="1" s="1"/>
  <c r="CU37" i="1"/>
  <c r="DD37" i="1" s="1"/>
  <c r="BE38" i="1"/>
  <c r="CB38" i="1"/>
  <c r="CN38" i="1"/>
  <c r="CW38" i="1" s="1"/>
  <c r="CR38" i="1"/>
  <c r="DA38" i="1" s="1"/>
  <c r="AL39" i="1"/>
  <c r="BG39" i="1" s="1"/>
  <c r="AW39" i="1" s="1"/>
  <c r="CO39" i="1"/>
  <c r="CX39" i="1" s="1"/>
  <c r="CS39" i="1"/>
  <c r="DB39" i="1" s="1"/>
  <c r="AM40" i="1"/>
  <c r="AQ40" i="1"/>
  <c r="BC40" i="1"/>
  <c r="BD40" i="1" s="1"/>
  <c r="CP40" i="1"/>
  <c r="CA41" i="1"/>
  <c r="BE42" i="1"/>
  <c r="CN42" i="1"/>
  <c r="CW42" i="1" s="1"/>
  <c r="CR42" i="1"/>
  <c r="DA42" i="1" s="1"/>
  <c r="AL43" i="1"/>
  <c r="BG43" i="1" s="1"/>
  <c r="AW43" i="1" s="1"/>
  <c r="CO43" i="1"/>
  <c r="CX43" i="1" s="1"/>
  <c r="CS43" i="1"/>
  <c r="DB43" i="1" s="1"/>
  <c r="CP44" i="1"/>
  <c r="CY44" i="1" s="1"/>
  <c r="CR46" i="1"/>
  <c r="DA46" i="1" s="1"/>
  <c r="CR47" i="1"/>
  <c r="DA47" i="1" s="1"/>
  <c r="CR48" i="1"/>
  <c r="DA48" i="1" s="1"/>
  <c r="CR49" i="1"/>
  <c r="DA49" i="1" s="1"/>
  <c r="CU45" i="1"/>
  <c r="DD45" i="1" s="1"/>
  <c r="BG46" i="1"/>
  <c r="AW46" i="1" s="1"/>
  <c r="BG48" i="1"/>
  <c r="AW48" i="1" s="1"/>
  <c r="BE52" i="1"/>
  <c r="BG53" i="1"/>
  <c r="AW53" i="1" s="1"/>
  <c r="CQ57" i="1"/>
  <c r="CZ57" i="1" s="1"/>
  <c r="CQ58" i="1"/>
  <c r="CZ58" i="1" s="1"/>
  <c r="CQ59" i="1"/>
  <c r="CZ59" i="1" s="1"/>
  <c r="CQ56" i="1"/>
  <c r="CZ56" i="1" s="1"/>
  <c r="AO55" i="1"/>
  <c r="CQ55" i="1"/>
  <c r="CZ55" i="1" s="1"/>
  <c r="CU57" i="1"/>
  <c r="DD57" i="1" s="1"/>
  <c r="CU58" i="1"/>
  <c r="DD58" i="1" s="1"/>
  <c r="CU59" i="1"/>
  <c r="DD59" i="1" s="1"/>
  <c r="CU56" i="1"/>
  <c r="DD56" i="1" s="1"/>
  <c r="AS55" i="1"/>
  <c r="CU55" i="1"/>
  <c r="DD55" i="1" s="1"/>
  <c r="AL34" i="1"/>
  <c r="AP34" i="1"/>
  <c r="AT34" i="1"/>
  <c r="BB34" i="1"/>
  <c r="BD34" i="1" s="1"/>
  <c r="CO34" i="1"/>
  <c r="CX34" i="1" s="1"/>
  <c r="CS34" i="1"/>
  <c r="DB34" i="1" s="1"/>
  <c r="CP35" i="1"/>
  <c r="CY35" i="1" s="1"/>
  <c r="CT35" i="1"/>
  <c r="DC35" i="1" s="1"/>
  <c r="BI36" i="1"/>
  <c r="BH36" i="1"/>
  <c r="CA36" i="1"/>
  <c r="CQ36" i="1"/>
  <c r="CZ36" i="1" s="1"/>
  <c r="CU36" i="1"/>
  <c r="DD36" i="1" s="1"/>
  <c r="U37" i="1"/>
  <c r="Y37" i="1"/>
  <c r="AC37" i="1"/>
  <c r="AT37" i="1" s="1"/>
  <c r="BA37" i="1"/>
  <c r="CB37" i="1"/>
  <c r="CN37" i="1"/>
  <c r="CW37" i="1" s="1"/>
  <c r="CR37" i="1"/>
  <c r="DA37" i="1" s="1"/>
  <c r="CO38" i="1"/>
  <c r="CX38" i="1" s="1"/>
  <c r="CS38" i="1"/>
  <c r="DB38" i="1" s="1"/>
  <c r="CP39" i="1"/>
  <c r="CY39" i="1" s="1"/>
  <c r="CT39" i="1"/>
  <c r="DC39" i="1" s="1"/>
  <c r="AN40" i="1"/>
  <c r="BI40" i="1"/>
  <c r="BH40" i="1"/>
  <c r="CA40" i="1"/>
  <c r="U41" i="1"/>
  <c r="Y41" i="1"/>
  <c r="AC41" i="1"/>
  <c r="AT41" i="1" s="1"/>
  <c r="BA41" i="1"/>
  <c r="CN41" i="1"/>
  <c r="CW41" i="1" s="1"/>
  <c r="CR41" i="1"/>
  <c r="DA41" i="1" s="1"/>
  <c r="V42" i="1"/>
  <c r="Z42" i="1"/>
  <c r="CO42" i="1"/>
  <c r="CX42" i="1" s="1"/>
  <c r="CS42" i="1"/>
  <c r="DB42" i="1" s="1"/>
  <c r="S43" i="1"/>
  <c r="W43" i="1"/>
  <c r="CP43" i="1"/>
  <c r="CY43" i="1" s="1"/>
  <c r="BI44" i="1"/>
  <c r="BH44" i="1"/>
  <c r="CA44" i="1"/>
  <c r="U45" i="1"/>
  <c r="Y45" i="1"/>
  <c r="CN46" i="1"/>
  <c r="CW46" i="1" s="1"/>
  <c r="CN47" i="1"/>
  <c r="CW47" i="1" s="1"/>
  <c r="CN48" i="1"/>
  <c r="CW48" i="1" s="1"/>
  <c r="CN49" i="1"/>
  <c r="CW49" i="1" s="1"/>
  <c r="BA45" i="1"/>
  <c r="CO51" i="1"/>
  <c r="CX51" i="1" s="1"/>
  <c r="CO52" i="1"/>
  <c r="CX52" i="1" s="1"/>
  <c r="CO53" i="1"/>
  <c r="CX53" i="1" s="1"/>
  <c r="AM50" i="1"/>
  <c r="CO54" i="1"/>
  <c r="CX54" i="1" s="1"/>
  <c r="CO50" i="1"/>
  <c r="CX50" i="1" s="1"/>
  <c r="AT51" i="1"/>
  <c r="AT52" i="1"/>
  <c r="BB53" i="1"/>
  <c r="BD53" i="1" s="1"/>
  <c r="BE53" i="1"/>
  <c r="BD54" i="1"/>
  <c r="AN54" i="1"/>
  <c r="BG54" i="1" s="1"/>
  <c r="AW54" i="1" s="1"/>
  <c r="CP50" i="1"/>
  <c r="CY50" i="1" s="1"/>
  <c r="S34" i="1"/>
  <c r="W34" i="1"/>
  <c r="AM34" i="1"/>
  <c r="AQ34" i="1"/>
  <c r="CP34" i="1"/>
  <c r="CY34" i="1" s="1"/>
  <c r="CT34" i="1"/>
  <c r="DC34" i="1" s="1"/>
  <c r="CA35" i="1"/>
  <c r="CM35" i="1"/>
  <c r="CV35" i="1" s="1"/>
  <c r="CQ35" i="1"/>
  <c r="CZ35" i="1" s="1"/>
  <c r="CU35" i="1"/>
  <c r="DD35" i="1" s="1"/>
  <c r="U36" i="1"/>
  <c r="Y36" i="1"/>
  <c r="CB36" i="1"/>
  <c r="CN36" i="1"/>
  <c r="CW36" i="1" s="1"/>
  <c r="CR36" i="1"/>
  <c r="DA36" i="1" s="1"/>
  <c r="V37" i="1"/>
  <c r="Z37" i="1"/>
  <c r="CO37" i="1"/>
  <c r="CX37" i="1" s="1"/>
  <c r="CS37" i="1"/>
  <c r="DB37" i="1" s="1"/>
  <c r="S38" i="1"/>
  <c r="W38" i="1"/>
  <c r="CP38" i="1"/>
  <c r="CY38" i="1" s="1"/>
  <c r="CT38" i="1"/>
  <c r="DC38" i="1" s="1"/>
  <c r="CA39" i="1"/>
  <c r="CQ39" i="1"/>
  <c r="CZ39" i="1" s="1"/>
  <c r="CU39" i="1"/>
  <c r="DD39" i="1" s="1"/>
  <c r="U40" i="1"/>
  <c r="Y40" i="1"/>
  <c r="CN40" i="1"/>
  <c r="CR40" i="1"/>
  <c r="DA40" i="1" s="1"/>
  <c r="V41" i="1"/>
  <c r="Z41" i="1"/>
  <c r="CO41" i="1"/>
  <c r="CX41" i="1" s="1"/>
  <c r="CS41" i="1"/>
  <c r="DB41" i="1" s="1"/>
  <c r="S42" i="1"/>
  <c r="W42" i="1"/>
  <c r="CP42" i="1"/>
  <c r="CY42" i="1" s="1"/>
  <c r="CA43" i="1"/>
  <c r="CN44" i="1"/>
  <c r="CW44" i="1" s="1"/>
  <c r="CR44" i="1"/>
  <c r="DA44" i="1" s="1"/>
  <c r="CA49" i="1"/>
  <c r="CA46" i="1"/>
  <c r="CA47" i="1"/>
  <c r="CA48" i="1"/>
  <c r="V45" i="1"/>
  <c r="Z45" i="1"/>
  <c r="CP48" i="1"/>
  <c r="CY48" i="1" s="1"/>
  <c r="CP49" i="1"/>
  <c r="CY49" i="1" s="1"/>
  <c r="CP45" i="1"/>
  <c r="CY45" i="1" s="1"/>
  <c r="CP46" i="1"/>
  <c r="CY46" i="1" s="1"/>
  <c r="CP47" i="1"/>
  <c r="CY47" i="1" s="1"/>
  <c r="AT45" i="1"/>
  <c r="CA45" i="1"/>
  <c r="CR45" i="1"/>
  <c r="DA45" i="1" s="1"/>
  <c r="BB47" i="1"/>
  <c r="BD47" i="1" s="1"/>
  <c r="BE47" i="1"/>
  <c r="BD48" i="1"/>
  <c r="BB49" i="1"/>
  <c r="BE49" i="1"/>
  <c r="CT52" i="1"/>
  <c r="DC52" i="1" s="1"/>
  <c r="CT53" i="1"/>
  <c r="DC53" i="1" s="1"/>
  <c r="AR50" i="1"/>
  <c r="CT54" i="1"/>
  <c r="DC54" i="1" s="1"/>
  <c r="CT50" i="1"/>
  <c r="DC50" i="1" s="1"/>
  <c r="CT51" i="1"/>
  <c r="DC51" i="1" s="1"/>
  <c r="BG51" i="1"/>
  <c r="AW51" i="1" s="1"/>
  <c r="BB51" i="1"/>
  <c r="BD51" i="1" s="1"/>
  <c r="BE51" i="1"/>
  <c r="BG52" i="1"/>
  <c r="AW52" i="1" s="1"/>
  <c r="AT55" i="1"/>
  <c r="AN34" i="1"/>
  <c r="AR34" i="1"/>
  <c r="CA34" i="1"/>
  <c r="CM34" i="1"/>
  <c r="CV34" i="1" s="1"/>
  <c r="CQ34" i="1"/>
  <c r="CZ34" i="1" s="1"/>
  <c r="CU34" i="1"/>
  <c r="DD34" i="1" s="1"/>
  <c r="CB35" i="1"/>
  <c r="CN35" i="1"/>
  <c r="CW35" i="1" s="1"/>
  <c r="CR35" i="1"/>
  <c r="DA35" i="1" s="1"/>
  <c r="S37" i="1"/>
  <c r="W37" i="1"/>
  <c r="AL40" i="1"/>
  <c r="AP40" i="1"/>
  <c r="CO40" i="1"/>
  <c r="CS40" i="1"/>
  <c r="S41" i="1"/>
  <c r="W41" i="1"/>
  <c r="AL44" i="1"/>
  <c r="BG44" i="1" s="1"/>
  <c r="AW44" i="1" s="1"/>
  <c r="S45" i="1"/>
  <c r="W45" i="1"/>
  <c r="AB45" i="1"/>
  <c r="CQ49" i="1"/>
  <c r="CZ49" i="1" s="1"/>
  <c r="CQ46" i="1"/>
  <c r="CZ46" i="1" s="1"/>
  <c r="CQ47" i="1"/>
  <c r="CZ47" i="1" s="1"/>
  <c r="CQ48" i="1"/>
  <c r="CZ48" i="1" s="1"/>
  <c r="CU49" i="1"/>
  <c r="DD49" i="1" s="1"/>
  <c r="CU46" i="1"/>
  <c r="DD46" i="1" s="1"/>
  <c r="CU47" i="1"/>
  <c r="DD47" i="1" s="1"/>
  <c r="CU48" i="1"/>
  <c r="DD48" i="1" s="1"/>
  <c r="AP45" i="1"/>
  <c r="CO47" i="1"/>
  <c r="CX47" i="1" s="1"/>
  <c r="CO48" i="1"/>
  <c r="CX48" i="1" s="1"/>
  <c r="AM45" i="1"/>
  <c r="CO49" i="1"/>
  <c r="CX49" i="1" s="1"/>
  <c r="CO46" i="1"/>
  <c r="CX46" i="1" s="1"/>
  <c r="CN45" i="1"/>
  <c r="CW45" i="1" s="1"/>
  <c r="DB45" i="1"/>
  <c r="BA48" i="1"/>
  <c r="BC49" i="1"/>
  <c r="BG49" i="1"/>
  <c r="AW49" i="1" s="1"/>
  <c r="CB58" i="1"/>
  <c r="CB59" i="1"/>
  <c r="CB57" i="1"/>
  <c r="BB55" i="1"/>
  <c r="CB55" i="1"/>
  <c r="BE55" i="1"/>
  <c r="CB56" i="1"/>
  <c r="CT56" i="1"/>
  <c r="DC56" i="1" s="1"/>
  <c r="CT57" i="1"/>
  <c r="DC57" i="1" s="1"/>
  <c r="CT58" i="1"/>
  <c r="DC58" i="1" s="1"/>
  <c r="CT59" i="1"/>
  <c r="DC59" i="1" s="1"/>
  <c r="AR55" i="1"/>
  <c r="CT55" i="1"/>
  <c r="DC55" i="1" s="1"/>
  <c r="CS46" i="1"/>
  <c r="DB46" i="1" s="1"/>
  <c r="S47" i="1"/>
  <c r="W47" i="1"/>
  <c r="AA47" i="1"/>
  <c r="BI48" i="1"/>
  <c r="BH48" i="1"/>
  <c r="U49" i="1"/>
  <c r="Y49" i="1"/>
  <c r="AC49" i="1"/>
  <c r="AT49" i="1" s="1"/>
  <c r="BA49" i="1"/>
  <c r="AL50" i="1"/>
  <c r="AP50" i="1"/>
  <c r="AT50" i="1"/>
  <c r="BB50" i="1"/>
  <c r="CS50" i="1"/>
  <c r="DB50" i="1" s="1"/>
  <c r="S51" i="1"/>
  <c r="W51" i="1"/>
  <c r="AA51" i="1"/>
  <c r="CP51" i="1"/>
  <c r="CY51" i="1" s="1"/>
  <c r="CA52" i="1"/>
  <c r="CQ52" i="1"/>
  <c r="CZ52" i="1" s="1"/>
  <c r="CU52" i="1"/>
  <c r="DD52" i="1" s="1"/>
  <c r="U53" i="1"/>
  <c r="Y53" i="1"/>
  <c r="AC53" i="1"/>
  <c r="AT53" i="1" s="1"/>
  <c r="BA53" i="1"/>
  <c r="CB53" i="1"/>
  <c r="CN53" i="1"/>
  <c r="CW53" i="1" s="1"/>
  <c r="CR53" i="1"/>
  <c r="DA53" i="1" s="1"/>
  <c r="CS54" i="1"/>
  <c r="DB54" i="1" s="1"/>
  <c r="S55" i="1"/>
  <c r="W55" i="1"/>
  <c r="AA55" i="1"/>
  <c r="CO59" i="1"/>
  <c r="CX59" i="1" s="1"/>
  <c r="CO56" i="1"/>
  <c r="CX56" i="1" s="1"/>
  <c r="CO57" i="1"/>
  <c r="CX57" i="1" s="1"/>
  <c r="CO58" i="1"/>
  <c r="CX58" i="1" s="1"/>
  <c r="CS59" i="1"/>
  <c r="DB59" i="1" s="1"/>
  <c r="CS56" i="1"/>
  <c r="DB56" i="1" s="1"/>
  <c r="CS57" i="1"/>
  <c r="DB57" i="1" s="1"/>
  <c r="CS58" i="1"/>
  <c r="DB58" i="1" s="1"/>
  <c r="AM55" i="1"/>
  <c r="AQ55" i="1"/>
  <c r="W56" i="1"/>
  <c r="AB56" i="1"/>
  <c r="BA56" i="1"/>
  <c r="I56" i="1"/>
  <c r="BE56" i="1" s="1"/>
  <c r="BC57" i="1"/>
  <c r="BD57" i="1" s="1"/>
  <c r="BG58" i="1"/>
  <c r="AW58" i="1" s="1"/>
  <c r="BB59" i="1"/>
  <c r="BD59" i="1" s="1"/>
  <c r="BE59" i="1"/>
  <c r="BD60" i="1"/>
  <c r="V49" i="1"/>
  <c r="Z49" i="1"/>
  <c r="CS49" i="1"/>
  <c r="DB49" i="1" s="1"/>
  <c r="AQ50" i="1"/>
  <c r="BC50" i="1"/>
  <c r="CA51" i="1"/>
  <c r="CQ51" i="1"/>
  <c r="CZ51" i="1" s="1"/>
  <c r="CU51" i="1"/>
  <c r="DD51" i="1" s="1"/>
  <c r="CB52" i="1"/>
  <c r="CN52" i="1"/>
  <c r="CW52" i="1" s="1"/>
  <c r="CR52" i="1"/>
  <c r="DA52" i="1" s="1"/>
  <c r="CS53" i="1"/>
  <c r="DB53" i="1" s="1"/>
  <c r="CP54" i="1"/>
  <c r="CY54" i="1" s="1"/>
  <c r="CP57" i="1"/>
  <c r="CY57" i="1" s="1"/>
  <c r="CP58" i="1"/>
  <c r="CY58" i="1" s="1"/>
  <c r="CP59" i="1"/>
  <c r="CY59" i="1" s="1"/>
  <c r="AN55" i="1"/>
  <c r="AT56" i="1"/>
  <c r="CN56" i="1"/>
  <c r="CW56" i="1" s="1"/>
  <c r="BE57" i="1"/>
  <c r="BG57" i="1"/>
  <c r="AW57" i="1" s="1"/>
  <c r="BG59" i="1"/>
  <c r="AW59" i="1" s="1"/>
  <c r="AQ45" i="1"/>
  <c r="U47" i="1"/>
  <c r="Y47" i="1"/>
  <c r="V48" i="1"/>
  <c r="BF48" i="1" s="1"/>
  <c r="CS48" i="1"/>
  <c r="DB48" i="1" s="1"/>
  <c r="S49" i="1"/>
  <c r="W49" i="1"/>
  <c r="AN50" i="1"/>
  <c r="CA50" i="1"/>
  <c r="CM50" i="1"/>
  <c r="CV50" i="1" s="1"/>
  <c r="CQ50" i="1"/>
  <c r="CZ50" i="1" s="1"/>
  <c r="CU50" i="1"/>
  <c r="DD50" i="1" s="1"/>
  <c r="U51" i="1"/>
  <c r="Y51" i="1"/>
  <c r="CB51" i="1"/>
  <c r="CN51" i="1"/>
  <c r="CW51" i="1" s="1"/>
  <c r="CR51" i="1"/>
  <c r="DA51" i="1" s="1"/>
  <c r="V52" i="1"/>
  <c r="BF52" i="1" s="1"/>
  <c r="CS52" i="1"/>
  <c r="DB52" i="1" s="1"/>
  <c r="S53" i="1"/>
  <c r="W53" i="1"/>
  <c r="CP53" i="1"/>
  <c r="CY53" i="1" s="1"/>
  <c r="CA54" i="1"/>
  <c r="CQ54" i="1"/>
  <c r="CZ54" i="1" s="1"/>
  <c r="CU54" i="1"/>
  <c r="DD54" i="1" s="1"/>
  <c r="U55" i="1"/>
  <c r="Y55" i="1"/>
  <c r="BB56" i="1"/>
  <c r="T56" i="1"/>
  <c r="CP56" i="1"/>
  <c r="CY56" i="1" s="1"/>
  <c r="CQ63" i="1"/>
  <c r="CZ63" i="1" s="1"/>
  <c r="CQ64" i="1"/>
  <c r="CZ64" i="1" s="1"/>
  <c r="CQ61" i="1"/>
  <c r="CZ61" i="1" s="1"/>
  <c r="AO60" i="1"/>
  <c r="CQ62" i="1"/>
  <c r="CZ62" i="1" s="1"/>
  <c r="CQ60" i="1"/>
  <c r="CZ60" i="1" s="1"/>
  <c r="CU63" i="1"/>
  <c r="DD63" i="1" s="1"/>
  <c r="CU64" i="1"/>
  <c r="DD64" i="1" s="1"/>
  <c r="CU62" i="1"/>
  <c r="DD62" i="1" s="1"/>
  <c r="AS60" i="1"/>
  <c r="CU61" i="1"/>
  <c r="DD61" i="1" s="1"/>
  <c r="CU60" i="1"/>
  <c r="DD60" i="1" s="1"/>
  <c r="BC61" i="1"/>
  <c r="AO50" i="1"/>
  <c r="AS50" i="1"/>
  <c r="BE50" i="1"/>
  <c r="CB50" i="1"/>
  <c r="CN50" i="1"/>
  <c r="CW50" i="1" s="1"/>
  <c r="CR50" i="1"/>
  <c r="DA50" i="1" s="1"/>
  <c r="CA57" i="1"/>
  <c r="CA58" i="1"/>
  <c r="CA59" i="1"/>
  <c r="CN58" i="1"/>
  <c r="CW58" i="1" s="1"/>
  <c r="CN59" i="1"/>
  <c r="CW59" i="1" s="1"/>
  <c r="CN57" i="1"/>
  <c r="CW57" i="1" s="1"/>
  <c r="CR58" i="1"/>
  <c r="DA58" i="1" s="1"/>
  <c r="CR59" i="1"/>
  <c r="DA59" i="1" s="1"/>
  <c r="CR56" i="1"/>
  <c r="DA56" i="1" s="1"/>
  <c r="CR57" i="1"/>
  <c r="DA57" i="1" s="1"/>
  <c r="AL55" i="1"/>
  <c r="AP55" i="1"/>
  <c r="CO55" i="1"/>
  <c r="CX55" i="1" s="1"/>
  <c r="CS55" i="1"/>
  <c r="DB55" i="1" s="1"/>
  <c r="Z56" i="1"/>
  <c r="V56" i="1"/>
  <c r="CA63" i="1"/>
  <c r="CA64" i="1"/>
  <c r="CA62" i="1"/>
  <c r="CA61" i="1"/>
  <c r="CA60" i="1"/>
  <c r="CN64" i="1"/>
  <c r="CW64" i="1" s="1"/>
  <c r="CN61" i="1"/>
  <c r="CW61" i="1" s="1"/>
  <c r="CN63" i="1"/>
  <c r="CW63" i="1" s="1"/>
  <c r="CN62" i="1"/>
  <c r="CW62" i="1" s="1"/>
  <c r="AL60" i="1"/>
  <c r="CN60" i="1"/>
  <c r="CW60" i="1" s="1"/>
  <c r="U57" i="1"/>
  <c r="Y57" i="1"/>
  <c r="AC57" i="1"/>
  <c r="AT57" i="1" s="1"/>
  <c r="BA57" i="1"/>
  <c r="BB58" i="1"/>
  <c r="S59" i="1"/>
  <c r="W59" i="1"/>
  <c r="AA59" i="1"/>
  <c r="CP62" i="1"/>
  <c r="CY62" i="1" s="1"/>
  <c r="CP63" i="1"/>
  <c r="CY63" i="1" s="1"/>
  <c r="CP64" i="1"/>
  <c r="CY64" i="1" s="1"/>
  <c r="CT62" i="1"/>
  <c r="DC62" i="1" s="1"/>
  <c r="CT63" i="1"/>
  <c r="DC63" i="1" s="1"/>
  <c r="CT64" i="1"/>
  <c r="DC64" i="1" s="1"/>
  <c r="AN60" i="1"/>
  <c r="AR60" i="1"/>
  <c r="BI60" i="1"/>
  <c r="BH60" i="1"/>
  <c r="U61" i="1"/>
  <c r="Y61" i="1"/>
  <c r="AC61" i="1"/>
  <c r="AT61" i="1" s="1"/>
  <c r="BA61" i="1"/>
  <c r="BG62" i="1"/>
  <c r="AW62" i="1" s="1"/>
  <c r="CB63" i="1"/>
  <c r="CO63" i="1"/>
  <c r="CX63" i="1" s="1"/>
  <c r="BE64" i="1"/>
  <c r="BD65" i="1"/>
  <c r="V57" i="1"/>
  <c r="Z57" i="1"/>
  <c r="U60" i="1"/>
  <c r="Y60" i="1"/>
  <c r="AC60" i="1"/>
  <c r="BE60" i="1"/>
  <c r="CB60" i="1"/>
  <c r="CR60" i="1"/>
  <c r="DA60" i="1" s="1"/>
  <c r="V61" i="1"/>
  <c r="Z61" i="1"/>
  <c r="CB61" i="1"/>
  <c r="CP61" i="1"/>
  <c r="CY61" i="1" s="1"/>
  <c r="CS63" i="1"/>
  <c r="DB63" i="1" s="1"/>
  <c r="BD64" i="1"/>
  <c r="S57" i="1"/>
  <c r="W57" i="1"/>
  <c r="U59" i="1"/>
  <c r="Y59" i="1"/>
  <c r="V60" i="1"/>
  <c r="CR63" i="1"/>
  <c r="DA63" i="1" s="1"/>
  <c r="CR64" i="1"/>
  <c r="DA64" i="1" s="1"/>
  <c r="CR61" i="1"/>
  <c r="DA61" i="1" s="1"/>
  <c r="AP60" i="1"/>
  <c r="BB61" i="1"/>
  <c r="BD61" i="1" s="1"/>
  <c r="S61" i="1"/>
  <c r="W61" i="1"/>
  <c r="T62" i="1"/>
  <c r="BE62" i="1"/>
  <c r="BB63" i="1"/>
  <c r="BD63" i="1" s="1"/>
  <c r="AT64" i="1"/>
  <c r="CU66" i="1"/>
  <c r="DD66" i="1" s="1"/>
  <c r="CU67" i="1"/>
  <c r="DD67" i="1" s="1"/>
  <c r="CU68" i="1"/>
  <c r="DD68" i="1" s="1"/>
  <c r="CU65" i="1"/>
  <c r="DD65" i="1" s="1"/>
  <c r="CU69" i="1"/>
  <c r="DD69" i="1" s="1"/>
  <c r="AS65" i="1"/>
  <c r="CO64" i="1"/>
  <c r="CX64" i="1" s="1"/>
  <c r="CO61" i="1"/>
  <c r="CX61" i="1" s="1"/>
  <c r="CO62" i="1"/>
  <c r="CX62" i="1" s="1"/>
  <c r="CS64" i="1"/>
  <c r="DB64" i="1" s="1"/>
  <c r="CS61" i="1"/>
  <c r="DB61" i="1" s="1"/>
  <c r="CS62" i="1"/>
  <c r="DB62" i="1" s="1"/>
  <c r="AM60" i="1"/>
  <c r="AQ60" i="1"/>
  <c r="CP60" i="1"/>
  <c r="CY60" i="1" s="1"/>
  <c r="CT60" i="1"/>
  <c r="DC60" i="1" s="1"/>
  <c r="CT61" i="1"/>
  <c r="DC61" i="1" s="1"/>
  <c r="AT62" i="1"/>
  <c r="AA62" i="1"/>
  <c r="W62" i="1"/>
  <c r="S62" i="1"/>
  <c r="Z62" i="1"/>
  <c r="V62" i="1"/>
  <c r="CB62" i="1"/>
  <c r="BA64" i="1"/>
  <c r="BH64" i="1"/>
  <c r="BI64" i="1"/>
  <c r="CA67" i="1"/>
  <c r="CA68" i="1"/>
  <c r="CA66" i="1"/>
  <c r="CA69" i="1"/>
  <c r="CA65" i="1"/>
  <c r="CR67" i="1"/>
  <c r="DA67" i="1" s="1"/>
  <c r="CR68" i="1"/>
  <c r="DA68" i="1" s="1"/>
  <c r="CR69" i="1"/>
  <c r="DA69" i="1" s="1"/>
  <c r="AP65" i="1"/>
  <c r="CR65" i="1"/>
  <c r="DA65" i="1" s="1"/>
  <c r="CR66" i="1"/>
  <c r="DA66" i="1" s="1"/>
  <c r="CP69" i="1"/>
  <c r="CY69" i="1" s="1"/>
  <c r="CP66" i="1"/>
  <c r="CY66" i="1" s="1"/>
  <c r="CP67" i="1"/>
  <c r="CY67" i="1" s="1"/>
  <c r="CT69" i="1"/>
  <c r="DC69" i="1" s="1"/>
  <c r="CT66" i="1"/>
  <c r="DC66" i="1" s="1"/>
  <c r="CT67" i="1"/>
  <c r="DC67" i="1" s="1"/>
  <c r="AN65" i="1"/>
  <c r="AR65" i="1"/>
  <c r="AA66" i="1"/>
  <c r="W66" i="1"/>
  <c r="S66" i="1"/>
  <c r="Z66" i="1"/>
  <c r="V66" i="1"/>
  <c r="CB66" i="1"/>
  <c r="AT67" i="1"/>
  <c r="BH68" i="1"/>
  <c r="BI68" i="1"/>
  <c r="BG69" i="1"/>
  <c r="AW69" i="1" s="1"/>
  <c r="AA69" i="1"/>
  <c r="W69" i="1"/>
  <c r="S69" i="1"/>
  <c r="Z69" i="1"/>
  <c r="V69" i="1"/>
  <c r="AC69" i="1"/>
  <c r="AT69" i="1" s="1"/>
  <c r="Y69" i="1"/>
  <c r="U69" i="1"/>
  <c r="CB67" i="1"/>
  <c r="CB68" i="1"/>
  <c r="CB69" i="1"/>
  <c r="U65" i="1"/>
  <c r="Y65" i="1"/>
  <c r="AC65" i="1"/>
  <c r="CQ66" i="1"/>
  <c r="CZ66" i="1" s="1"/>
  <c r="CQ67" i="1"/>
  <c r="CZ67" i="1" s="1"/>
  <c r="CQ68" i="1"/>
  <c r="CZ68" i="1" s="1"/>
  <c r="AO65" i="1"/>
  <c r="BE65" i="1"/>
  <c r="CB65" i="1"/>
  <c r="CN65" i="1"/>
  <c r="CW65" i="1" s="1"/>
  <c r="T66" i="1"/>
  <c r="AB66" i="1"/>
  <c r="BA66" i="1"/>
  <c r="CP68" i="1"/>
  <c r="CY68" i="1" s="1"/>
  <c r="T69" i="1"/>
  <c r="BH70" i="1"/>
  <c r="BI70" i="1"/>
  <c r="BA70" i="1"/>
  <c r="U64" i="1"/>
  <c r="Y64" i="1"/>
  <c r="V65" i="1"/>
  <c r="Z65" i="1"/>
  <c r="CN67" i="1"/>
  <c r="CW67" i="1" s="1"/>
  <c r="CN68" i="1"/>
  <c r="CW68" i="1" s="1"/>
  <c r="CN69" i="1"/>
  <c r="CW69" i="1" s="1"/>
  <c r="AL65" i="1"/>
  <c r="CT65" i="1"/>
  <c r="DC65" i="1" s="1"/>
  <c r="U66" i="1"/>
  <c r="AC66" i="1"/>
  <c r="AT66" i="1" s="1"/>
  <c r="BC67" i="1"/>
  <c r="BD67" i="1" s="1"/>
  <c r="AL67" i="1"/>
  <c r="BG67" i="1" s="1"/>
  <c r="AW67" i="1" s="1"/>
  <c r="CT68" i="1"/>
  <c r="DC68" i="1" s="1"/>
  <c r="X69" i="1"/>
  <c r="BI75" i="1"/>
  <c r="BA75" i="1"/>
  <c r="S65" i="1"/>
  <c r="W65" i="1"/>
  <c r="CO68" i="1"/>
  <c r="CX68" i="1" s="1"/>
  <c r="CO69" i="1"/>
  <c r="CX69" i="1" s="1"/>
  <c r="CO66" i="1"/>
  <c r="CX66" i="1" s="1"/>
  <c r="CS68" i="1"/>
  <c r="DB68" i="1" s="1"/>
  <c r="CS69" i="1"/>
  <c r="DB69" i="1" s="1"/>
  <c r="CS65" i="1"/>
  <c r="DB65" i="1" s="1"/>
  <c r="CS66" i="1"/>
  <c r="DB66" i="1" s="1"/>
  <c r="AM65" i="1"/>
  <c r="AQ65" i="1"/>
  <c r="CP65" i="1"/>
  <c r="CY65" i="1" s="1"/>
  <c r="X66" i="1"/>
  <c r="BG66" i="1"/>
  <c r="AW66" i="1" s="1"/>
  <c r="BE66" i="1"/>
  <c r="BE67" i="1"/>
  <c r="CO67" i="1"/>
  <c r="CX67" i="1" s="1"/>
  <c r="AT68" i="1"/>
  <c r="BC69" i="1"/>
  <c r="BD69" i="1" s="1"/>
  <c r="AB69" i="1"/>
  <c r="CS72" i="1"/>
  <c r="DB72" i="1" s="1"/>
  <c r="CS74" i="1"/>
  <c r="DB74" i="1" s="1"/>
  <c r="CS70" i="1"/>
  <c r="DB70" i="1" s="1"/>
  <c r="CS75" i="1"/>
  <c r="DB75" i="1" s="1"/>
  <c r="CS71" i="1"/>
  <c r="DB71" i="1" s="1"/>
  <c r="AQ70" i="1"/>
  <c r="CS73" i="1"/>
  <c r="DB73" i="1" s="1"/>
  <c r="CN72" i="1"/>
  <c r="CW72" i="1" s="1"/>
  <c r="BH74" i="1"/>
  <c r="BI74" i="1"/>
  <c r="S67" i="1"/>
  <c r="BF67" i="1" s="1"/>
  <c r="W67" i="1"/>
  <c r="CO72" i="1"/>
  <c r="CX72" i="1" s="1"/>
  <c r="CO74" i="1"/>
  <c r="CX74" i="1" s="1"/>
  <c r="CO70" i="1"/>
  <c r="CX70" i="1" s="1"/>
  <c r="CO75" i="1"/>
  <c r="CX75" i="1" s="1"/>
  <c r="CO71" i="1"/>
  <c r="CX71" i="1" s="1"/>
  <c r="CP70" i="1"/>
  <c r="CY70" i="1" s="1"/>
  <c r="AC71" i="1"/>
  <c r="Y71" i="1"/>
  <c r="U71" i="1"/>
  <c r="AA71" i="1"/>
  <c r="W71" i="1"/>
  <c r="S71" i="1"/>
  <c r="Z71" i="1"/>
  <c r="V71" i="1"/>
  <c r="BG71" i="1"/>
  <c r="AW71" i="1" s="1"/>
  <c r="BG72" i="1"/>
  <c r="AW72" i="1" s="1"/>
  <c r="BC73" i="1"/>
  <c r="BE73" i="1"/>
  <c r="CO73" i="1"/>
  <c r="CX73" i="1" s="1"/>
  <c r="BF74" i="1"/>
  <c r="CP74" i="1"/>
  <c r="CY74" i="1" s="1"/>
  <c r="X75" i="1"/>
  <c r="BE75" i="1"/>
  <c r="BB75" i="1"/>
  <c r="BD75" i="1" s="1"/>
  <c r="U68" i="1"/>
  <c r="Y68" i="1"/>
  <c r="CP73" i="1"/>
  <c r="CY73" i="1" s="1"/>
  <c r="AM70" i="1"/>
  <c r="CQ74" i="1"/>
  <c r="CZ74" i="1" s="1"/>
  <c r="CQ70" i="1"/>
  <c r="CZ70" i="1" s="1"/>
  <c r="CQ72" i="1"/>
  <c r="CZ72" i="1" s="1"/>
  <c r="CQ73" i="1"/>
  <c r="CZ73" i="1" s="1"/>
  <c r="AO70" i="1"/>
  <c r="CU74" i="1"/>
  <c r="DD74" i="1" s="1"/>
  <c r="CU70" i="1"/>
  <c r="DD70" i="1" s="1"/>
  <c r="CU72" i="1"/>
  <c r="DD72" i="1" s="1"/>
  <c r="CU73" i="1"/>
  <c r="DD73" i="1" s="1"/>
  <c r="AS70" i="1"/>
  <c r="AB71" i="1"/>
  <c r="BI71" i="1"/>
  <c r="BA71" i="1"/>
  <c r="CU71" i="1"/>
  <c r="DD71" i="1" s="1"/>
  <c r="BB72" i="1"/>
  <c r="BD72" i="1" s="1"/>
  <c r="BF72" i="1"/>
  <c r="BD73" i="1"/>
  <c r="BD74" i="1"/>
  <c r="CB75" i="1"/>
  <c r="CA74" i="1"/>
  <c r="CA70" i="1"/>
  <c r="CA72" i="1"/>
  <c r="CA73" i="1"/>
  <c r="CN75" i="1"/>
  <c r="CW75" i="1" s="1"/>
  <c r="CN71" i="1"/>
  <c r="CW71" i="1" s="1"/>
  <c r="CN73" i="1"/>
  <c r="CW73" i="1" s="1"/>
  <c r="AL70" i="1"/>
  <c r="CN74" i="1"/>
  <c r="CW74" i="1" s="1"/>
  <c r="CN70" i="1"/>
  <c r="CW70" i="1" s="1"/>
  <c r="BE71" i="1"/>
  <c r="BB71" i="1"/>
  <c r="BD71" i="1" s="1"/>
  <c r="CB72" i="1"/>
  <c r="AT74" i="1"/>
  <c r="AC75" i="1"/>
  <c r="AT75" i="1" s="1"/>
  <c r="Y75" i="1"/>
  <c r="U75" i="1"/>
  <c r="AA75" i="1"/>
  <c r="W75" i="1"/>
  <c r="S75" i="1"/>
  <c r="Z75" i="1"/>
  <c r="V75" i="1"/>
  <c r="BG75" i="1"/>
  <c r="AW75" i="1" s="1"/>
  <c r="CA75" i="1"/>
  <c r="CQ75" i="1"/>
  <c r="CZ75" i="1" s="1"/>
  <c r="BE70" i="1"/>
  <c r="CB70" i="1"/>
  <c r="CR70" i="1"/>
  <c r="DA70" i="1" s="1"/>
  <c r="CP72" i="1"/>
  <c r="CY72" i="1" s="1"/>
  <c r="CT72" i="1"/>
  <c r="DC72" i="1" s="1"/>
  <c r="CB74" i="1"/>
  <c r="CR74" i="1"/>
  <c r="DA74" i="1" s="1"/>
  <c r="V70" i="1"/>
  <c r="BF70" i="1" s="1"/>
  <c r="AP70" i="1"/>
  <c r="AT70" i="1"/>
  <c r="CP71" i="1"/>
  <c r="CY71" i="1" s="1"/>
  <c r="CT71" i="1"/>
  <c r="DC71" i="1" s="1"/>
  <c r="U73" i="1"/>
  <c r="Y73" i="1"/>
  <c r="AC73" i="1"/>
  <c r="AT73" i="1" s="1"/>
  <c r="BA73" i="1"/>
  <c r="CB73" i="1"/>
  <c r="CR73" i="1"/>
  <c r="DA73" i="1" s="1"/>
  <c r="CP75" i="1"/>
  <c r="CY75" i="1" s="1"/>
  <c r="CT75" i="1"/>
  <c r="DC75" i="1" s="1"/>
  <c r="AN70" i="1"/>
  <c r="AR70" i="1"/>
  <c r="CB71" i="1"/>
  <c r="CR71" i="1"/>
  <c r="DA71" i="1" s="1"/>
  <c r="S73" i="1"/>
  <c r="W73" i="1"/>
  <c r="CM39" i="1" l="1"/>
  <c r="CV39" i="1" s="1"/>
  <c r="BF25" i="1"/>
  <c r="BF18" i="1"/>
  <c r="BF11" i="1"/>
  <c r="BG6" i="1"/>
  <c r="BC58" i="1"/>
  <c r="BD58" i="1" s="1"/>
  <c r="BJ58" i="1" s="1"/>
  <c r="BD55" i="1"/>
  <c r="BG12" i="1"/>
  <c r="AW12" i="1" s="1"/>
  <c r="BF37" i="1"/>
  <c r="BF10" i="1"/>
  <c r="BF6" i="1"/>
  <c r="BF5" i="1"/>
  <c r="BF33" i="1"/>
  <c r="BA69" i="1"/>
  <c r="BA62" i="1"/>
  <c r="BF39" i="1"/>
  <c r="BA51" i="1"/>
  <c r="BF68" i="1"/>
  <c r="BF63" i="1"/>
  <c r="BA47" i="1"/>
  <c r="BG28" i="1"/>
  <c r="AW28" i="1" s="1"/>
  <c r="BF65" i="1"/>
  <c r="BG55" i="1"/>
  <c r="AW55" i="1" s="1"/>
  <c r="BG45" i="1"/>
  <c r="BF42" i="1"/>
  <c r="BJ42" i="1" s="1"/>
  <c r="BF40" i="1"/>
  <c r="BF38" i="1"/>
  <c r="BG16" i="1"/>
  <c r="AW16" i="1" s="1"/>
  <c r="BF17" i="1"/>
  <c r="BF14" i="1"/>
  <c r="BF28" i="1"/>
  <c r="BA67" i="1"/>
  <c r="BF9" i="1"/>
  <c r="CM70" i="1"/>
  <c r="CV70" i="1" s="1"/>
  <c r="BF64" i="1"/>
  <c r="CM54" i="1"/>
  <c r="CV54" i="1" s="1"/>
  <c r="CM51" i="1"/>
  <c r="CV51" i="1" s="1"/>
  <c r="BF36" i="1"/>
  <c r="BF43" i="1"/>
  <c r="CM28" i="1"/>
  <c r="CV28" i="1" s="1"/>
  <c r="BF21" i="1"/>
  <c r="BF30" i="1"/>
  <c r="BJ30" i="1" s="1"/>
  <c r="BF7" i="1"/>
  <c r="BJ17" i="1"/>
  <c r="BJ74" i="1"/>
  <c r="BJ67" i="1"/>
  <c r="BF60" i="1"/>
  <c r="BF59" i="1"/>
  <c r="CM31" i="1"/>
  <c r="CV31" i="1" s="1"/>
  <c r="CM33" i="1"/>
  <c r="CV33" i="1" s="1"/>
  <c r="BF44" i="1"/>
  <c r="BD37" i="1"/>
  <c r="BA65" i="1"/>
  <c r="BF4" i="1"/>
  <c r="BF56" i="1"/>
  <c r="BJ37" i="1"/>
  <c r="BA55" i="1"/>
  <c r="BF12" i="1"/>
  <c r="BJ68" i="1"/>
  <c r="AW45" i="1"/>
  <c r="AW7" i="1"/>
  <c r="BJ7" i="1"/>
  <c r="AW6" i="1"/>
  <c r="BJ6" i="1"/>
  <c r="BA72" i="1"/>
  <c r="BI72" i="1"/>
  <c r="CM73" i="1"/>
  <c r="CV73" i="1" s="1"/>
  <c r="CM74" i="1"/>
  <c r="CV74" i="1" s="1"/>
  <c r="BF69" i="1"/>
  <c r="BF66" i="1"/>
  <c r="BI58" i="1"/>
  <c r="BA58" i="1"/>
  <c r="DG56" i="1" s="1"/>
  <c r="CM63" i="1"/>
  <c r="CV63" i="1" s="1"/>
  <c r="CM64" i="1"/>
  <c r="CV64" i="1" s="1"/>
  <c r="CM62" i="1"/>
  <c r="CV62" i="1" s="1"/>
  <c r="AT60" i="1"/>
  <c r="CM61" i="1"/>
  <c r="CV61" i="1" s="1"/>
  <c r="CM60" i="1"/>
  <c r="CV60" i="1" s="1"/>
  <c r="BI52" i="1"/>
  <c r="BJ52" i="1" s="1"/>
  <c r="BA52" i="1"/>
  <c r="BF51" i="1"/>
  <c r="DC40" i="1"/>
  <c r="CX40" i="1"/>
  <c r="CM56" i="1"/>
  <c r="CV56" i="1" s="1"/>
  <c r="CM58" i="1"/>
  <c r="CV58" i="1" s="1"/>
  <c r="DG55" i="1"/>
  <c r="BJ48" i="1"/>
  <c r="CM45" i="1"/>
  <c r="CV45" i="1" s="1"/>
  <c r="BI39" i="1"/>
  <c r="BA39" i="1"/>
  <c r="CM47" i="1"/>
  <c r="CV47" i="1" s="1"/>
  <c r="CM43" i="1"/>
  <c r="CV43" i="1" s="1"/>
  <c r="BI32" i="1"/>
  <c r="BA32" i="1"/>
  <c r="BF27" i="1"/>
  <c r="BG22" i="1"/>
  <c r="AW22" i="1" s="1"/>
  <c r="BJ44" i="1"/>
  <c r="BA40" i="1"/>
  <c r="CM38" i="1"/>
  <c r="CV38" i="1" s="1"/>
  <c r="BA30" i="1"/>
  <c r="CM32" i="1"/>
  <c r="CV32" i="1" s="1"/>
  <c r="BJ26" i="1"/>
  <c r="BI12" i="1"/>
  <c r="BA12" i="1"/>
  <c r="BG10" i="1"/>
  <c r="AW10" i="1" s="1"/>
  <c r="BF19" i="1"/>
  <c r="BF15" i="1"/>
  <c r="BJ15" i="1" s="1"/>
  <c r="BD4" i="1"/>
  <c r="BA6" i="1"/>
  <c r="BJ20" i="1"/>
  <c r="BD16" i="1"/>
  <c r="BJ16" i="1" s="1"/>
  <c r="BA14" i="1"/>
  <c r="BF73" i="1"/>
  <c r="BJ73" i="1" s="1"/>
  <c r="BA74" i="1"/>
  <c r="BG65" i="1"/>
  <c r="AW65" i="1" s="1"/>
  <c r="BI63" i="1"/>
  <c r="BA63" i="1"/>
  <c r="CM66" i="1"/>
  <c r="CV66" i="1" s="1"/>
  <c r="CM67" i="1"/>
  <c r="CV67" i="1" s="1"/>
  <c r="CM68" i="1"/>
  <c r="CV68" i="1" s="1"/>
  <c r="CM69" i="1"/>
  <c r="CV69" i="1" s="1"/>
  <c r="AT65" i="1"/>
  <c r="CM65" i="1"/>
  <c r="CV65" i="1" s="1"/>
  <c r="BF62" i="1"/>
  <c r="BJ62" i="1" s="1"/>
  <c r="BJ66" i="1"/>
  <c r="BA60" i="1"/>
  <c r="BF49" i="1"/>
  <c r="BG50" i="1"/>
  <c r="AW50" i="1" s="1"/>
  <c r="CA55" i="1"/>
  <c r="CM55" i="1"/>
  <c r="CV55" i="1" s="1"/>
  <c r="CM57" i="1"/>
  <c r="CV57" i="1" s="1"/>
  <c r="DG59" i="1"/>
  <c r="CW40" i="1"/>
  <c r="DB40" i="1"/>
  <c r="BF34" i="1"/>
  <c r="BG34" i="1"/>
  <c r="AW34" i="1" s="1"/>
  <c r="CM46" i="1"/>
  <c r="CV46" i="1" s="1"/>
  <c r="CM37" i="1"/>
  <c r="CV37" i="1" s="1"/>
  <c r="CM41" i="1"/>
  <c r="CV41" i="1" s="1"/>
  <c r="BA36" i="1"/>
  <c r="BJ43" i="1"/>
  <c r="BJ27" i="1"/>
  <c r="BA33" i="1"/>
  <c r="BI8" i="1"/>
  <c r="BA8" i="1"/>
  <c r="DE72" i="1" a="1"/>
  <c r="DE72" i="1" s="1"/>
  <c r="DE74" i="1" a="1"/>
  <c r="DE74" i="1" s="1"/>
  <c r="DE70" i="1" a="1"/>
  <c r="DE70" i="1" s="1"/>
  <c r="DE75" i="1" a="1"/>
  <c r="DE75" i="1" s="1"/>
  <c r="DE71" i="1" a="1"/>
  <c r="DE71" i="1" s="1"/>
  <c r="DE68" i="1" a="1"/>
  <c r="DE68" i="1" s="1"/>
  <c r="DE65" i="1" a="1"/>
  <c r="DE65" i="1" s="1"/>
  <c r="DE73" i="1" a="1"/>
  <c r="DE73" i="1" s="1"/>
  <c r="DE66" i="1" a="1"/>
  <c r="DE66" i="1" s="1"/>
  <c r="DE69" i="1" a="1"/>
  <c r="DE69" i="1" s="1"/>
  <c r="DE67" i="1" a="1"/>
  <c r="DE67" i="1" s="1"/>
  <c r="DE64" i="1" a="1"/>
  <c r="DE64" i="1" s="1"/>
  <c r="DE61" i="1" a="1"/>
  <c r="DE61" i="1" s="1"/>
  <c r="DE62" i="1" a="1"/>
  <c r="DE62" i="1" s="1"/>
  <c r="DE59" i="1" a="1"/>
  <c r="DE59" i="1" s="1"/>
  <c r="DE60" i="1" a="1"/>
  <c r="DE60" i="1" s="1"/>
  <c r="DE56" i="1" a="1"/>
  <c r="DE56" i="1" s="1"/>
  <c r="DE57" i="1" a="1"/>
  <c r="DE57" i="1" s="1"/>
  <c r="DE63" i="1" a="1"/>
  <c r="DE63" i="1" s="1"/>
  <c r="DE58" i="1" a="1"/>
  <c r="DE58" i="1" s="1"/>
  <c r="DE55" i="1" a="1"/>
  <c r="DE55" i="1" s="1"/>
  <c r="DE51" i="1" a="1"/>
  <c r="DE51" i="1" s="1"/>
  <c r="DE47" i="1" a="1"/>
  <c r="DE47" i="1" s="1"/>
  <c r="DE52" i="1" a="1"/>
  <c r="DE52" i="1" s="1"/>
  <c r="DE48" i="1" a="1"/>
  <c r="DE48" i="1" s="1"/>
  <c r="DE53" i="1" a="1"/>
  <c r="DE53" i="1" s="1"/>
  <c r="DE49" i="1" a="1"/>
  <c r="DE49" i="1" s="1"/>
  <c r="DE54" i="1" a="1"/>
  <c r="DE54" i="1" s="1"/>
  <c r="DE50" i="1" a="1"/>
  <c r="DE50" i="1" s="1"/>
  <c r="DE46" i="1" a="1"/>
  <c r="DE46" i="1" s="1"/>
  <c r="DE44" i="1" a="1"/>
  <c r="DE44" i="1" s="1"/>
  <c r="DE40" i="1" a="1"/>
  <c r="DE40" i="1" s="1"/>
  <c r="DE36" i="1" a="1"/>
  <c r="DE36" i="1" s="1"/>
  <c r="DE41" i="1" a="1"/>
  <c r="DE41" i="1" s="1"/>
  <c r="DE37" i="1" a="1"/>
  <c r="DE37" i="1" s="1"/>
  <c r="DE33" i="1" a="1"/>
  <c r="DE33" i="1" s="1"/>
  <c r="DE42" i="1" a="1"/>
  <c r="DE42" i="1" s="1"/>
  <c r="DE38" i="1" a="1"/>
  <c r="DE38" i="1" s="1"/>
  <c r="DE34" i="1" a="1"/>
  <c r="DE34" i="1" s="1"/>
  <c r="DE45" i="1" a="1"/>
  <c r="DE45" i="1" s="1"/>
  <c r="DE43" i="1" a="1"/>
  <c r="DE43" i="1" s="1"/>
  <c r="DE39" i="1" a="1"/>
  <c r="DE39" i="1" s="1"/>
  <c r="DE35" i="1" a="1"/>
  <c r="DE35" i="1" s="1"/>
  <c r="DE32" i="1" a="1"/>
  <c r="DE32" i="1" s="1"/>
  <c r="DE28" i="1" a="1"/>
  <c r="DE28" i="1" s="1"/>
  <c r="DE24" i="1" a="1"/>
  <c r="DE24" i="1" s="1"/>
  <c r="DE29" i="1" a="1"/>
  <c r="DE29" i="1" s="1"/>
  <c r="DE25" i="1" a="1"/>
  <c r="DE25" i="1" s="1"/>
  <c r="DE21" i="1" a="1"/>
  <c r="DE21" i="1" s="1"/>
  <c r="DE30" i="1" a="1"/>
  <c r="DE30" i="1" s="1"/>
  <c r="DE26" i="1" a="1"/>
  <c r="DE26" i="1" s="1"/>
  <c r="DE22" i="1" a="1"/>
  <c r="DE22" i="1" s="1"/>
  <c r="DE31" i="1" a="1"/>
  <c r="DE31" i="1" s="1"/>
  <c r="DE27" i="1" a="1"/>
  <c r="DE27" i="1" s="1"/>
  <c r="DE23" i="1" a="1"/>
  <c r="DE23" i="1" s="1"/>
  <c r="DE16" i="1" a="1"/>
  <c r="DE16" i="1" s="1"/>
  <c r="DE13" i="1" a="1"/>
  <c r="DE13" i="1" s="1"/>
  <c r="DE9" i="1" a="1"/>
  <c r="DE9" i="1" s="1"/>
  <c r="DE5" i="1" a="1"/>
  <c r="DE5" i="1" s="1"/>
  <c r="DE20" i="1" a="1"/>
  <c r="DE20" i="1" s="1"/>
  <c r="DE17" i="1" a="1"/>
  <c r="DE17" i="1" s="1"/>
  <c r="DE10" i="1" a="1"/>
  <c r="DE10" i="1" s="1"/>
  <c r="DE6" i="1" a="1"/>
  <c r="DE6" i="1" s="1"/>
  <c r="DE4" i="1" a="1"/>
  <c r="DE4" i="1" s="1"/>
  <c r="DE18" i="1" a="1"/>
  <c r="DE18" i="1" s="1"/>
  <c r="DE14" i="1" a="1"/>
  <c r="DE14" i="1" s="1"/>
  <c r="DE11" i="1" a="1"/>
  <c r="DE11" i="1" s="1"/>
  <c r="DE7" i="1" a="1"/>
  <c r="DE7" i="1" s="1"/>
  <c r="DE19" i="1" a="1"/>
  <c r="DE19" i="1" s="1"/>
  <c r="DE15" i="1" a="1"/>
  <c r="DE15" i="1" s="1"/>
  <c r="DE12" i="1" a="1"/>
  <c r="DE12" i="1" s="1"/>
  <c r="DE8" i="1" a="1"/>
  <c r="DE8" i="1" s="1"/>
  <c r="BA13" i="1"/>
  <c r="BA5" i="1"/>
  <c r="BA10" i="1"/>
  <c r="BJ8" i="1"/>
  <c r="CM8" i="1"/>
  <c r="CV8" i="1" s="1"/>
  <c r="BF71" i="1"/>
  <c r="DG75" i="1"/>
  <c r="DG71" i="1"/>
  <c r="DG73" i="1"/>
  <c r="DG74" i="1"/>
  <c r="DG70" i="1"/>
  <c r="DG72" i="1"/>
  <c r="BA68" i="1"/>
  <c r="DG65" i="1" s="1"/>
  <c r="BF57" i="1"/>
  <c r="BJ57" i="1" s="1"/>
  <c r="DG66" i="1"/>
  <c r="DG69" i="1"/>
  <c r="BF53" i="1"/>
  <c r="BI50" i="1"/>
  <c r="BA50" i="1"/>
  <c r="BI46" i="1"/>
  <c r="BJ46" i="1" s="1"/>
  <c r="BA46" i="1"/>
  <c r="DG49" i="1" s="1"/>
  <c r="CA56" i="1"/>
  <c r="CM52" i="1"/>
  <c r="CV52" i="1" s="1"/>
  <c r="BD50" i="1"/>
  <c r="BJ50" i="1" s="1"/>
  <c r="BF47" i="1"/>
  <c r="BJ47" i="1" s="1"/>
  <c r="BF41" i="1"/>
  <c r="BJ41" i="1" s="1"/>
  <c r="BG40" i="1"/>
  <c r="AW40" i="1" s="1"/>
  <c r="DG57" i="1"/>
  <c r="DG58" i="1"/>
  <c r="BJ51" i="1"/>
  <c r="BJ53" i="1"/>
  <c r="CM36" i="1"/>
  <c r="CV36" i="1" s="1"/>
  <c r="BJ34" i="1"/>
  <c r="BC56" i="1"/>
  <c r="BD56" i="1" s="1"/>
  <c r="BJ56" i="1" s="1"/>
  <c r="CM53" i="1"/>
  <c r="CV53" i="1" s="1"/>
  <c r="CM49" i="1"/>
  <c r="CV49" i="1" s="1"/>
  <c r="CM40" i="1"/>
  <c r="CV40" i="1" s="1"/>
  <c r="CM42" i="1"/>
  <c r="CV42" i="1" s="1"/>
  <c r="BJ36" i="1"/>
  <c r="BF29" i="1"/>
  <c r="BJ29" i="1" s="1"/>
  <c r="BI24" i="1"/>
  <c r="BJ24" i="1" s="1"/>
  <c r="BA24" i="1"/>
  <c r="BJ39" i="1"/>
  <c r="CM29" i="1"/>
  <c r="CV29" i="1" s="1"/>
  <c r="BA22" i="1"/>
  <c r="BA25" i="1"/>
  <c r="BJ25" i="1"/>
  <c r="BI4" i="1"/>
  <c r="BA4" i="1"/>
  <c r="CM14" i="1"/>
  <c r="CV14" i="1" s="1"/>
  <c r="CM11" i="1"/>
  <c r="CV11" i="1" s="1"/>
  <c r="CM15" i="1"/>
  <c r="CV15" i="1" s="1"/>
  <c r="CM12" i="1"/>
  <c r="CV12" i="1" s="1"/>
  <c r="AT10" i="1"/>
  <c r="CM13" i="1"/>
  <c r="CV13" i="1" s="1"/>
  <c r="CM10" i="1"/>
  <c r="CV10" i="1" s="1"/>
  <c r="CM17" i="1"/>
  <c r="CV17" i="1" s="1"/>
  <c r="BJ12" i="1"/>
  <c r="BD5" i="1"/>
  <c r="BJ5" i="1" s="1"/>
  <c r="BA20" i="1"/>
  <c r="BA16" i="1"/>
  <c r="BJ9" i="1"/>
  <c r="BJ21" i="1"/>
  <c r="BJ14" i="1"/>
  <c r="CM72" i="1"/>
  <c r="CV72" i="1" s="1"/>
  <c r="BF75" i="1"/>
  <c r="BJ75" i="1" s="1"/>
  <c r="BJ71" i="1"/>
  <c r="BG70" i="1"/>
  <c r="AW70" i="1" s="1"/>
  <c r="BJ72" i="1"/>
  <c r="AT71" i="1"/>
  <c r="CM75" i="1"/>
  <c r="CV75" i="1" s="1"/>
  <c r="CM71" i="1"/>
  <c r="CV71" i="1" s="1"/>
  <c r="BJ69" i="1"/>
  <c r="BJ63" i="1"/>
  <c r="BF61" i="1"/>
  <c r="BJ61" i="1" s="1"/>
  <c r="BJ64" i="1"/>
  <c r="BJ65" i="1"/>
  <c r="BG60" i="1"/>
  <c r="AW60" i="1" s="1"/>
  <c r="BI54" i="1"/>
  <c r="BJ54" i="1" s="1"/>
  <c r="BA54" i="1"/>
  <c r="BJ59" i="1"/>
  <c r="BF55" i="1"/>
  <c r="BJ55" i="1" s="1"/>
  <c r="BF45" i="1"/>
  <c r="BJ45" i="1" s="1"/>
  <c r="CM59" i="1"/>
  <c r="CV59" i="1" s="1"/>
  <c r="BD49" i="1"/>
  <c r="BJ49" i="1" s="1"/>
  <c r="BI35" i="1"/>
  <c r="BJ35" i="1" s="1"/>
  <c r="BA35" i="1"/>
  <c r="CM48" i="1"/>
  <c r="CV48" i="1" s="1"/>
  <c r="DD40" i="1"/>
  <c r="CY40" i="1"/>
  <c r="BA44" i="1"/>
  <c r="CM44" i="1"/>
  <c r="CV44" i="1" s="1"/>
  <c r="BJ38" i="1"/>
  <c r="BF31" i="1"/>
  <c r="BJ31" i="1" s="1"/>
  <c r="BI28" i="1"/>
  <c r="BJ28" i="1" s="1"/>
  <c r="BA28" i="1"/>
  <c r="BF23" i="1"/>
  <c r="BJ23" i="1" s="1"/>
  <c r="BJ33" i="1"/>
  <c r="BA26" i="1"/>
  <c r="BA29" i="1"/>
  <c r="BA21" i="1"/>
  <c r="BF13" i="1"/>
  <c r="BJ13" i="1" s="1"/>
  <c r="BJ32" i="1"/>
  <c r="BJ19" i="1"/>
  <c r="CM6" i="1"/>
  <c r="CV6" i="1" s="1"/>
  <c r="BG4" i="1"/>
  <c r="AW4" i="1" s="1"/>
  <c r="BJ18" i="1"/>
  <c r="BA9" i="1"/>
  <c r="BJ11" i="1"/>
  <c r="CM16" i="1"/>
  <c r="CV16" i="1" s="1"/>
  <c r="BA17" i="1"/>
  <c r="BJ22" i="1" l="1"/>
  <c r="DF57" i="1"/>
  <c r="DF58" i="1"/>
  <c r="DF59" i="1"/>
  <c r="DF56" i="1"/>
  <c r="DF55" i="1"/>
  <c r="DF33" i="1"/>
  <c r="DF30" i="1"/>
  <c r="DF31" i="1"/>
  <c r="DF32" i="1"/>
  <c r="DF28" i="1"/>
  <c r="DF29" i="1"/>
  <c r="DF49" i="1"/>
  <c r="DF46" i="1"/>
  <c r="DF47" i="1"/>
  <c r="DF48" i="1"/>
  <c r="DF45" i="1"/>
  <c r="DG39" i="1"/>
  <c r="DG38" i="1"/>
  <c r="DG36" i="1"/>
  <c r="DG35" i="1"/>
  <c r="DG34" i="1"/>
  <c r="DG37" i="1"/>
  <c r="DG21" i="1"/>
  <c r="DG19" i="1"/>
  <c r="DG16" i="1"/>
  <c r="DG17" i="1"/>
  <c r="DG20" i="1"/>
  <c r="DG18" i="1"/>
  <c r="DF53" i="1"/>
  <c r="DF54" i="1"/>
  <c r="DF50" i="1"/>
  <c r="DF51" i="1"/>
  <c r="DF52" i="1"/>
  <c r="DG48" i="1"/>
  <c r="BJ40" i="1"/>
  <c r="DG8" i="1"/>
  <c r="DG9" i="1"/>
  <c r="DG5" i="1"/>
  <c r="DG6" i="1"/>
  <c r="DG4" i="1"/>
  <c r="DG7" i="1"/>
  <c r="DG27" i="1"/>
  <c r="DG23" i="1"/>
  <c r="DG24" i="1"/>
  <c r="DG25" i="1"/>
  <c r="DG26" i="1"/>
  <c r="DG22" i="1"/>
  <c r="DG54" i="1"/>
  <c r="DG50" i="1"/>
  <c r="DG51" i="1"/>
  <c r="DG52" i="1"/>
  <c r="DG53" i="1"/>
  <c r="DG47" i="1"/>
  <c r="BJ60" i="1"/>
  <c r="DG67" i="1"/>
  <c r="DG33" i="1"/>
  <c r="DG31" i="1"/>
  <c r="DG32" i="1"/>
  <c r="DG28" i="1"/>
  <c r="DG29" i="1"/>
  <c r="DG30" i="1"/>
  <c r="DF69" i="1"/>
  <c r="DF66" i="1"/>
  <c r="DF67" i="1"/>
  <c r="DF68" i="1"/>
  <c r="DF65" i="1"/>
  <c r="DF38" i="1"/>
  <c r="DF34" i="1"/>
  <c r="DF39" i="1"/>
  <c r="DF35" i="1"/>
  <c r="DF36" i="1"/>
  <c r="DF37" i="1"/>
  <c r="BJ70" i="1"/>
  <c r="DG45" i="1"/>
  <c r="DG46" i="1"/>
  <c r="BJ4" i="1"/>
  <c r="DF26" i="1"/>
  <c r="DF22" i="1"/>
  <c r="DF27" i="1"/>
  <c r="DF23" i="1"/>
  <c r="DF24" i="1"/>
  <c r="DF25" i="1"/>
  <c r="DG43" i="1"/>
  <c r="DG44" i="1"/>
  <c r="DG40" i="1"/>
  <c r="DG41" i="1"/>
  <c r="DG42" i="1"/>
  <c r="DG68" i="1"/>
  <c r="DG15" i="1"/>
  <c r="DG12" i="1"/>
  <c r="DG13" i="1"/>
  <c r="DG10" i="1"/>
  <c r="DG14" i="1"/>
  <c r="DG11" i="1"/>
  <c r="DG63" i="1"/>
  <c r="DG64" i="1"/>
  <c r="DG61" i="1"/>
  <c r="DG62" i="1"/>
  <c r="DG60" i="1"/>
  <c r="DF20" i="1"/>
  <c r="DF21" i="1"/>
  <c r="DF18" i="1"/>
  <c r="DF19" i="1"/>
  <c r="DF16" i="1"/>
  <c r="DF17" i="1"/>
  <c r="BJ10" i="1"/>
  <c r="DF14" i="1" l="1"/>
  <c r="DF11" i="1"/>
  <c r="DF15" i="1"/>
  <c r="DF12" i="1"/>
  <c r="DF13" i="1"/>
  <c r="DF10" i="1"/>
  <c r="DF42" i="1"/>
  <c r="DF43" i="1"/>
  <c r="DF44" i="1"/>
  <c r="DF40" i="1"/>
  <c r="DF41" i="1"/>
  <c r="DF74" i="1"/>
  <c r="DF70" i="1"/>
  <c r="DF72" i="1"/>
  <c r="DF73" i="1"/>
  <c r="DF75" i="1"/>
  <c r="DF71" i="1"/>
  <c r="DF63" i="1"/>
  <c r="DF64" i="1"/>
  <c r="DF61" i="1"/>
  <c r="DF62" i="1"/>
  <c r="DF60" i="1"/>
  <c r="DF8" i="1"/>
  <c r="DF4" i="1"/>
  <c r="DF9" i="1"/>
  <c r="DF5" i="1"/>
  <c r="DF7" i="1"/>
  <c r="DF6"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trongholdScoutingWorkbook.xlsx!MatchData" type="102" refreshedVersion="5" minRefreshableVersion="5">
    <extLst>
      <ext xmlns:x15="http://schemas.microsoft.com/office/spreadsheetml/2010/11/main" uri="{DE250136-89BD-433C-8126-D09CA5730AF9}">
        <x15:connection id="MatchData-737afa35-7ec2-4168-97eb-760ab4f618fd">
          <x15:rangePr sourceName="_xlcn.WorksheetConnection_StrongholdScoutingWorkbook.xlsxMatchData1"/>
        </x15:connection>
      </ext>
    </extLst>
  </connection>
  <connection id="3" name="WorksheetConnection_StrongholdScoutingWorkbook.xlsx!PitData" type="102" refreshedVersion="5" minRefreshableVersion="5">
    <extLst>
      <ext xmlns:x15="http://schemas.microsoft.com/office/spreadsheetml/2010/11/main" uri="{DE250136-89BD-433C-8126-D09CA5730AF9}">
        <x15:connection id="PitData-44bb5ad4-aec9-4223-8a14-3d80b1587612">
          <x15:rangePr sourceName="_xlcn.WorksheetConnection_StrongholdScoutingWorkbook.xlsxPitData1"/>
        </x15:connection>
      </ext>
    </extLst>
  </connection>
</connections>
</file>

<file path=xl/sharedStrings.xml><?xml version="1.0" encoding="utf-8"?>
<sst xmlns="http://schemas.openxmlformats.org/spreadsheetml/2006/main" count="428" uniqueCount="184">
  <si>
    <t>Match</t>
  </si>
  <si>
    <t>Team</t>
  </si>
  <si>
    <t>Alliance</t>
  </si>
  <si>
    <t>Scouter</t>
  </si>
  <si>
    <t>Auto High Goals</t>
  </si>
  <si>
    <t>Auto Low Goals</t>
  </si>
  <si>
    <t>Portcullis Available</t>
  </si>
  <si>
    <t>Cheval Available</t>
  </si>
  <si>
    <t>Moat Available</t>
  </si>
  <si>
    <t>Ramparts Available</t>
  </si>
  <si>
    <t>Drawbridge Available</t>
  </si>
  <si>
    <t>Sally Port Available</t>
  </si>
  <si>
    <t>Rock Wall Available</t>
  </si>
  <si>
    <t>Rough Terrain Available</t>
  </si>
  <si>
    <t>Low Bar Available</t>
  </si>
  <si>
    <t>Cheval Auto Crossings</t>
  </si>
  <si>
    <t>Moat Auto Crossings</t>
  </si>
  <si>
    <t>Ramparts Auto Crossings</t>
  </si>
  <si>
    <t>Drawbridge Auto Crossings</t>
  </si>
  <si>
    <t>Sally Port Auto Crossings</t>
  </si>
  <si>
    <t>Rock Wall Auto Crossings</t>
  </si>
  <si>
    <t>Rough Terrain Auto Crossings</t>
  </si>
  <si>
    <t>Low Bar Auto Crossings</t>
  </si>
  <si>
    <t>Cheval Teleop Crossings</t>
  </si>
  <si>
    <t>Moat Teleop Crossings</t>
  </si>
  <si>
    <t>Ramparts Teleop Crossings</t>
  </si>
  <si>
    <t>Drawbridge Teleop Crossings</t>
  </si>
  <si>
    <t>Sally Port Teleop Crossings</t>
  </si>
  <si>
    <t>Rock Wall Teleop Crossings</t>
  </si>
  <si>
    <t>Rough Terrain Teleop Crossings</t>
  </si>
  <si>
    <t>Low Bar Teleop Crossings</t>
  </si>
  <si>
    <t>Cheval Scored Teleop Crossings</t>
  </si>
  <si>
    <t>Moat Scored Teleop Crossings</t>
  </si>
  <si>
    <t>Ramparts Scored Teleop Crossings</t>
  </si>
  <si>
    <t>Drawbridge Scored Teleop Crossings</t>
  </si>
  <si>
    <t>Sally Port Scored Teleop Crossings</t>
  </si>
  <si>
    <t>Rock Wall Scored Teleop Crossings</t>
  </si>
  <si>
    <t>Rough Terrain Scored Teleop Crossings</t>
  </si>
  <si>
    <t>Low Bar Scored Teleop Crossings</t>
  </si>
  <si>
    <t>Teleop High Goals</t>
  </si>
  <si>
    <t>Teleop Low Goals</t>
  </si>
  <si>
    <t>High Goal Score</t>
  </si>
  <si>
    <t>Low Goal Score</t>
  </si>
  <si>
    <t>Crossing Score</t>
  </si>
  <si>
    <t>Challenge Flag</t>
  </si>
  <si>
    <t>Climb Flag</t>
  </si>
  <si>
    <t>Breach Flag</t>
  </si>
  <si>
    <t>Capture Tower Flag</t>
  </si>
  <si>
    <t>Defense Flag</t>
  </si>
  <si>
    <t>Breakdown Flag</t>
  </si>
  <si>
    <t>Challenge Score</t>
  </si>
  <si>
    <t>Climb Score</t>
  </si>
  <si>
    <t>Scores</t>
  </si>
  <si>
    <t>Match Type (Q or B)</t>
  </si>
  <si>
    <t>Q</t>
  </si>
  <si>
    <t>Red</t>
  </si>
  <si>
    <t>Blue</t>
  </si>
  <si>
    <t>A</t>
  </si>
  <si>
    <t>B</t>
  </si>
  <si>
    <t>C</t>
  </si>
  <si>
    <t>D</t>
  </si>
  <si>
    <t>E</t>
  </si>
  <si>
    <t>F</t>
  </si>
  <si>
    <t>G</t>
  </si>
  <si>
    <t>H</t>
  </si>
  <si>
    <t>Persona</t>
  </si>
  <si>
    <t>Personas</t>
  </si>
  <si>
    <t>Name</t>
  </si>
  <si>
    <t>Drive Base</t>
  </si>
  <si>
    <t>Crosser / High Goal</t>
  </si>
  <si>
    <t>Low Goal Low</t>
  </si>
  <si>
    <t>Low Goal High</t>
  </si>
  <si>
    <t>High Goal Low</t>
  </si>
  <si>
    <t>High Goal High</t>
  </si>
  <si>
    <t>Cheval High</t>
  </si>
  <si>
    <t>Portcullis High</t>
  </si>
  <si>
    <t>Moat High</t>
  </si>
  <si>
    <t>Ramparts High</t>
  </si>
  <si>
    <t>Drawbridge High</t>
  </si>
  <si>
    <t>Sally Port High</t>
  </si>
  <si>
    <t>Rock Wall High</t>
  </si>
  <si>
    <t>Rough Terrain High</t>
  </si>
  <si>
    <t>Low Bar High</t>
  </si>
  <si>
    <t>Crosser / Low Goal/Climber</t>
  </si>
  <si>
    <t>Drive Base/Low Goals/Climber</t>
  </si>
  <si>
    <t>Blue Total</t>
  </si>
  <si>
    <t>Red Total</t>
  </si>
  <si>
    <t>Low Goal Team Average</t>
  </si>
  <si>
    <t>High Goal Team Average</t>
  </si>
  <si>
    <t>Match Count</t>
  </si>
  <si>
    <t>Portcullis Avail Count</t>
  </si>
  <si>
    <t>Cheval Avail Count</t>
  </si>
  <si>
    <t>Moat Avail Count</t>
  </si>
  <si>
    <t>Ramparts Avail Count</t>
  </si>
  <si>
    <t>Drawbridge HAvail Countigh6</t>
  </si>
  <si>
    <t>Sally Port Avail Count</t>
  </si>
  <si>
    <t>Rock Wall Avail Count</t>
  </si>
  <si>
    <t>Rough Terrain Avail Count</t>
  </si>
  <si>
    <t>Low Bar Avail Count</t>
  </si>
  <si>
    <t>Sally Port Sum</t>
  </si>
  <si>
    <t>Rock Wall Sum</t>
  </si>
  <si>
    <t>Low Bar Sum</t>
  </si>
  <si>
    <t>Portcullis Sum</t>
  </si>
  <si>
    <t>Cheval Sum</t>
  </si>
  <si>
    <t>Moat Sum</t>
  </si>
  <si>
    <t>Ramparts Sum</t>
  </si>
  <si>
    <t>Drawbridge Sum</t>
  </si>
  <si>
    <t>Portcullis Auto Crossings</t>
  </si>
  <si>
    <t>Portcullis Teleop Crossings</t>
  </si>
  <si>
    <t>Portcullis Average</t>
  </si>
  <si>
    <t>Cheval Average</t>
  </si>
  <si>
    <t>Moat Average</t>
  </si>
  <si>
    <t>Ramparts Average</t>
  </si>
  <si>
    <t>Drawbridge Average</t>
  </si>
  <si>
    <t>Sally Port Average</t>
  </si>
  <si>
    <t>Rock Wall Average</t>
  </si>
  <si>
    <t>Rough Terrain Crossing Average</t>
  </si>
  <si>
    <t>Low Bar Average</t>
  </si>
  <si>
    <t>Rough Terrain Sum</t>
  </si>
  <si>
    <t>Max Goal Score</t>
  </si>
  <si>
    <t>Total Goal Score</t>
  </si>
  <si>
    <t>Grand Total</t>
  </si>
  <si>
    <t>Total Goals</t>
  </si>
  <si>
    <t>Total Crossings</t>
  </si>
  <si>
    <t>Row Labels</t>
  </si>
  <si>
    <t>Sum of Total Goals</t>
  </si>
  <si>
    <t>Sum of Total Crossings</t>
  </si>
  <si>
    <t>Sum of Auto High Goals</t>
  </si>
  <si>
    <t>Sum of Auto Low Goals</t>
  </si>
  <si>
    <t>Sum of Teleop High Goals</t>
  </si>
  <si>
    <t>Sum of Teleop Low Goals</t>
  </si>
  <si>
    <t>Average of Total Goal Score</t>
  </si>
  <si>
    <t>Average of Crossing Score</t>
  </si>
  <si>
    <t>Average of Challenge Score</t>
  </si>
  <si>
    <t>Average of Climb Score</t>
  </si>
  <si>
    <t>Total Score</t>
  </si>
  <si>
    <t>Max of Total Score</t>
  </si>
  <si>
    <t>Average of Total Score</t>
  </si>
  <si>
    <t>DriveBase</t>
  </si>
  <si>
    <t xml:space="preserve"> Moat Average</t>
  </si>
  <si>
    <t xml:space="preserve"> Ramparts Average</t>
  </si>
  <si>
    <t xml:space="preserve"> Drawbridge Average</t>
  </si>
  <si>
    <t xml:space="preserve"> Sally Port Average</t>
  </si>
  <si>
    <t xml:space="preserve"> Rock Wall Average</t>
  </si>
  <si>
    <t xml:space="preserve"> Rough Terrain Crossing Average</t>
  </si>
  <si>
    <t xml:space="preserve"> Low Bar Average</t>
  </si>
  <si>
    <t>Operational Rating</t>
  </si>
  <si>
    <t>Climber</t>
  </si>
  <si>
    <t>High Goal Shooter</t>
  </si>
  <si>
    <t>Tank</t>
  </si>
  <si>
    <t>H-Drive</t>
  </si>
  <si>
    <t>Omni</t>
  </si>
  <si>
    <t>Car</t>
  </si>
  <si>
    <t>Average of Portcullis Teleop Crossings</t>
  </si>
  <si>
    <t>Average of Cheval Teleop Crossings</t>
  </si>
  <si>
    <t>Average of Low Bar Teleop Crossings</t>
  </si>
  <si>
    <t>Average of Rough Terrain Teleop Crossings</t>
  </si>
  <si>
    <t>Average of Rock Wall Teleop Crossings</t>
  </si>
  <si>
    <t>Average of Sally Port Teleop Crossings</t>
  </si>
  <si>
    <t>Average of Drawbridge Teleop Crossings</t>
  </si>
  <si>
    <t>Average of Ramparts Teleop Crossings</t>
  </si>
  <si>
    <t>Average of Moat Teleop Crossings</t>
  </si>
  <si>
    <t xml:space="preserve"> Low Goal Team Average</t>
  </si>
  <si>
    <t xml:space="preserve"> High Goal Team Average</t>
  </si>
  <si>
    <t xml:space="preserve"> Max Goal Score</t>
  </si>
  <si>
    <t xml:space="preserve"> Portcullis Average</t>
  </si>
  <si>
    <t xml:space="preserve"> Cheval Average</t>
  </si>
  <si>
    <t xml:space="preserve"> Average of Total Crossings</t>
  </si>
  <si>
    <t>Average Team Score</t>
  </si>
  <si>
    <t xml:space="preserve"> Points Average</t>
  </si>
  <si>
    <t>Climb or Challenge Flag</t>
  </si>
  <si>
    <t>Average Climb or Challenge</t>
  </si>
  <si>
    <t xml:space="preserve"> % Climb or Challenge</t>
  </si>
  <si>
    <t>Pre-Match Report</t>
  </si>
  <si>
    <t>Alliance Analyzer</t>
  </si>
  <si>
    <t>Auto Crossing Test Generator</t>
  </si>
  <si>
    <t>Total Auto Score</t>
  </si>
  <si>
    <t>Auto Reach Flag</t>
  </si>
  <si>
    <t>Average of Climb Flag</t>
  </si>
  <si>
    <t xml:space="preserve"> Average Auto Score</t>
  </si>
  <si>
    <t>Team Captain Rank</t>
  </si>
  <si>
    <t>Alliance Captain Rank</t>
  </si>
  <si>
    <t>Average of Teleop High Goals</t>
  </si>
  <si>
    <t>Climebr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</si>
</sst>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7">
    <font>
      <sz val="11"/>
      <color theme="1"/>
      <name val="Calibri"/>
      <family val="2"/>
      <scheme val="minor"/>
    </font>
    <font>
      <b/>
      <sz val="11"/>
      <color theme="0"/>
      <name val="Calibri"/>
      <family val="2"/>
      <scheme val="minor"/>
    </font>
    <font>
      <sz val="9"/>
      <color theme="1"/>
      <name val="Calibri"/>
      <family val="2"/>
      <scheme val="minor"/>
    </font>
    <font>
      <sz val="11"/>
      <color rgb="FF666666"/>
      <name val="Inherit"/>
    </font>
    <font>
      <sz val="11"/>
      <name val="Calibri"/>
      <family val="2"/>
      <scheme val="minor"/>
    </font>
    <font>
      <sz val="16"/>
      <name val="Calibri"/>
      <family val="2"/>
      <scheme val="minor"/>
    </font>
    <font>
      <sz val="10"/>
      <color theme="1"/>
      <name val="Calibri"/>
      <family val="2"/>
      <scheme val="minor"/>
    </font>
  </fonts>
  <fills count="13">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bgColor indexed="64"/>
      </patternFill>
    </fill>
    <fill>
      <patternFill patternType="solid">
        <fgColor rgb="FFFF7C80"/>
        <bgColor indexed="64"/>
      </patternFill>
    </fill>
    <fill>
      <patternFill patternType="solid">
        <fgColor theme="2" tint="-9.9978637043366805E-2"/>
        <bgColor indexed="64"/>
      </patternFill>
    </fill>
    <fill>
      <patternFill patternType="solid">
        <fgColor theme="2" tint="-0.749992370372631"/>
        <bgColor indexed="64"/>
      </patternFill>
    </fill>
    <fill>
      <patternFill patternType="solid">
        <fgColor theme="0" tint="-0.34998626667073579"/>
        <bgColor indexed="64"/>
      </patternFill>
    </fill>
    <fill>
      <patternFill patternType="solid">
        <fgColor rgb="FFFF7C80"/>
        <bgColor theme="4"/>
      </patternFill>
    </fill>
    <fill>
      <patternFill patternType="solid">
        <fgColor theme="0" tint="-0.499984740745262"/>
        <bgColor indexed="64"/>
      </patternFill>
    </fill>
    <fill>
      <patternFill patternType="solid">
        <fgColor theme="0" tint="-0.499984740745262"/>
        <bgColor theme="4"/>
      </patternFill>
    </fill>
  </fills>
  <borders count="6">
    <border>
      <left/>
      <right/>
      <top/>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3">
    <xf numFmtId="0" fontId="0" fillId="0" borderId="0" xfId="0"/>
    <xf numFmtId="0" fontId="0" fillId="0" borderId="0" xfId="0" applyAlignment="1">
      <alignment textRotation="90"/>
    </xf>
    <xf numFmtId="0" fontId="0" fillId="3" borderId="2" xfId="0" applyFont="1" applyFill="1" applyBorder="1"/>
    <xf numFmtId="0" fontId="0" fillId="4" borderId="2" xfId="0" applyFont="1" applyFill="1" applyBorder="1"/>
    <xf numFmtId="0" fontId="0" fillId="0" borderId="0" xfId="0" applyFont="1"/>
    <xf numFmtId="0" fontId="0" fillId="0" borderId="0" xfId="0" applyAlignment="1"/>
    <xf numFmtId="0" fontId="0" fillId="0" borderId="0" xfId="0" applyFont="1" applyAlignment="1"/>
    <xf numFmtId="0" fontId="0" fillId="0" borderId="0" xfId="0" applyAlignment="1">
      <alignment horizontal="center" vertical="center" textRotation="90" wrapText="1"/>
    </xf>
    <xf numFmtId="0" fontId="0" fillId="0" borderId="0" xfId="0" applyAlignment="1">
      <alignment horizontal="center" vertical="center"/>
    </xf>
    <xf numFmtId="0" fontId="0" fillId="0" borderId="0" xfId="0" applyAlignment="1">
      <alignment horizontal="center" vertical="center" textRotation="90"/>
    </xf>
    <xf numFmtId="0" fontId="1" fillId="2" borderId="1" xfId="0" applyFont="1" applyFill="1" applyBorder="1" applyAlignment="1">
      <alignment horizontal="center" vertical="center" textRotation="90"/>
    </xf>
    <xf numFmtId="0" fontId="0" fillId="0" borderId="0" xfId="0" applyFill="1" applyBorder="1" applyAlignment="1"/>
    <xf numFmtId="1" fontId="0" fillId="0" borderId="0" xfId="0" applyNumberFormat="1"/>
    <xf numFmtId="1" fontId="0" fillId="0" borderId="0" xfId="0" applyNumberFormat="1" applyAlignment="1"/>
    <xf numFmtId="0" fontId="0" fillId="0" borderId="0" xfId="0" applyNumberFormat="1" applyAlignment="1"/>
    <xf numFmtId="1" fontId="0" fillId="3" borderId="2" xfId="0" applyNumberFormat="1" applyFont="1" applyFill="1" applyBorder="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textRotation="45"/>
    </xf>
    <xf numFmtId="0" fontId="0" fillId="0" borderId="0" xfId="0" applyFill="1"/>
    <xf numFmtId="0" fontId="0" fillId="0" borderId="0" xfId="0" applyNumberFormat="1" applyFill="1"/>
    <xf numFmtId="0" fontId="0" fillId="8" borderId="0" xfId="0" applyFill="1"/>
    <xf numFmtId="2" fontId="0" fillId="0" borderId="0" xfId="0" applyNumberFormat="1" applyFill="1"/>
    <xf numFmtId="9" fontId="0" fillId="0" borderId="0" xfId="0" applyNumberFormat="1" applyFill="1"/>
    <xf numFmtId="0" fontId="0" fillId="0" borderId="0" xfId="0" applyFill="1" applyBorder="1"/>
    <xf numFmtId="0" fontId="0" fillId="8" borderId="0" xfId="0" applyFill="1" applyBorder="1"/>
    <xf numFmtId="0" fontId="0" fillId="9" borderId="0" xfId="0" applyFill="1" applyBorder="1" applyAlignment="1">
      <alignment horizontal="center" vertical="center"/>
    </xf>
    <xf numFmtId="0" fontId="0" fillId="0" borderId="0" xfId="0" applyFill="1" applyAlignment="1">
      <alignment horizontal="left"/>
    </xf>
    <xf numFmtId="1" fontId="0" fillId="0" borderId="0" xfId="0" applyNumberFormat="1" applyFill="1"/>
    <xf numFmtId="0" fontId="2" fillId="0" borderId="4" xfId="0" applyFont="1" applyFill="1" applyBorder="1" applyAlignment="1">
      <alignment horizontal="center" textRotation="45"/>
    </xf>
    <xf numFmtId="0" fontId="4" fillId="0" borderId="0" xfId="0" applyFont="1" applyFill="1"/>
    <xf numFmtId="0" fontId="5" fillId="0" borderId="0" xfId="0" applyFont="1" applyFill="1" applyAlignment="1">
      <alignment vertical="center"/>
    </xf>
    <xf numFmtId="0" fontId="3" fillId="0" borderId="0" xfId="0" applyFont="1" applyFill="1"/>
    <xf numFmtId="0" fontId="0" fillId="7" borderId="0" xfId="0" applyFill="1" applyBorder="1" applyAlignment="1">
      <alignment horizontal="center" vertical="center"/>
    </xf>
    <xf numFmtId="0" fontId="0" fillId="9" borderId="0" xfId="0" applyFill="1" applyBorder="1"/>
    <xf numFmtId="0" fontId="0" fillId="0" borderId="0" xfId="0" applyAlignment="1">
      <alignment horizontal="center" vertical="center" textRotation="45"/>
    </xf>
    <xf numFmtId="0" fontId="0" fillId="6" borderId="0" xfId="0" applyFill="1" applyAlignment="1">
      <alignment horizontal="center" vertical="center" textRotation="45"/>
    </xf>
    <xf numFmtId="0" fontId="1" fillId="10" borderId="1" xfId="0" applyFont="1" applyFill="1" applyBorder="1" applyAlignment="1">
      <alignment horizontal="center" vertical="center" textRotation="45"/>
    </xf>
    <xf numFmtId="0" fontId="0" fillId="5" borderId="0" xfId="0" applyFill="1" applyAlignment="1">
      <alignment horizontal="center" vertical="center" textRotation="45"/>
    </xf>
    <xf numFmtId="0" fontId="0" fillId="0" borderId="0" xfId="0" applyFill="1" applyAlignment="1">
      <alignment textRotation="45"/>
    </xf>
    <xf numFmtId="0" fontId="1" fillId="0" borderId="3" xfId="0" applyFont="1" applyFill="1" applyBorder="1" applyAlignment="1">
      <alignment horizontal="center" vertical="center" textRotation="90"/>
    </xf>
    <xf numFmtId="0" fontId="0" fillId="0" borderId="0" xfId="0" applyAlignment="1">
      <alignment horizontal="center"/>
    </xf>
    <xf numFmtId="0" fontId="0" fillId="0" borderId="4" xfId="0" applyBorder="1" applyAlignment="1">
      <alignment textRotation="45"/>
    </xf>
    <xf numFmtId="0" fontId="0" fillId="11" borderId="0" xfId="0" applyFill="1" applyAlignment="1">
      <alignment horizontal="center" vertical="center" textRotation="45"/>
    </xf>
    <xf numFmtId="0" fontId="1" fillId="12" borderId="1" xfId="0" applyFont="1" applyFill="1" applyBorder="1" applyAlignment="1">
      <alignment horizontal="center" vertical="center" textRotation="45"/>
    </xf>
    <xf numFmtId="0" fontId="5" fillId="0" borderId="0" xfId="0" applyFont="1" applyFill="1" applyBorder="1" applyAlignment="1">
      <alignment vertical="center"/>
    </xf>
    <xf numFmtId="0" fontId="0" fillId="0" borderId="0" xfId="0" applyAlignment="1">
      <alignment horizontal="center"/>
    </xf>
    <xf numFmtId="0" fontId="6" fillId="0" borderId="0" xfId="0" applyFont="1" applyFill="1"/>
    <xf numFmtId="0" fontId="2" fillId="0" borderId="0" xfId="0" applyFont="1" applyFill="1" applyAlignment="1">
      <alignment textRotation="45"/>
    </xf>
    <xf numFmtId="164" fontId="0" fillId="0" borderId="0" xfId="0" applyNumberFormat="1" applyFill="1"/>
    <xf numFmtId="0" fontId="2" fillId="0" borderId="5" xfId="0" applyFont="1" applyFill="1" applyBorder="1" applyAlignment="1">
      <alignment textRotation="45"/>
    </xf>
    <xf numFmtId="0" fontId="1" fillId="12" borderId="0" xfId="0" applyFont="1" applyFill="1" applyBorder="1" applyAlignment="1">
      <alignment horizontal="center" vertical="center" textRotation="45"/>
    </xf>
  </cellXfs>
  <cellStyles count="1">
    <cellStyle name="Normal" xfId="0" builtinId="0"/>
  </cellStyles>
  <dxfs count="143">
    <dxf>
      <fill>
        <patternFill>
          <bgColor rgb="FFFF3300"/>
        </patternFill>
      </fill>
    </dxf>
    <dxf>
      <font>
        <color rgb="FFFFFF00"/>
      </font>
      <fill>
        <patternFill>
          <bgColor rgb="FFFF0000"/>
        </patternFill>
      </fill>
    </dxf>
    <dxf>
      <font>
        <color rgb="FFFFFF00"/>
      </font>
      <fill>
        <patternFill>
          <bgColor rgb="FFFF0000"/>
        </patternFill>
      </fil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sz val="9"/>
      </font>
    </dxf>
    <dxf>
      <border>
        <right style="thin">
          <color indexed="64"/>
        </right>
        <top style="thin">
          <color indexed="64"/>
        </top>
        <bottom style="thin">
          <color indexed="64"/>
        </bottom>
        <vertical style="thin">
          <color indexed="64"/>
        </vertical>
        <horizontal style="thin">
          <color indexed="64"/>
        </horizontal>
      </border>
    </dxf>
    <dxf>
      <numFmt numFmtId="164"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dxf>
    <dxf>
      <numFmt numFmtId="0" formatCode="General"/>
    </dxf>
    <dxf>
      <font>
        <i val="0"/>
      </font>
    </dxf>
    <dxf>
      <alignment horizontal="center" vertical="center" textRotation="45" wrapText="0" indent="0" justifyLastLine="0" shrinkToFit="0" readingOrder="0"/>
    </dxf>
    <dxf>
      <alignment textRotation="45" readingOrder="0"/>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textRotation="45" readingOrder="0"/>
    </dxf>
    <dxf>
      <alignment textRotation="45" readingOrder="0"/>
    </dxf>
    <dxf>
      <numFmt numFmtId="13" formatCode="0%"/>
    </dxf>
    <dxf>
      <alignment textRotation="45"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readingOrder="0"/>
    </dxf>
    <dxf>
      <alignment vertical="bottom" readingOrder="0"/>
    </dxf>
    <dxf>
      <fill>
        <patternFill patternType="solid">
          <bgColor theme="0" tint="-4.9989318521683403E-2"/>
        </patternFill>
      </fill>
    </dxf>
    <dxf>
      <fill>
        <patternFill patternType="none">
          <bgColor auto="1"/>
        </patternFill>
      </fill>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textRotation="45" readingOrder="0"/>
    </dxf>
    <dxf>
      <numFmt numFmtId="2" formatCode="0.00"/>
    </dxf>
    <dxf>
      <numFmt numFmtId="1" formatCode="0"/>
    </dxf>
    <dxf>
      <numFmt numFmtId="2" formatCode="0.00"/>
    </dxf>
    <dxf>
      <numFmt numFmtId="2" formatCode="0.00"/>
    </dxf>
    <dxf>
      <numFmt numFmtId="2"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s>
  <tableStyles count="0" defaultTableStyle="TableStyleMedium2" defaultPivotStyle="PivotStyleLight16"/>
  <colors>
    <mruColors>
      <color rgb="FFFF3300"/>
      <color rgb="FFFF7C80"/>
      <color rgb="FFFF8F92"/>
      <color rgb="FFFFAB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[StrongholdScoutingWorkbookDEMO.xlsx]Team Trend!TeamTrend</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areaChart>
        <c:grouping val="stacked"/>
        <c:varyColors val="0"/>
        <c:ser>
          <c:idx val="0"/>
          <c:order val="0"/>
          <c:tx>
            <c:strRef>
              <c:f>'Team Trend'!$H$3</c:f>
              <c:strCache>
                <c:ptCount val="1"/>
                <c:pt idx="0">
                  <c:v>Sum of Auto Low Goals</c:v>
                </c:pt>
              </c:strCache>
            </c:strRef>
          </c:tx>
          <c:spPr>
            <a:solidFill>
              <a:schemeClr val="accent1"/>
            </a:solidFill>
            <a:ln>
              <a:noFill/>
            </a:ln>
            <a:effectLst/>
          </c:spPr>
          <c:cat>
            <c:strRef>
              <c:f>'Team Trend'!$G$4:$G$10</c:f>
              <c:strCache>
                <c:ptCount val="6"/>
                <c:pt idx="0">
                  <c:v>2</c:v>
                </c:pt>
                <c:pt idx="1">
                  <c:v>4</c:v>
                </c:pt>
                <c:pt idx="2">
                  <c:v>6</c:v>
                </c:pt>
                <c:pt idx="3">
                  <c:v>8</c:v>
                </c:pt>
                <c:pt idx="4">
                  <c:v>10</c:v>
                </c:pt>
                <c:pt idx="5">
                  <c:v>12</c:v>
                </c:pt>
              </c:strCache>
            </c:strRef>
          </c:cat>
          <c:val>
            <c:numRef>
              <c:f>'Team Trend'!$H$4:$H$10</c:f>
              <c:numCache>
                <c:formatCode>General</c:formatCode>
                <c:ptCount val="6"/>
                <c:pt idx="0">
                  <c:v>1</c:v>
                </c:pt>
                <c:pt idx="1">
                  <c:v>0</c:v>
                </c:pt>
                <c:pt idx="2">
                  <c:v>1</c:v>
                </c:pt>
                <c:pt idx="3">
                  <c:v>1</c:v>
                </c:pt>
                <c:pt idx="4">
                  <c:v>1</c:v>
                </c:pt>
                <c:pt idx="5">
                  <c:v>1</c:v>
                </c:pt>
              </c:numCache>
            </c:numRef>
          </c:val>
        </c:ser>
        <c:ser>
          <c:idx val="1"/>
          <c:order val="1"/>
          <c:tx>
            <c:strRef>
              <c:f>'Team Trend'!$I$3</c:f>
              <c:strCache>
                <c:ptCount val="1"/>
                <c:pt idx="0">
                  <c:v>Sum of Auto High Goals</c:v>
                </c:pt>
              </c:strCache>
            </c:strRef>
          </c:tx>
          <c:spPr>
            <a:solidFill>
              <a:schemeClr val="accent2"/>
            </a:solidFill>
            <a:ln>
              <a:noFill/>
            </a:ln>
            <a:effectLst/>
          </c:spPr>
          <c:cat>
            <c:strRef>
              <c:f>'Team Trend'!$G$4:$G$10</c:f>
              <c:strCache>
                <c:ptCount val="6"/>
                <c:pt idx="0">
                  <c:v>2</c:v>
                </c:pt>
                <c:pt idx="1">
                  <c:v>4</c:v>
                </c:pt>
                <c:pt idx="2">
                  <c:v>6</c:v>
                </c:pt>
                <c:pt idx="3">
                  <c:v>8</c:v>
                </c:pt>
                <c:pt idx="4">
                  <c:v>10</c:v>
                </c:pt>
                <c:pt idx="5">
                  <c:v>12</c:v>
                </c:pt>
              </c:strCache>
            </c:strRef>
          </c:cat>
          <c:val>
            <c:numRef>
              <c:f>'Team Trend'!$I$4:$I$10</c:f>
              <c:numCache>
                <c:formatCode>General</c:formatCode>
                <c:ptCount val="6"/>
                <c:pt idx="0">
                  <c:v>0</c:v>
                </c:pt>
                <c:pt idx="1">
                  <c:v>0</c:v>
                </c:pt>
                <c:pt idx="2">
                  <c:v>0</c:v>
                </c:pt>
                <c:pt idx="3">
                  <c:v>0</c:v>
                </c:pt>
                <c:pt idx="4">
                  <c:v>0</c:v>
                </c:pt>
                <c:pt idx="5">
                  <c:v>0</c:v>
                </c:pt>
              </c:numCache>
            </c:numRef>
          </c:val>
        </c:ser>
        <c:ser>
          <c:idx val="2"/>
          <c:order val="2"/>
          <c:tx>
            <c:strRef>
              <c:f>'Team Trend'!$J$3</c:f>
              <c:strCache>
                <c:ptCount val="1"/>
                <c:pt idx="0">
                  <c:v>Sum of Teleop Low Goals</c:v>
                </c:pt>
              </c:strCache>
            </c:strRef>
          </c:tx>
          <c:spPr>
            <a:solidFill>
              <a:schemeClr val="accent3"/>
            </a:solidFill>
            <a:ln>
              <a:noFill/>
            </a:ln>
            <a:effectLst/>
          </c:spPr>
          <c:cat>
            <c:strRef>
              <c:f>'Team Trend'!$G$4:$G$10</c:f>
              <c:strCache>
                <c:ptCount val="6"/>
                <c:pt idx="0">
                  <c:v>2</c:v>
                </c:pt>
                <c:pt idx="1">
                  <c:v>4</c:v>
                </c:pt>
                <c:pt idx="2">
                  <c:v>6</c:v>
                </c:pt>
                <c:pt idx="3">
                  <c:v>8</c:v>
                </c:pt>
                <c:pt idx="4">
                  <c:v>10</c:v>
                </c:pt>
                <c:pt idx="5">
                  <c:v>12</c:v>
                </c:pt>
              </c:strCache>
            </c:strRef>
          </c:cat>
          <c:val>
            <c:numRef>
              <c:f>'Team Trend'!$J$4:$J$10</c:f>
              <c:numCache>
                <c:formatCode>General</c:formatCode>
                <c:ptCount val="6"/>
                <c:pt idx="0">
                  <c:v>2</c:v>
                </c:pt>
                <c:pt idx="1">
                  <c:v>4</c:v>
                </c:pt>
                <c:pt idx="2">
                  <c:v>3</c:v>
                </c:pt>
                <c:pt idx="3">
                  <c:v>3</c:v>
                </c:pt>
                <c:pt idx="4">
                  <c:v>5</c:v>
                </c:pt>
                <c:pt idx="5">
                  <c:v>6</c:v>
                </c:pt>
              </c:numCache>
            </c:numRef>
          </c:val>
        </c:ser>
        <c:ser>
          <c:idx val="3"/>
          <c:order val="3"/>
          <c:tx>
            <c:strRef>
              <c:f>'Team Trend'!$K$3</c:f>
              <c:strCache>
                <c:ptCount val="1"/>
                <c:pt idx="0">
                  <c:v>Sum of Teleop High Goals</c:v>
                </c:pt>
              </c:strCache>
            </c:strRef>
          </c:tx>
          <c:spPr>
            <a:solidFill>
              <a:schemeClr val="accent4"/>
            </a:solidFill>
            <a:ln>
              <a:noFill/>
            </a:ln>
            <a:effectLst/>
          </c:spPr>
          <c:cat>
            <c:strRef>
              <c:f>'Team Trend'!$G$4:$G$10</c:f>
              <c:strCache>
                <c:ptCount val="6"/>
                <c:pt idx="0">
                  <c:v>2</c:v>
                </c:pt>
                <c:pt idx="1">
                  <c:v>4</c:v>
                </c:pt>
                <c:pt idx="2">
                  <c:v>6</c:v>
                </c:pt>
                <c:pt idx="3">
                  <c:v>8</c:v>
                </c:pt>
                <c:pt idx="4">
                  <c:v>10</c:v>
                </c:pt>
                <c:pt idx="5">
                  <c:v>12</c:v>
                </c:pt>
              </c:strCache>
            </c:strRef>
          </c:cat>
          <c:val>
            <c:numRef>
              <c:f>'Team Trend'!$K$4:$K$10</c:f>
              <c:numCache>
                <c:formatCode>General</c:formatCode>
                <c:ptCount val="6"/>
                <c:pt idx="0">
                  <c:v>0</c:v>
                </c:pt>
                <c:pt idx="1">
                  <c:v>0</c:v>
                </c:pt>
                <c:pt idx="2">
                  <c:v>0</c:v>
                </c:pt>
                <c:pt idx="3">
                  <c:v>0</c:v>
                </c:pt>
                <c:pt idx="4">
                  <c:v>0</c:v>
                </c:pt>
                <c:pt idx="5">
                  <c:v>0</c:v>
                </c:pt>
              </c:numCache>
            </c:numRef>
          </c:val>
        </c:ser>
        <c:ser>
          <c:idx val="4"/>
          <c:order val="4"/>
          <c:tx>
            <c:strRef>
              <c:f>'Team Trend'!$L$3</c:f>
              <c:strCache>
                <c:ptCount val="1"/>
                <c:pt idx="0">
                  <c:v>Sum of Total Crossings</c:v>
                </c:pt>
              </c:strCache>
            </c:strRef>
          </c:tx>
          <c:spPr>
            <a:solidFill>
              <a:schemeClr val="accent5"/>
            </a:solidFill>
            <a:ln>
              <a:noFill/>
            </a:ln>
            <a:effectLst/>
          </c:spPr>
          <c:cat>
            <c:strRef>
              <c:f>'Team Trend'!$G$4:$G$10</c:f>
              <c:strCache>
                <c:ptCount val="6"/>
                <c:pt idx="0">
                  <c:v>2</c:v>
                </c:pt>
                <c:pt idx="1">
                  <c:v>4</c:v>
                </c:pt>
                <c:pt idx="2">
                  <c:v>6</c:v>
                </c:pt>
                <c:pt idx="3">
                  <c:v>8</c:v>
                </c:pt>
                <c:pt idx="4">
                  <c:v>10</c:v>
                </c:pt>
                <c:pt idx="5">
                  <c:v>12</c:v>
                </c:pt>
              </c:strCache>
            </c:strRef>
          </c:cat>
          <c:val>
            <c:numRef>
              <c:f>'Team Trend'!$L$4:$L$10</c:f>
              <c:numCache>
                <c:formatCode>General</c:formatCode>
                <c:ptCount val="6"/>
                <c:pt idx="0">
                  <c:v>5</c:v>
                </c:pt>
                <c:pt idx="1">
                  <c:v>8</c:v>
                </c:pt>
                <c:pt idx="2">
                  <c:v>6</c:v>
                </c:pt>
                <c:pt idx="3">
                  <c:v>8</c:v>
                </c:pt>
                <c:pt idx="4">
                  <c:v>9</c:v>
                </c:pt>
                <c:pt idx="5">
                  <c:v>9</c:v>
                </c:pt>
              </c:numCache>
            </c:numRef>
          </c:val>
        </c:ser>
        <c:dLbls>
          <c:showLegendKey val="0"/>
          <c:showVal val="0"/>
          <c:showCatName val="0"/>
          <c:showSerName val="0"/>
          <c:showPercent val="0"/>
          <c:showBubbleSize val="0"/>
        </c:dLbls>
        <c:axId val="130105944"/>
        <c:axId val="130107512"/>
      </c:areaChart>
      <c:catAx>
        <c:axId val="130105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7512"/>
        <c:crosses val="autoZero"/>
        <c:auto val="1"/>
        <c:lblAlgn val="ctr"/>
        <c:lblOffset val="100"/>
        <c:noMultiLvlLbl val="0"/>
      </c:catAx>
      <c:valAx>
        <c:axId val="130107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594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[StrongholdScoutingWorkbookDEMO.xlsx]Team Profile!PivotTable3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w="25400">
            <a:noFill/>
          </a:ln>
          <a:effectLst/>
        </c:spPr>
        <c:marker>
          <c:spPr>
            <a:solidFill>
              <a:schemeClr val="accent1"/>
            </a:solidFill>
            <a:ln w="9525">
              <a:solidFill>
                <a:schemeClr val="accent1"/>
              </a:solidFill>
            </a:ln>
            <a:effectLst/>
          </c:spPr>
        </c:marker>
      </c:pivotFmt>
      <c:pivotFmt>
        <c:idx val="25"/>
        <c:spPr>
          <a:solidFill>
            <a:schemeClr val="accent1"/>
          </a:solidFill>
          <a:ln w="25400">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ymbol val="none"/>
        </c:marker>
      </c:pivotFmt>
      <c:pivotFmt>
        <c:idx val="2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'Team Profile'!$B$3</c:f>
              <c:strCache>
                <c:ptCount val="1"/>
                <c:pt idx="0">
                  <c:v>Sum of Total Goals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'Team Profile'!$A$4:$A$10</c:f>
              <c:strCache>
                <c:ptCount val="6"/>
                <c:pt idx="0">
                  <c:v>1</c:v>
                </c:pt>
                <c:pt idx="1">
                  <c:v>3</c:v>
                </c:pt>
                <c:pt idx="2">
                  <c:v>5</c:v>
                </c:pt>
                <c:pt idx="3">
                  <c:v>7</c:v>
                </c:pt>
                <c:pt idx="4">
                  <c:v>9</c:v>
                </c:pt>
                <c:pt idx="5">
                  <c:v>11</c:v>
                </c:pt>
              </c:strCache>
            </c:strRef>
          </c:cat>
          <c:val>
            <c:numRef>
              <c:f>'Team Profile'!$B$4:$B$10</c:f>
              <c:numCache>
                <c:formatCode>General</c:formatCode>
                <c:ptCount val="6"/>
                <c:pt idx="0">
                  <c:v>0</c:v>
                </c:pt>
                <c:pt idx="1">
                  <c:v>0</c:v>
                </c:pt>
                <c:pt idx="2">
                  <c:v>0</c:v>
                </c:pt>
                <c:pt idx="3">
                  <c:v>0</c:v>
                </c:pt>
                <c:pt idx="4">
                  <c:v>0</c:v>
                </c:pt>
                <c:pt idx="5">
                  <c:v>0</c:v>
                </c:pt>
              </c:numCache>
            </c:numRef>
          </c:val>
          <c:smooth val="0"/>
        </c:ser>
        <c:ser>
          <c:idx val="1"/>
          <c:order val="1"/>
          <c:tx>
            <c:strRef>
              <c:f>'Team Profile'!$C$3</c:f>
              <c:strCache>
                <c:ptCount val="1"/>
                <c:pt idx="0">
                  <c:v>Sum of Total Crossings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'Team Profile'!$A$4:$A$10</c:f>
              <c:strCache>
                <c:ptCount val="6"/>
                <c:pt idx="0">
                  <c:v>1</c:v>
                </c:pt>
                <c:pt idx="1">
                  <c:v>3</c:v>
                </c:pt>
                <c:pt idx="2">
                  <c:v>5</c:v>
                </c:pt>
                <c:pt idx="3">
                  <c:v>7</c:v>
                </c:pt>
                <c:pt idx="4">
                  <c:v>9</c:v>
                </c:pt>
                <c:pt idx="5">
                  <c:v>11</c:v>
                </c:pt>
              </c:strCache>
            </c:strRef>
          </c:cat>
          <c:val>
            <c:numRef>
              <c:f>'Team Profile'!$C$4:$C$10</c:f>
              <c:numCache>
                <c:formatCode>General</c:formatCode>
                <c:ptCount val="6"/>
                <c:pt idx="0">
                  <c:v>0</c:v>
                </c:pt>
                <c:pt idx="1">
                  <c:v>5</c:v>
                </c:pt>
                <c:pt idx="2">
                  <c:v>3</c:v>
                </c:pt>
                <c:pt idx="3">
                  <c:v>2</c:v>
                </c:pt>
                <c:pt idx="4">
                  <c:v>2</c:v>
                </c:pt>
                <c:pt idx="5">
                  <c:v>3</c:v>
                </c:pt>
              </c:numCache>
            </c:numRef>
          </c:val>
          <c:smooth val="0"/>
        </c:ser>
        <c:dLbls>
          <c:showLegendKey val="0"/>
          <c:showVal val="0"/>
          <c:showCatName val="0"/>
          <c:showSerName val="0"/>
          <c:showPercent val="0"/>
          <c:showBubbleSize val="0"/>
        </c:dLbls>
        <c:marker val="1"/>
        <c:smooth val="0"/>
        <c:axId val="130111040"/>
        <c:axId val="130107904"/>
      </c:lineChart>
      <c:catAx>
        <c:axId val="130111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07904"/>
        <c:crosses val="autoZero"/>
        <c:auto val="1"/>
        <c:lblAlgn val="ctr"/>
        <c:lblOffset val="100"/>
        <c:noMultiLvlLbl val="0"/>
      </c:catAx>
      <c:valAx>
        <c:axId val="13010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11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13</xdr:col>
      <xdr:colOff>84666</xdr:colOff>
      <xdr:row>1</xdr:row>
      <xdr:rowOff>92076</xdr:rowOff>
    </xdr:from>
    <xdr:to>
      <xdr:col>16</xdr:col>
      <xdr:colOff>299508</xdr:colOff>
      <xdr:row>1</xdr:row>
      <xdr:rowOff>923926</xdr:rowOff>
    </xdr:to>
    <xdr:sp macro="" textlink="">
      <xdr:nvSpPr>
        <xdr:cNvPr id="2" name="Rounded Rectangular Callout 1"/>
        <xdr:cNvSpPr/>
      </xdr:nvSpPr>
      <xdr:spPr>
        <a:xfrm>
          <a:off x="5471583" y="277284"/>
          <a:ext cx="1278467" cy="831850"/>
        </a:xfrm>
        <a:prstGeom prst="wedgeRoundRectCallout">
          <a:avLst>
            <a:gd name="adj1" fmla="val 44019"/>
            <a:gd name="adj2" fmla="val 89981"/>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000"/>
            <a:t>Data from Match</a:t>
          </a:r>
          <a:r>
            <a:rPr lang="en-US" sz="1000" baseline="0"/>
            <a:t> Scouting Form is entered here in the blue section.</a:t>
          </a:r>
          <a:endParaRPr lang="en-US" sz="1000"/>
        </a:p>
      </xdr:txBody>
    </xdr:sp>
    <xdr:clientData/>
  </xdr:twoCellAnchor>
  <xdr:twoCellAnchor>
    <xdr:from>
      <xdr:col>0</xdr:col>
      <xdr:colOff>87841</xdr:colOff>
      <xdr:row>1</xdr:row>
      <xdr:rowOff>111125</xdr:rowOff>
    </xdr:from>
    <xdr:to>
      <xdr:col>3</xdr:col>
      <xdr:colOff>401108</xdr:colOff>
      <xdr:row>1</xdr:row>
      <xdr:rowOff>1076325</xdr:rowOff>
    </xdr:to>
    <xdr:sp macro="" textlink="">
      <xdr:nvSpPr>
        <xdr:cNvPr id="3" name="Rounded Rectangular Callout 2"/>
        <xdr:cNvSpPr/>
      </xdr:nvSpPr>
      <xdr:spPr>
        <a:xfrm>
          <a:off x="87841" y="296333"/>
          <a:ext cx="1488017" cy="965200"/>
        </a:xfrm>
        <a:prstGeom prst="wedgeRoundRectCallout">
          <a:avLst>
            <a:gd name="adj1" fmla="val 21179"/>
            <a:gd name="adj2" fmla="val 56474"/>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050" b="1"/>
            <a:t>To generate</a:t>
          </a:r>
          <a:r>
            <a:rPr lang="en-US" sz="1050" b="1" baseline="0"/>
            <a:t> a new set of test data, go to Formulas menu and click Calculate Sheet.</a:t>
          </a:r>
          <a:endParaRPr lang="en-US" sz="1050" b="1"/>
        </a:p>
      </xdr:txBody>
    </xdr:sp>
    <xdr:clientData/>
  </xdr:twoCellAnchor>
  <xdr:twoCellAnchor>
    <xdr:from>
      <xdr:col>56</xdr:col>
      <xdr:colOff>142875</xdr:colOff>
      <xdr:row>1</xdr:row>
      <xdr:rowOff>288926</xdr:rowOff>
    </xdr:from>
    <xdr:to>
      <xdr:col>64</xdr:col>
      <xdr:colOff>307974</xdr:colOff>
      <xdr:row>1</xdr:row>
      <xdr:rowOff>822326</xdr:rowOff>
    </xdr:to>
    <xdr:sp macro="" textlink="">
      <xdr:nvSpPr>
        <xdr:cNvPr id="4" name="Rounded Rectangular Callout 3"/>
        <xdr:cNvSpPr/>
      </xdr:nvSpPr>
      <xdr:spPr>
        <a:xfrm>
          <a:off x="21621750" y="474134"/>
          <a:ext cx="2646891" cy="533400"/>
        </a:xfrm>
        <a:prstGeom prst="wedgeRoundRectCallout">
          <a:avLst>
            <a:gd name="adj1" fmla="val 20752"/>
            <a:gd name="adj2" fmla="val 617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000"/>
            <a:t>The</a:t>
          </a:r>
          <a:r>
            <a:rPr lang="en-US" sz="1000" baseline="0"/>
            <a:t> red sections contain derived data used in the pivot tables and charts. </a:t>
          </a:r>
          <a:endParaRPr lang="en-US" sz="1000"/>
        </a:p>
      </xdr:txBody>
    </xdr:sp>
    <xdr:clientData/>
  </xdr:twoCellAnchor>
  <xdr:twoCellAnchor>
    <xdr:from>
      <xdr:col>5</xdr:col>
      <xdr:colOff>115359</xdr:colOff>
      <xdr:row>1</xdr:row>
      <xdr:rowOff>73026</xdr:rowOff>
    </xdr:from>
    <xdr:to>
      <xdr:col>11</xdr:col>
      <xdr:colOff>21167</xdr:colOff>
      <xdr:row>1</xdr:row>
      <xdr:rowOff>1000126</xdr:rowOff>
    </xdr:to>
    <xdr:sp macro="" textlink="">
      <xdr:nvSpPr>
        <xdr:cNvPr id="5" name="Rounded Rectangular Callout 4"/>
        <xdr:cNvSpPr/>
      </xdr:nvSpPr>
      <xdr:spPr>
        <a:xfrm>
          <a:off x="2544234" y="258234"/>
          <a:ext cx="2154766" cy="927100"/>
        </a:xfrm>
        <a:prstGeom prst="wedgeRoundRectCallout">
          <a:avLst>
            <a:gd name="adj1" fmla="val 22385"/>
            <a:gd name="adj2" fmla="val 49582"/>
            <a:gd name="adj3" fmla="val 16667"/>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000"/>
            <a:t>Formating</a:t>
          </a:r>
          <a:r>
            <a:rPr lang="en-US" sz="1000" baseline="0"/>
            <a:t> the data as a table makes it easier to use for outputs and helps to ensure that column formulas are consistent.</a:t>
          </a:r>
          <a:endParaRPr lang="en-US" sz="1000"/>
        </a:p>
      </xdr:txBody>
    </xdr:sp>
    <xdr:clientData/>
  </xdr:twoCellAnchor>
  <xdr:twoCellAnchor>
    <xdr:from>
      <xdr:col>69</xdr:col>
      <xdr:colOff>223308</xdr:colOff>
      <xdr:row>1</xdr:row>
      <xdr:rowOff>318558</xdr:rowOff>
    </xdr:from>
    <xdr:to>
      <xdr:col>76</xdr:col>
      <xdr:colOff>33866</xdr:colOff>
      <xdr:row>1</xdr:row>
      <xdr:rowOff>966258</xdr:rowOff>
    </xdr:to>
    <xdr:sp macro="" textlink="">
      <xdr:nvSpPr>
        <xdr:cNvPr id="6" name="Rounded Rectangular Callout 5"/>
        <xdr:cNvSpPr/>
      </xdr:nvSpPr>
      <xdr:spPr>
        <a:xfrm>
          <a:off x="25956683" y="503766"/>
          <a:ext cx="2292350" cy="647700"/>
        </a:xfrm>
        <a:prstGeom prst="wedgeRoundRectCallout">
          <a:avLst>
            <a:gd name="adj1" fmla="val 20752"/>
            <a:gd name="adj2" fmla="val 617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000" baseline="0"/>
            <a:t>Grey columns are used in my test data generator code and would not appear in the finished sheet.</a:t>
          </a:r>
          <a:endParaRPr lang="en-US" sz="1000"/>
        </a:p>
      </xdr:txBody>
    </xdr:sp>
    <xdr:clientData/>
  </xdr:twoCellAnchor>
  <xdr:twoCellAnchor>
    <xdr:from>
      <xdr:col>89</xdr:col>
      <xdr:colOff>53975</xdr:colOff>
      <xdr:row>1</xdr:row>
      <xdr:rowOff>263525</xdr:rowOff>
    </xdr:from>
    <xdr:to>
      <xdr:col>95</xdr:col>
      <xdr:colOff>219075</xdr:colOff>
      <xdr:row>1</xdr:row>
      <xdr:rowOff>796925</xdr:rowOff>
    </xdr:to>
    <xdr:sp macro="" textlink="">
      <xdr:nvSpPr>
        <xdr:cNvPr id="7" name="Rounded Rectangular Callout 6"/>
        <xdr:cNvSpPr/>
      </xdr:nvSpPr>
      <xdr:spPr>
        <a:xfrm>
          <a:off x="32523642" y="448733"/>
          <a:ext cx="2292350" cy="533400"/>
        </a:xfrm>
        <a:prstGeom prst="wedgeRoundRectCallout">
          <a:avLst>
            <a:gd name="adj1" fmla="val 20752"/>
            <a:gd name="adj2" fmla="val 617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000"/>
            <a:t>The</a:t>
          </a:r>
          <a:r>
            <a:rPr lang="en-US" sz="1000" baseline="0"/>
            <a:t> red sections contain derived data used in the pivot tables and charts. </a:t>
          </a:r>
          <a:endParaRPr lang="en-US"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xdr:row>
      <xdr:rowOff>0</xdr:rowOff>
    </xdr:from>
    <xdr:to>
      <xdr:col>12</xdr:col>
      <xdr:colOff>88900</xdr:colOff>
      <xdr:row>9</xdr:row>
      <xdr:rowOff>177800</xdr:rowOff>
    </xdr:to>
    <xdr:sp macro="" textlink="">
      <xdr:nvSpPr>
        <xdr:cNvPr id="2" name="Rounded Rectangular Callout 1"/>
        <xdr:cNvSpPr/>
      </xdr:nvSpPr>
      <xdr:spPr>
        <a:xfrm>
          <a:off x="4292600" y="1231900"/>
          <a:ext cx="2527300" cy="1651000"/>
        </a:xfrm>
        <a:prstGeom prst="wedgeRoundRectCallout">
          <a:avLst>
            <a:gd name="adj1" fmla="val 22385"/>
            <a:gd name="adj2" fmla="val 49582"/>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The pit scouting data is a separate</a:t>
          </a:r>
          <a:r>
            <a:rPr lang="en-US" sz="1200" baseline="0"/>
            <a:t> table. However, match and pit scouting data is related in an Excel Data Model, so reporting can be done with combined data to a certain extent.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0</xdr:row>
      <xdr:rowOff>69850</xdr:rowOff>
    </xdr:from>
    <xdr:to>
      <xdr:col>0</xdr:col>
      <xdr:colOff>1054100</xdr:colOff>
      <xdr:row>4</xdr:row>
      <xdr:rowOff>107950</xdr:rowOff>
    </xdr:to>
    <xdr:pic>
      <xdr:nvPicPr>
        <xdr:cNvPr id="3" name="Picture 2" descr="Error Code Xer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00" y="69850"/>
          <a:ext cx="952500" cy="952500"/>
        </a:xfrm>
        <a:prstGeom prst="rect">
          <a:avLst/>
        </a:prstGeom>
        <a:noFill/>
      </xdr:spPr>
    </xdr:pic>
    <xdr:clientData/>
  </xdr:twoCellAnchor>
  <xdr:twoCellAnchor>
    <xdr:from>
      <xdr:col>10</xdr:col>
      <xdr:colOff>241300</xdr:colOff>
      <xdr:row>0</xdr:row>
      <xdr:rowOff>69850</xdr:rowOff>
    </xdr:from>
    <xdr:to>
      <xdr:col>17</xdr:col>
      <xdr:colOff>298450</xdr:colOff>
      <xdr:row>3</xdr:row>
      <xdr:rowOff>120650</xdr:rowOff>
    </xdr:to>
    <xdr:sp macro="" textlink="">
      <xdr:nvSpPr>
        <xdr:cNvPr id="4" name="Rounded Rectangular Callout 3"/>
        <xdr:cNvSpPr/>
      </xdr:nvSpPr>
      <xdr:spPr>
        <a:xfrm>
          <a:off x="7086600" y="69850"/>
          <a:ext cx="3200400" cy="781050"/>
        </a:xfrm>
        <a:prstGeom prst="wedgeRoundRectCallout">
          <a:avLst>
            <a:gd name="adj1" fmla="val 20626"/>
            <a:gd name="adj2" fmla="val 4996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This</a:t>
          </a:r>
          <a:r>
            <a:rPr lang="en-US" sz="1200" baseline="0"/>
            <a:t> is based on the Scouting Output form developed by Tom, Luke, Eric, Tristan, CV, Marshall, and other students.</a:t>
          </a:r>
          <a:r>
            <a:rPr lang="en-US" sz="1200"/>
            <a:t> </a:t>
          </a:r>
          <a:endParaRPr lang="en-US" sz="1200" baseline="0"/>
        </a:p>
      </xdr:txBody>
    </xdr:sp>
    <xdr:clientData/>
  </xdr:twoCellAnchor>
  <xdr:twoCellAnchor>
    <xdr:from>
      <xdr:col>10</xdr:col>
      <xdr:colOff>546100</xdr:colOff>
      <xdr:row>8</xdr:row>
      <xdr:rowOff>127000</xdr:rowOff>
    </xdr:from>
    <xdr:to>
      <xdr:col>16</xdr:col>
      <xdr:colOff>6350</xdr:colOff>
      <xdr:row>14</xdr:row>
      <xdr:rowOff>76200</xdr:rowOff>
    </xdr:to>
    <xdr:sp macro="" textlink="">
      <xdr:nvSpPr>
        <xdr:cNvPr id="5" name="Rounded Rectangular Callout 4"/>
        <xdr:cNvSpPr/>
      </xdr:nvSpPr>
      <xdr:spPr>
        <a:xfrm>
          <a:off x="7391400" y="1778000"/>
          <a:ext cx="2197100" cy="1054100"/>
        </a:xfrm>
        <a:prstGeom prst="wedgeRoundRectCallout">
          <a:avLst>
            <a:gd name="adj1" fmla="val -70125"/>
            <a:gd name="adj2" fmla="val 26473"/>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Color coding recommends which defense to put out.</a:t>
          </a:r>
          <a:r>
            <a:rPr lang="en-US" sz="1200" baseline="0"/>
            <a:t> Green is the recommended defense in that category.</a:t>
          </a:r>
        </a:p>
      </xdr:txBody>
    </xdr:sp>
    <xdr:clientData/>
  </xdr:twoCellAnchor>
  <xdr:twoCellAnchor>
    <xdr:from>
      <xdr:col>10</xdr:col>
      <xdr:colOff>273050</xdr:colOff>
      <xdr:row>3</xdr:row>
      <xdr:rowOff>158750</xdr:rowOff>
    </xdr:from>
    <xdr:to>
      <xdr:col>14</xdr:col>
      <xdr:colOff>69850</xdr:colOff>
      <xdr:row>8</xdr:row>
      <xdr:rowOff>38100</xdr:rowOff>
    </xdr:to>
    <xdr:sp macro="" textlink="">
      <xdr:nvSpPr>
        <xdr:cNvPr id="6" name="Rounded Rectangular Callout 5"/>
        <xdr:cNvSpPr/>
      </xdr:nvSpPr>
      <xdr:spPr>
        <a:xfrm>
          <a:off x="7118350" y="889000"/>
          <a:ext cx="1555750" cy="800100"/>
        </a:xfrm>
        <a:prstGeom prst="wedgeRoundRectCallout">
          <a:avLst>
            <a:gd name="adj1" fmla="val -92703"/>
            <a:gd name="adj2" fmla="val -35976"/>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1425 is highlighted for</a:t>
          </a:r>
          <a:r>
            <a:rPr lang="en-US" sz="1200" baseline="0"/>
            <a:t> ease of reference.</a:t>
          </a:r>
        </a:p>
      </xdr:txBody>
    </xdr:sp>
    <xdr:clientData/>
  </xdr:twoCellAnchor>
  <xdr:twoCellAnchor>
    <xdr:from>
      <xdr:col>11</xdr:col>
      <xdr:colOff>63500</xdr:colOff>
      <xdr:row>14</xdr:row>
      <xdr:rowOff>165100</xdr:rowOff>
    </xdr:from>
    <xdr:to>
      <xdr:col>15</xdr:col>
      <xdr:colOff>571500</xdr:colOff>
      <xdr:row>20</xdr:row>
      <xdr:rowOff>63500</xdr:rowOff>
    </xdr:to>
    <xdr:sp macro="" textlink="">
      <xdr:nvSpPr>
        <xdr:cNvPr id="7" name="Rounded Rectangular Callout 6"/>
        <xdr:cNvSpPr/>
      </xdr:nvSpPr>
      <xdr:spPr>
        <a:xfrm>
          <a:off x="7658100" y="2921000"/>
          <a:ext cx="1854200" cy="1003300"/>
        </a:xfrm>
        <a:prstGeom prst="wedgeRoundRectCallout">
          <a:avLst>
            <a:gd name="adj1" fmla="val -90659"/>
            <a:gd name="adj2" fmla="val 4929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Alliance aggregations are</a:t>
          </a:r>
          <a:r>
            <a:rPr lang="en-US" sz="1200" baseline="0"/>
            <a:t> usually a</a:t>
          </a:r>
          <a:r>
            <a:rPr lang="en-US" sz="1200"/>
            <a:t> sum of the averages.</a:t>
          </a:r>
          <a:r>
            <a:rPr lang="en-US" sz="1200" baseline="0"/>
            <a:t> There are some exceptions.</a:t>
          </a:r>
        </a:p>
      </xdr:txBody>
    </xdr:sp>
    <xdr:clientData/>
  </xdr:twoCellAnchor>
  <xdr:twoCellAnchor>
    <xdr:from>
      <xdr:col>0</xdr:col>
      <xdr:colOff>57150</xdr:colOff>
      <xdr:row>6</xdr:row>
      <xdr:rowOff>69850</xdr:rowOff>
    </xdr:from>
    <xdr:to>
      <xdr:col>0</xdr:col>
      <xdr:colOff>1028700</xdr:colOff>
      <xdr:row>9</xdr:row>
      <xdr:rowOff>158750</xdr:rowOff>
    </xdr:to>
    <xdr:sp macro="" textlink="">
      <xdr:nvSpPr>
        <xdr:cNvPr id="8" name="Rounded Rectangular Callout 7"/>
        <xdr:cNvSpPr/>
      </xdr:nvSpPr>
      <xdr:spPr>
        <a:xfrm>
          <a:off x="57150" y="1352550"/>
          <a:ext cx="971550" cy="641350"/>
        </a:xfrm>
        <a:prstGeom prst="wedgeRoundRectCallout">
          <a:avLst>
            <a:gd name="adj1" fmla="val -32132"/>
            <a:gd name="adj2" fmla="val -104520"/>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Branding</a:t>
          </a:r>
          <a:r>
            <a:rPr lang="en-US" sz="1200" baseline="0"/>
            <a:t> FTW!</a:t>
          </a:r>
        </a:p>
      </xdr:txBody>
    </xdr:sp>
    <xdr:clientData/>
  </xdr:twoCellAnchor>
  <xdr:twoCellAnchor>
    <xdr:from>
      <xdr:col>0</xdr:col>
      <xdr:colOff>1003300</xdr:colOff>
      <xdr:row>22</xdr:row>
      <xdr:rowOff>82550</xdr:rowOff>
    </xdr:from>
    <xdr:to>
      <xdr:col>1</xdr:col>
      <xdr:colOff>838200</xdr:colOff>
      <xdr:row>25</xdr:row>
      <xdr:rowOff>171450</xdr:rowOff>
    </xdr:to>
    <xdr:sp macro="" textlink="">
      <xdr:nvSpPr>
        <xdr:cNvPr id="9" name="Rounded Rectangular Callout 8"/>
        <xdr:cNvSpPr/>
      </xdr:nvSpPr>
      <xdr:spPr>
        <a:xfrm>
          <a:off x="1003300" y="4311650"/>
          <a:ext cx="971550" cy="641350"/>
        </a:xfrm>
        <a:prstGeom prst="wedgeRoundRectCallout">
          <a:avLst>
            <a:gd name="adj1" fmla="val -60890"/>
            <a:gd name="adj2" fmla="val -102540"/>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Defense categories</a:t>
          </a:r>
          <a:endParaRPr lang="en-US" sz="1200" baseline="0"/>
        </a:p>
      </xdr:txBody>
    </xdr:sp>
    <xdr:clientData/>
  </xdr:twoCellAnchor>
  <xdr:twoCellAnchor>
    <xdr:from>
      <xdr:col>5</xdr:col>
      <xdr:colOff>457200</xdr:colOff>
      <xdr:row>0</xdr:row>
      <xdr:rowOff>50800</xdr:rowOff>
    </xdr:from>
    <xdr:to>
      <xdr:col>9</xdr:col>
      <xdr:colOff>508000</xdr:colOff>
      <xdr:row>2</xdr:row>
      <xdr:rowOff>146050</xdr:rowOff>
    </xdr:to>
    <xdr:sp macro="" textlink="">
      <xdr:nvSpPr>
        <xdr:cNvPr id="10" name="Rounded Rectangular Callout 9"/>
        <xdr:cNvSpPr/>
      </xdr:nvSpPr>
      <xdr:spPr>
        <a:xfrm>
          <a:off x="4895850" y="50800"/>
          <a:ext cx="1847850" cy="641350"/>
        </a:xfrm>
        <a:prstGeom prst="wedgeRoundRectCallout">
          <a:avLst>
            <a:gd name="adj1" fmla="val -106173"/>
            <a:gd name="adj2" fmla="val 17262"/>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Select the match and the table auto-populates.</a:t>
          </a:r>
          <a:endParaRPr lang="en-US" sz="1200" baseline="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152400</xdr:colOff>
      <xdr:row>1</xdr:row>
      <xdr:rowOff>266700</xdr:rowOff>
    </xdr:from>
    <xdr:to>
      <xdr:col>0</xdr:col>
      <xdr:colOff>1104900</xdr:colOff>
      <xdr:row>1</xdr:row>
      <xdr:rowOff>1219200</xdr:rowOff>
    </xdr:to>
    <xdr:pic>
      <xdr:nvPicPr>
        <xdr:cNvPr id="3" name="Picture 2" descr="Error Code Xer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609600"/>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184150</xdr:colOff>
      <xdr:row>7</xdr:row>
      <xdr:rowOff>63500</xdr:rowOff>
    </xdr:from>
    <xdr:to>
      <xdr:col>24</xdr:col>
      <xdr:colOff>298450</xdr:colOff>
      <xdr:row>14</xdr:row>
      <xdr:rowOff>146050</xdr:rowOff>
    </xdr:to>
    <xdr:sp macro="" textlink="">
      <xdr:nvSpPr>
        <xdr:cNvPr id="4" name="Rounded Rectangular Callout 3"/>
        <xdr:cNvSpPr/>
      </xdr:nvSpPr>
      <xdr:spPr>
        <a:xfrm>
          <a:off x="8426450" y="2914650"/>
          <a:ext cx="1943100" cy="1371600"/>
        </a:xfrm>
        <a:prstGeom prst="wedgeRoundRectCallout">
          <a:avLst>
            <a:gd name="adj1" fmla="val -57566"/>
            <a:gd name="adj2" fmla="val -241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Heat chart is</a:t>
          </a:r>
          <a:r>
            <a:rPr lang="en-US" sz="1200" baseline="0"/>
            <a:t> for each vertical, telling you the best and the worst robots for each defense type. Average of 0 crossings always shows red.</a:t>
          </a:r>
        </a:p>
      </xdr:txBody>
    </xdr:sp>
    <xdr:clientData/>
  </xdr:twoCellAnchor>
  <xdr:twoCellAnchor>
    <xdr:from>
      <xdr:col>11</xdr:col>
      <xdr:colOff>209550</xdr:colOff>
      <xdr:row>16</xdr:row>
      <xdr:rowOff>0</xdr:rowOff>
    </xdr:from>
    <xdr:to>
      <xdr:col>22</xdr:col>
      <xdr:colOff>495300</xdr:colOff>
      <xdr:row>20</xdr:row>
      <xdr:rowOff>82550</xdr:rowOff>
    </xdr:to>
    <xdr:sp macro="" textlink="">
      <xdr:nvSpPr>
        <xdr:cNvPr id="5" name="Rounded Rectangular Callout 4"/>
        <xdr:cNvSpPr/>
      </xdr:nvSpPr>
      <xdr:spPr>
        <a:xfrm>
          <a:off x="5365750" y="4508500"/>
          <a:ext cx="3981450" cy="819150"/>
        </a:xfrm>
        <a:prstGeom prst="wedgeRoundRectCallout">
          <a:avLst>
            <a:gd name="adj1" fmla="val -54850"/>
            <a:gd name="adj2" fmla="val -86948"/>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baseline="0"/>
            <a:t>Easy to read checks and X's provide at-a-glance information about whether a robot can shoot in high goal or climb. Operational Rating is from the pit scouting table.</a:t>
          </a:r>
        </a:p>
      </xdr:txBody>
    </xdr:sp>
    <xdr:clientData/>
  </xdr:twoCellAnchor>
  <xdr:twoCellAnchor>
    <xdr:from>
      <xdr:col>0</xdr:col>
      <xdr:colOff>514350</xdr:colOff>
      <xdr:row>15</xdr:row>
      <xdr:rowOff>165100</xdr:rowOff>
    </xdr:from>
    <xdr:to>
      <xdr:col>9</xdr:col>
      <xdr:colOff>57150</xdr:colOff>
      <xdr:row>20</xdr:row>
      <xdr:rowOff>63500</xdr:rowOff>
    </xdr:to>
    <xdr:sp macro="" textlink="">
      <xdr:nvSpPr>
        <xdr:cNvPr id="6" name="Rounded Rectangular Callout 5"/>
        <xdr:cNvSpPr/>
      </xdr:nvSpPr>
      <xdr:spPr>
        <a:xfrm>
          <a:off x="514350" y="4489450"/>
          <a:ext cx="3981450" cy="819150"/>
        </a:xfrm>
        <a:prstGeom prst="wedgeRoundRectCallout">
          <a:avLst>
            <a:gd name="adj1" fmla="val -8598"/>
            <a:gd name="adj2" fmla="val -90049"/>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baseline="0"/>
            <a:t>Teams are sorted by Average Total Score. Table can be sorted in other ways using the menu button on "Row Labels". This pivot could also be used to pick a few teams for a "side-by-side" comparison.</a:t>
          </a:r>
        </a:p>
      </xdr:txBody>
    </xdr:sp>
    <xdr:clientData/>
  </xdr:twoCellAnchor>
  <xdr:twoCellAnchor>
    <xdr:from>
      <xdr:col>22</xdr:col>
      <xdr:colOff>6350</xdr:colOff>
      <xdr:row>1</xdr:row>
      <xdr:rowOff>1238250</xdr:rowOff>
    </xdr:from>
    <xdr:to>
      <xdr:col>25</xdr:col>
      <xdr:colOff>114300</xdr:colOff>
      <xdr:row>6</xdr:row>
      <xdr:rowOff>38100</xdr:rowOff>
    </xdr:to>
    <xdr:sp macro="" textlink="">
      <xdr:nvSpPr>
        <xdr:cNvPr id="7" name="Rounded Rectangular Callout 6"/>
        <xdr:cNvSpPr/>
      </xdr:nvSpPr>
      <xdr:spPr>
        <a:xfrm>
          <a:off x="8534400" y="1581150"/>
          <a:ext cx="1936750" cy="1123950"/>
        </a:xfrm>
        <a:prstGeom prst="wedgeRoundRectCallout">
          <a:avLst>
            <a:gd name="adj1" fmla="val -68463"/>
            <a:gd name="adj2" fmla="val 28970"/>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This is a pivot table that generates automatically</a:t>
          </a:r>
          <a:r>
            <a:rPr lang="en-US" sz="1200" baseline="0"/>
            <a:t> from Match and Pit Scouting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41275</xdr:colOff>
      <xdr:row>0</xdr:row>
      <xdr:rowOff>50800</xdr:rowOff>
    </xdr:from>
    <xdr:to>
      <xdr:col>5</xdr:col>
      <xdr:colOff>0</xdr:colOff>
      <xdr:row>19</xdr:row>
      <xdr:rowOff>6350</xdr:rowOff>
    </xdr:to>
    <xdr:graphicFrame macro="">
      <xdr:nvGraphicFramePr>
        <xdr:cNvPr id="2" name="TeamTrend"/>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11</xdr:row>
      <xdr:rowOff>101600</xdr:rowOff>
    </xdr:from>
    <xdr:to>
      <xdr:col>12</xdr:col>
      <xdr:colOff>952500</xdr:colOff>
      <xdr:row>19</xdr:row>
      <xdr:rowOff>171450</xdr:rowOff>
    </xdr:to>
    <xdr:sp macro="" textlink="">
      <xdr:nvSpPr>
        <xdr:cNvPr id="3" name="Rounded Rectangular Callout 2"/>
        <xdr:cNvSpPr/>
      </xdr:nvSpPr>
      <xdr:spPr>
        <a:xfrm>
          <a:off x="6210300" y="3155950"/>
          <a:ext cx="4006850" cy="1543050"/>
        </a:xfrm>
        <a:prstGeom prst="wedgeRoundRectCallout">
          <a:avLst>
            <a:gd name="adj1" fmla="val -57566"/>
            <a:gd name="adj2" fmla="val -241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A bit of fun.</a:t>
          </a:r>
          <a:r>
            <a:rPr lang="en-US" sz="1200" baseline="0"/>
            <a:t> This shows the goal and defense crossing performance trends. The team is seleted in the Team control in the upper left. This chart is driven by the pivot table above. For example, this chart suggests that 1525 had some mechanical issues in matches 6 and 8, but corrected them later in the day</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355600</xdr:colOff>
      <xdr:row>16</xdr:row>
      <xdr:rowOff>171450</xdr:rowOff>
    </xdr:from>
    <xdr:to>
      <xdr:col>6</xdr:col>
      <xdr:colOff>1016000</xdr:colOff>
      <xdr:row>32</xdr:row>
      <xdr:rowOff>165100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1365250</xdr:colOff>
      <xdr:row>18</xdr:row>
      <xdr:rowOff>120650</xdr:rowOff>
    </xdr:from>
    <xdr:to>
      <xdr:col>9</xdr:col>
      <xdr:colOff>241300</xdr:colOff>
      <xdr:row>31</xdr:row>
      <xdr:rowOff>127000</xdr:rowOff>
    </xdr:to>
    <xdr:sp macro="" textlink="">
      <xdr:nvSpPr>
        <xdr:cNvPr id="3" name="Rounded Rectangular Callout 2"/>
        <xdr:cNvSpPr/>
      </xdr:nvSpPr>
      <xdr:spPr>
        <a:xfrm>
          <a:off x="8464550" y="3435350"/>
          <a:ext cx="3479800" cy="2400300"/>
        </a:xfrm>
        <a:prstGeom prst="wedgeRoundRectCallout">
          <a:avLst>
            <a:gd name="adj1" fmla="val -57566"/>
            <a:gd name="adj2" fmla="val -24137"/>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Another bit of fun.</a:t>
          </a:r>
          <a:r>
            <a:rPr lang="en-US" sz="1200" baseline="0"/>
            <a:t> This shows a side-by-side comparison of crossing and goals scoring for a robot over time. This chart suggests that team 1001 is more of a Crossing Robot. It also suggests that either mechanical difficulties or opposing alliance defense has made them less effective in their last couple of matches. </a:t>
          </a:r>
        </a:p>
        <a:p>
          <a:pPr algn="l"/>
          <a:endParaRPr lang="en-US" sz="1200" baseline="0"/>
        </a:p>
        <a:p>
          <a:pPr algn="l"/>
          <a:r>
            <a:rPr lang="en-US" sz="1200" baseline="0"/>
            <a:t>Frustratingly, Excel doesn't let you do a scatter plot on pivot table data, so I'm still working on that visualization.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247650</xdr:colOff>
      <xdr:row>8</xdr:row>
      <xdr:rowOff>57150</xdr:rowOff>
    </xdr:from>
    <xdr:to>
      <xdr:col>11</xdr:col>
      <xdr:colOff>190500</xdr:colOff>
      <xdr:row>15</xdr:row>
      <xdr:rowOff>82550</xdr:rowOff>
    </xdr:to>
    <xdr:sp macro="" textlink="">
      <xdr:nvSpPr>
        <xdr:cNvPr id="2" name="Rounded Rectangular Callout 1"/>
        <xdr:cNvSpPr/>
      </xdr:nvSpPr>
      <xdr:spPr>
        <a:xfrm>
          <a:off x="3759200" y="2540000"/>
          <a:ext cx="3962400" cy="1314450"/>
        </a:xfrm>
        <a:prstGeom prst="wedgeRoundRectCallout">
          <a:avLst>
            <a:gd name="adj1" fmla="val -50034"/>
            <a:gd name="adj2" fmla="val -23171"/>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200"/>
            <a:t>This is part of</a:t>
          </a:r>
          <a:r>
            <a:rPr lang="en-US" sz="1200" baseline="0"/>
            <a:t> my test data generation solution. I can create any number of personas and assign them to robots in the match scouting table. The data sets up min and max capabilities for what the robot can do. Formulas in the table generate data for each match. This is useful to test reports, charts, and other outputs.</a:t>
          </a: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CV Briggler" refreshedDate="42431.439966666665" backgroundQuery="1" createdVersion="5" refreshedVersion="5" minRefreshableVersion="3" recordCount="0" supportSubquery="1" supportAdvancedDrill="1">
  <cacheSource type="external" connectionId="1"/>
  <cacheFields count="20">
    <cacheField name="[Measures].[Max of Total Score]" caption="Max of Total Score" numFmtId="0" hierarchy="119" level="32767"/>
    <cacheField name="[Measures].[Average of Total Score]" caption="Average of Total Score" numFmtId="0" hierarchy="120" level="32767"/>
    <cacheField name="[Measures].[Sum of Operational Rating]" caption="Sum of Operational Rating" numFmtId="0" hierarchy="121" level="32767"/>
    <cacheField name="[PitData].[Team].[Team]" caption="Team" numFmtId="0" hierarchy="111" level="1">
      <sharedItems containsSemiMixedTypes="0" containsString="0" containsNumber="1" containsInteger="1" minValue="1001" maxValue="1425" count="13">
        <n v="1001"/>
        <n v="1002"/>
        <n v="1003"/>
        <n v="1004"/>
        <n v="1005"/>
        <n v="1006"/>
        <n v="1008"/>
        <n v="1009"/>
        <n v="1010"/>
        <n v="1011"/>
        <n v="1012"/>
        <n v="1013"/>
        <n v="1425"/>
      </sharedItems>
      <extLst>
        <ext xmlns:x15="http://schemas.microsoft.com/office/spreadsheetml/2010/11/main" uri="{4F2E5C28-24EA-4eb8-9CBF-B6C8F9C3D259}">
          <x15:cachedUniqueNames>
            <x15:cachedUniqueName index="0" name="[PitData].[Team].&amp;[1001]"/>
            <x15:cachedUniqueName index="1" name="[PitData].[Team].&amp;[1002]"/>
            <x15:cachedUniqueName index="2" name="[PitData].[Team].&amp;[1003]"/>
            <x15:cachedUniqueName index="3" name="[PitData].[Team].&amp;[1004]"/>
            <x15:cachedUniqueName index="4" name="[PitData].[Team].&amp;[1005]"/>
            <x15:cachedUniqueName index="5" name="[PitData].[Team].&amp;[1006]"/>
            <x15:cachedUniqueName index="6" name="[PitData].[Team].&amp;[1008]"/>
            <x15:cachedUniqueName index="7" name="[PitData].[Team].&amp;[1009]"/>
            <x15:cachedUniqueName index="8" name="[PitData].[Team].&amp;[1010]"/>
            <x15:cachedUniqueName index="9" name="[PitData].[Team].&amp;[1011]"/>
            <x15:cachedUniqueName index="10" name="[PitData].[Team].&amp;[1012]"/>
            <x15:cachedUniqueName index="11" name="[PitData].[Team].&amp;[1013]"/>
            <x15:cachedUniqueName index="12" name="[PitData].[Team].&amp;[1425]"/>
          </x15:cachedUniqueNames>
        </ext>
      </extLst>
    </cacheField>
    <cacheField name="[Measures].[Average of Crossing Score]" caption="Average of Crossing Score" numFmtId="0" hierarchy="140" level="32767"/>
    <cacheField name="[Measures].[Average of Total Goal Score]" caption="Average of Total Goal Score" numFmtId="0" hierarchy="141" level="32767"/>
    <cacheField name="[Measures].[Average of Climb Score]" caption="Average of Climb Score" numFmtId="0" hierarchy="142" level="32767"/>
    <cacheField name="[Measures].[Average of Challenge Score]" caption="Average of Challenge Score" numFmtId="0" hierarchy="143" level="32767"/>
    <cacheField name="[Measures].[Average of Portcullis Teleop Crossings]" caption="Average of Portcullis Teleop Crossings" numFmtId="0" hierarchy="144" level="32767"/>
    <cacheField name="[Measures].[Average of Cheval Teleop Crossings]" caption="Average of Cheval Teleop Crossings" numFmtId="0" hierarchy="145" level="32767"/>
    <cacheField name="[Measures].[Average of Low Bar Teleop Crossings]" caption="Average of Low Bar Teleop Crossings" numFmtId="0" hierarchy="146" level="32767"/>
    <cacheField name="[Measures].[Average of Rough Terrain Teleop Crossings]" caption="Average of Rough Terrain Teleop Crossings" numFmtId="0" hierarchy="147" level="32767"/>
    <cacheField name="[Measures].[Average of Rock Wall Teleop Crossings]" caption="Average of Rock Wall Teleop Crossings" numFmtId="0" hierarchy="148" level="32767"/>
    <cacheField name="[Measures].[Average of Sally Port Teleop Crossings]" caption="Average of Sally Port Teleop Crossings" numFmtId="0" hierarchy="149" level="32767"/>
    <cacheField name="[Measures].[Average of Drawbridge Teleop Crossings]" caption="Average of Drawbridge Teleop Crossings" numFmtId="0" hierarchy="150" level="32767"/>
    <cacheField name="[Measures].[Average of Ramparts Teleop Crossings]" caption="Average of Ramparts Teleop Crossings" numFmtId="0" hierarchy="151" level="32767"/>
    <cacheField name="[Measures].[Average of Moat Teleop Crossings]" caption="Average of Moat Teleop Crossings" numFmtId="0" hierarchy="152" level="32767"/>
    <cacheField name="[Measures].[Average of Climb Flag]" caption="Average of Climb Flag" numFmtId="0" hierarchy="154" level="32767"/>
    <cacheField name="[Measures].[Sum of Team Captain Rank]" caption="Sum of Team Captain Rank" numFmtId="0" hierarchy="155" level="32767"/>
    <cacheField name="[Measures].[Average of Teleop High Goals]" caption="Average of Teleop High Goals" numFmtId="0" hierarchy="159" level="32767"/>
  </cacheFields>
  <cacheHierarchies count="163">
    <cacheHierarchy uniqueName="[MatchData].[Match Type (Q or B)]" caption="Match Type (Q or B)" attribute="1" defaultMemberUniqueName="[MatchData].[Match Type (Q or B)].[All]" allUniqueName="[MatchData].[Match Type (Q or B)].[All]" dimensionUniqueName="[MatchData]" displayFolder="" count="0" memberValueDatatype="130" unbalanced="0"/>
    <cacheHierarchy uniqueName="[MatchData].[Match]" caption="Match" attribute="1" defaultMemberUniqueName="[MatchData].[Match].[All]" allUniqueName="[MatchData].[Match].[All]" dimensionUniqueName="[MatchData]" displayFolder="" count="0" memberValueDatatype="20" unbalanced="0"/>
    <cacheHierarchy uniqueName="[MatchData].[Team]" caption="Team" attribute="1" defaultMemberUniqueName="[MatchData].[Team].[All]" allUniqueName="[MatchData].[Team].[All]" dimensionUniqueName="[MatchData]" displayFolder="" count="0" memberValueDatatype="20" unbalanced="0"/>
    <cacheHierarchy uniqueName="[MatchData].[Alliance]" caption="Alliance" attribute="1" defaultMemberUniqueName="[MatchData].[Alliance].[All]" allUniqueName="[MatchData].[Alliance].[All]" dimensionUniqueName="[MatchData]" displayFolder="" count="0" memberValueDatatype="130" unbalanced="0"/>
    <cacheHierarchy uniqueName="[MatchData].[Scouter]" caption="Scouter" attribute="1" defaultMemberUniqueName="[MatchData].[Scouter].[All]" allUniqueName="[MatchData].[Scouter].[All]" dimensionUniqueName="[MatchData]" displayFolder="" count="0" memberValueDatatype="130" unbalanced="0"/>
    <cacheHierarchy uniqueName="[MatchData].[Auto High Goals]" caption="Auto High Goals" attribute="1" defaultMemberUniqueName="[MatchData].[Auto High Goals].[All]" allUniqueName="[MatchData].[Auto High Goals].[All]" dimensionUniqueName="[MatchData]" displayFolder="" count="0" memberValueDatatype="20" unbalanced="0"/>
    <cacheHierarchy uniqueName="[MatchData].[Auto Low Goals]" caption="Auto Low Goals" attribute="1" defaultMemberUniqueName="[MatchData].[Auto Low Goals].[All]" allUniqueName="[MatchData].[Auto Low Goals].[All]" dimensionUniqueName="[MatchData]" displayFolder="" count="0" memberValueDatatype="20" unbalanced="0"/>
    <cacheHierarchy uniqueName="[MatchData].[Teleop High Goals]" caption="Teleop High Goals" attribute="1" defaultMemberUniqueName="[MatchData].[Teleop High Goals].[All]" allUniqueName="[MatchData].[Teleop High Goals].[All]" dimensionUniqueName="[MatchData]" displayFolder="" count="0" memberValueDatatype="20" unbalanced="0"/>
    <cacheHierarchy uniqueName="[MatchData].[Teleop Low Goals]" caption="Teleop Low Goals" attribute="1" defaultMemberUniqueName="[MatchData].[Teleop Low Goals].[All]" allUniqueName="[MatchData].[Teleop Low Goals].[All]" dimensionUniqueName="[MatchData]" displayFolder="" count="0" memberValueDatatype="20" unbalanced="0"/>
    <cacheHierarchy uniqueName="[MatchData].[Portcullis Available]" caption="Portcullis Available" attribute="1" defaultMemberUniqueName="[MatchData].[Portcullis Available].[All]" allUniqueName="[MatchData].[Portcullis Available].[All]" dimensionUniqueName="[MatchData]" displayFolder="" count="0" memberValueDatatype="20" unbalanced="0"/>
    <cacheHierarchy uniqueName="[MatchData].[Cheval Available]" caption="Cheval Available" attribute="1" defaultMemberUniqueName="[MatchData].[Cheval Available].[All]" allUniqueName="[MatchData].[Cheval Available].[All]" dimensionUniqueName="[MatchData]" displayFolder="" count="0" memberValueDatatype="20" unbalanced="0"/>
    <cacheHierarchy uniqueName="[MatchData].[Moat Available]" caption="Moat Available" attribute="1" defaultMemberUniqueName="[MatchData].[Moat Available].[All]" allUniqueName="[MatchData].[Moat Available].[All]" dimensionUniqueName="[MatchData]" displayFolder="" count="0" memberValueDatatype="20" unbalanced="0"/>
    <cacheHierarchy uniqueName="[MatchData].[Ramparts Available]" caption="Ramparts Available" attribute="1" defaultMemberUniqueName="[MatchData].[Ramparts Available].[All]" allUniqueName="[MatchData].[Ramparts Available].[All]" dimensionUniqueName="[MatchData]" displayFolder="" count="0" memberValueDatatype="20" unbalanced="0"/>
    <cacheHierarchy uniqueName="[MatchData].[Drawbridge Available]" caption="Drawbridge Available" attribute="1" defaultMemberUniqueName="[MatchData].[Drawbridge Available].[All]" allUniqueName="[MatchData].[Drawbridge Available].[All]" dimensionUniqueName="[MatchData]" displayFolder="" count="0" memberValueDatatype="20" unbalanced="0"/>
    <cacheHierarchy uniqueName="[MatchData].[Sally Port Available]" caption="Sally Port Available" attribute="1" defaultMemberUniqueName="[MatchData].[Sally Port Available].[All]" allUniqueName="[MatchData].[Sally Port Available].[All]" dimensionUniqueName="[MatchData]" displayFolder="" count="0" memberValueDatatype="20" unbalanced="0"/>
    <cacheHierarchy uniqueName="[MatchData].[Rock Wall Available]" caption="Rock Wall Available" attribute="1" defaultMemberUniqueName="[MatchData].[Rock Wall Available].[All]" allUniqueName="[MatchData].[Rock Wall Available].[All]" dimensionUniqueName="[MatchData]" displayFolder="" count="0" memberValueDatatype="20" unbalanced="0"/>
    <cacheHierarchy uniqueName="[MatchData].[Rough Terrain Available]" caption="Rough Terrain Available" attribute="1" defaultMemberUniqueName="[MatchData].[Rough Terrain Available].[All]" allUniqueName="[MatchData].[Rough Terrain Available].[All]" dimensionUniqueName="[MatchData]" displayFolder="" count="0" memberValueDatatype="20" unbalanced="0"/>
    <cacheHierarchy uniqueName="[MatchData].[Low Bar Available]" caption="Low Bar Available" attribute="1" defaultMemberUniqueName="[MatchData].[Low Bar Available].[All]" allUniqueName="[MatchData].[Low Bar Available].[All]" dimensionUniqueName="[MatchData]" displayFolder="" count="0" memberValueDatatype="20" unbalanced="0"/>
    <cacheHierarchy uniqueName="[MatchData].[Auto Reach Flag]" caption="Auto Reach Flag" attribute="1" defaultMemberUniqueName="[MatchData].[Auto Reach Flag].[All]" allUniqueName="[MatchData].[Auto Reach Flag].[All]" dimensionUniqueName="[MatchData]" displayFolder="" count="0" memberValueDatatype="20" unbalanced="0"/>
    <cacheHierarchy uniqueName="[MatchData].[Portcullis Auto Crossings]" caption="Portcullis Auto Crossings" attribute="1" defaultMemberUniqueName="[MatchData].[Portcullis Auto Crossings].[All]" allUniqueName="[MatchData].[Portcullis Auto Crossings].[All]" dimensionUniqueName="[MatchData]" displayFolder="" count="0" memberValueDatatype="20" unbalanced="0"/>
    <cacheHierarchy uniqueName="[MatchData].[Cheval Auto Crossings]" caption="Cheval Auto Crossings" attribute="1" defaultMemberUniqueName="[MatchData].[Cheval Auto Crossings].[All]" allUniqueName="[MatchData].[Cheval Auto Crossings].[All]" dimensionUniqueName="[MatchData]" displayFolder="" count="0" memberValueDatatype="20" unbalanced="0"/>
    <cacheHierarchy uniqueName="[MatchData].[Moat Auto Crossings]" caption="Moat Auto Crossings" attribute="1" defaultMemberUniqueName="[MatchData].[Moat Auto Crossings].[All]" allUniqueName="[MatchData].[Moat Auto Crossings].[All]" dimensionUniqueName="[MatchData]" displayFolder="" count="0" memberValueDatatype="20" unbalanced="0"/>
    <cacheHierarchy uniqueName="[MatchData].[Ramparts Auto Crossings]" caption="Ramparts Auto Crossings" attribute="1" defaultMemberUniqueName="[MatchData].[Ramparts Auto Crossings].[All]" allUniqueName="[MatchData].[Ramparts Auto Crossings].[All]" dimensionUniqueName="[MatchData]" displayFolder="" count="0" memberValueDatatype="20" unbalanced="0"/>
    <cacheHierarchy uniqueName="[MatchData].[Drawbridge Auto Crossings]" caption="Drawbridge Auto Crossings" attribute="1" defaultMemberUniqueName="[MatchData].[Drawbridge Auto Crossings].[All]" allUniqueName="[MatchData].[Drawbridge Auto Crossings].[All]" dimensionUniqueName="[MatchData]" displayFolder="" count="0" memberValueDatatype="20" unbalanced="0"/>
    <cacheHierarchy uniqueName="[MatchData].[Sally Port Auto Crossings]" caption="Sally Port Auto Crossings" attribute="1" defaultMemberUniqueName="[MatchData].[Sally Port Auto Crossings].[All]" allUniqueName="[MatchData].[Sally Port Auto Crossings].[All]" dimensionUniqueName="[MatchData]" displayFolder="" count="0" memberValueDatatype="20" unbalanced="0"/>
    <cacheHierarchy uniqueName="[MatchData].[Rock Wall Auto Crossings]" caption="Rock Wall Auto Crossings" attribute="1" defaultMemberUniqueName="[MatchData].[Rock Wall Auto Crossings].[All]" allUniqueName="[MatchData].[Rock Wall Auto Crossings].[All]" dimensionUniqueName="[MatchData]" displayFolder="" count="0" memberValueDatatype="20" unbalanced="0"/>
    <cacheHierarchy uniqueName="[MatchData].[Rough Terrain Auto Crossings]" caption="Rough Terrain Auto Crossings" attribute="1" defaultMemberUniqueName="[MatchData].[Rough Terrain Auto Crossings].[All]" allUniqueName="[MatchData].[Rough Terrain Auto Crossings].[All]" dimensionUniqueName="[MatchData]" displayFolder="" count="0" memberValueDatatype="20" unbalanced="0"/>
    <cacheHierarchy uniqueName="[MatchData].[Low Bar Auto Crossings]" caption="Low Bar Auto Crossings" attribute="1" defaultMemberUniqueName="[MatchData].[Low Bar Auto Crossings].[All]" allUniqueName="[MatchData].[Low Bar Auto Crossings].[All]" dimensionUniqueName="[MatchData]" displayFolder="" count="0" memberValueDatatype="20" unbalanced="0"/>
    <cacheHierarchy uniqueName="[MatchData].[Portcullis Teleop Crossings]" caption="Portcullis Teleop Crossings" attribute="1" defaultMemberUniqueName="[MatchData].[Portcullis Teleop Crossings].[All]" allUniqueName="[MatchData].[Portcullis Teleop Crossings].[All]" dimensionUniqueName="[MatchData]" displayFolder="" count="0" memberValueDatatype="20" unbalanced="0"/>
    <cacheHierarchy uniqueName="[MatchData].[Cheval Teleop Crossings]" caption="Cheval Teleop Crossings" attribute="1" defaultMemberUniqueName="[MatchData].[Cheval Teleop Crossings].[All]" allUniqueName="[MatchData].[Cheval Teleop Crossings].[All]" dimensionUniqueName="[MatchData]" displayFolder="" count="0" memberValueDatatype="20" unbalanced="0"/>
    <cacheHierarchy uniqueName="[MatchData].[Moat Teleop Crossings]" caption="Moat Teleop Crossings" attribute="1" defaultMemberUniqueName="[MatchData].[Moat Teleop Crossings].[All]" allUniqueName="[MatchData].[Moat Teleop Crossings].[All]" dimensionUniqueName="[MatchData]" displayFolder="" count="0" memberValueDatatype="20" unbalanced="0"/>
    <cacheHierarchy uniqueName="[MatchData].[Ramparts Teleop Crossings]" caption="Ramparts Teleop Crossings" attribute="1" defaultMemberUniqueName="[MatchData].[Ramparts Teleop Crossings].[All]" allUniqueName="[MatchData].[Ramparts Teleop Crossings].[All]" dimensionUniqueName="[MatchData]" displayFolder="" count="0" memberValueDatatype="20" unbalanced="0"/>
    <cacheHierarchy uniqueName="[MatchData].[Drawbridge Teleop Crossings]" caption="Drawbridge Teleop Crossings" attribute="1" defaultMemberUniqueName="[MatchData].[Drawbridge Teleop Crossings].[All]" allUniqueName="[MatchData].[Drawbridge Teleop Crossings].[All]" dimensionUniqueName="[MatchData]" displayFolder="" count="0" memberValueDatatype="20" unbalanced="0"/>
    <cacheHierarchy uniqueName="[MatchData].[Sally Port Teleop Crossings]" caption="Sally Port Teleop Crossings" attribute="1" defaultMemberUniqueName="[MatchData].[Sally Port Teleop Crossings].[All]" allUniqueName="[MatchData].[Sally Port Teleop Crossings].[All]" dimensionUniqueName="[MatchData]" displayFolder="" count="0" memberValueDatatype="20" unbalanced="0"/>
    <cacheHierarchy uniqueName="[MatchData].[Rock Wall Teleop Crossings]" caption="Rock Wall Teleop Crossings" attribute="1" defaultMemberUniqueName="[MatchData].[Rock Wall Teleop Crossings].[All]" allUniqueName="[MatchData].[Rock Wall Teleop Crossings].[All]" dimensionUniqueName="[MatchData]" displayFolder="" count="0" memberValueDatatype="20" unbalanced="0"/>
    <cacheHierarchy uniqueName="[MatchData].[Rough Terrain Teleop Crossings]" caption="Rough Terrain Teleop Crossings" attribute="1" defaultMemberUniqueName="[MatchData].[Rough Terrain Teleop Crossings].[All]" allUniqueName="[MatchData].[Rough Terrain Teleop Crossings].[All]" dimensionUniqueName="[MatchData]" displayFolder="" count="0" memberValueDatatype="20" unbalanced="0"/>
    <cacheHierarchy uniqueName="[MatchData].[Low Bar Teleop Crossings]" caption="Low Bar Teleop Crossings" attribute="1" defaultMemberUniqueName="[MatchData].[Low Bar Teleop Crossings].[All]" allUniqueName="[MatchData].[Low Bar Teleop Crossings].[All]" dimensionUniqueName="[MatchData]" displayFolder="" count="0" memberValueDatatype="20" unbalanced="0"/>
    <cacheHierarchy uniqueName="[MatchData].[Cheval Scored Teleop Crossings]" caption="Cheval Scored Teleop Crossings" attribute="1" defaultMemberUniqueName="[MatchData].[Cheval Scored Teleop Crossings].[All]" allUniqueName="[MatchData].[Cheval Scored Teleop Crossings].[All]" dimensionUniqueName="[MatchData]" displayFolder="" count="0" memberValueDatatype="20" unbalanced="0"/>
    <cacheHierarchy uniqueName="[MatchData].[Moat Scored Teleop Crossings]" caption="Moat Scored Teleop Crossings" attribute="1" defaultMemberUniqueName="[MatchData].[Moat Scored Teleop Crossings].[All]" allUniqueName="[MatchData].[Moat Scored Teleop Crossings].[All]" dimensionUniqueName="[MatchData]" displayFolder="" count="0" memberValueDatatype="20" unbalanced="0"/>
    <cacheHierarchy uniqueName="[MatchData].[Ramparts Scored Teleop Crossings]" caption="Ramparts Scored Teleop Crossings" attribute="1" defaultMemberUniqueName="[MatchData].[Ramparts Scored Teleop Crossings].[All]" allUniqueName="[MatchData].[Ramparts Scored Teleop Crossings].[All]" dimensionUniqueName="[MatchData]" displayFolder="" count="0" memberValueDatatype="20" unbalanced="0"/>
    <cacheHierarchy uniqueName="[MatchData].[Drawbridge Scored Teleop Crossings]" caption="Drawbridge Scored Teleop Crossings" attribute="1" defaultMemberUniqueName="[MatchData].[Drawbridge Scored Teleop Crossings].[All]" allUniqueName="[MatchData].[Drawbridge Scored Teleop Crossings].[All]" dimensionUniqueName="[MatchData]" displayFolder="" count="0" memberValueDatatype="20" unbalanced="0"/>
    <cacheHierarchy uniqueName="[MatchData].[Sally Port Scored Teleop Crossings]" caption="Sally Port Scored Teleop Crossings" attribute="1" defaultMemberUniqueName="[MatchData].[Sally Port Scored Teleop Crossings].[All]" allUniqueName="[MatchData].[Sally Port Scored Teleop Crossings].[All]" dimensionUniqueName="[MatchData]" displayFolder="" count="0" memberValueDatatype="20" unbalanced="0"/>
    <cacheHierarchy uniqueName="[MatchData].[Rock Wall Scored Teleop Crossings]" caption="Rock Wall Scored Teleop Crossings" attribute="1" defaultMemberUniqueName="[MatchData].[Rock Wall Scored Teleop Crossings].[All]" allUniqueName="[MatchData].[Rock Wall Scored Teleop Crossings].[All]" dimensionUniqueName="[MatchData]" displayFolder="" count="0" memberValueDatatype="20" unbalanced="0"/>
    <cacheHierarchy uniqueName="[MatchData].[Rough Terrain Scored Teleop Crossings]" caption="Rough Terrain Scored Teleop Crossings" attribute="1" defaultMemberUniqueName="[MatchData].[Rough Terrain Scored Teleop Crossings].[All]" allUniqueName="[MatchData].[Rough Terrain Scored Teleop Crossings].[All]" dimensionUniqueName="[MatchData]" displayFolder="" count="0" memberValueDatatype="20" unbalanced="0"/>
    <cacheHierarchy uniqueName="[MatchData].[Low Bar Scored Teleop Crossings]" caption="Low Bar Scored Teleop Crossings" attribute="1" defaultMemberUniqueName="[MatchData].[Low Bar Scored Teleop Crossings].[All]" allUniqueName="[MatchData].[Low Bar Scored Teleop Crossings].[All]" dimensionUniqueName="[MatchData]" displayFolder="" count="0" memberValueDatatype="20" unbalanced="0"/>
    <cacheHierarchy uniqueName="[MatchData].[Total Crossings]" caption="Total Crossings" attribute="1" defaultMemberUniqueName="[MatchData].[Total Crossings].[All]" allUniqueName="[MatchData].[Total Crossings].[All]" dimensionUniqueName="[MatchData]" displayFolder="" count="0" memberValueDatatype="20" unbalanced="0"/>
    <cacheHierarchy uniqueName="[MatchData].[Challenge Flag]" caption="Challenge Flag" attribute="1" defaultMemberUniqueName="[MatchData].[Challenge Flag].[All]" allUniqueName="[MatchData].[Challenge Flag].[All]" dimensionUniqueName="[MatchData]" displayFolder="" count="0" memberValueDatatype="20" unbalanced="0"/>
    <cacheHierarchy uniqueName="[MatchData].[Climb Flag]" caption="Climb Flag" attribute="1" defaultMemberUniqueName="[MatchData].[Climb Flag].[All]" allUniqueName="[MatchData].[Climb Flag].[All]" dimensionUniqueName="[MatchData]" displayFolder="" count="0" memberValueDatatype="20" unbalanced="0"/>
    <cacheHierarchy uniqueName="[MatchData].[Breach Flag]" caption="Breach Flag" attribute="1" defaultMemberUniqueName="[MatchData].[Breach Flag].[All]" allUniqueName="[MatchData].[Breach Flag].[All]" dimensionUniqueName="[MatchData]" displayFolder="" count="0" memberValueDatatype="20" unbalanced="0"/>
    <cacheHierarchy uniqueName="[MatchData].[Capture Tower Flag]" caption="Capture Tower Flag" attribute="1" defaultMemberUniqueName="[MatchData].[Capture Tower Flag].[All]" allUniqueName="[MatchData].[Capture Tower Flag].[All]" dimensionUniqueName="[MatchData]" displayFolder="" count="0" memberValueDatatype="130" unbalanced="0"/>
    <cacheHierarchy uniqueName="[MatchData].[Breakdown Flag]" caption="Breakdown Flag" attribute="1" defaultMemberUniqueName="[MatchData].[Breakdown Flag].[All]" allUniqueName="[MatchData].[Breakdown Flag].[All]" dimensionUniqueName="[MatchData]" displayFolder="" count="0" memberValueDatatype="20" unbalanced="0"/>
    <cacheHierarchy uniqueName="[MatchData].[Defense Flag]" caption="Defense Flag" attribute="1" defaultMemberUniqueName="[MatchData].[Defense Flag].[All]" allUniqueName="[MatchData].[Defense Flag].[All]" dimensionUniqueName="[MatchData]" displayFolder="" count="0" memberValueDatatype="20" unbalanced="0"/>
    <cacheHierarchy uniqueName="[MatchData].[Auto Crossing Test Generator]" caption="Auto Crossing Test Generator" attribute="1" defaultMemberUniqueName="[MatchData].[Auto Crossing Test Generator].[All]" allUniqueName="[MatchData].[Auto Crossing Test Generator].[All]" dimensionUniqueName="[MatchData]" displayFolder="" count="0" memberValueDatatype="20" unbalanced="0"/>
    <cacheHierarchy uniqueName="[MatchData].[Climb or Challenge Flag]" caption="Climb or Challenge Flag" attribute="1" defaultMemberUniqueName="[MatchData].[Climb or Challenge Flag].[All]" allUniqueName="[MatchData].[Climb or Challenge Flag].[All]" dimensionUniqueName="[MatchData]" displayFolder="" count="0" memberValueDatatype="20" unbalanced="0"/>
    <cacheHierarchy uniqueName="[MatchData].[High Goal Score]" caption="High Goal Score" attribute="1" defaultMemberUniqueName="[MatchData].[High Goal Score].[All]" allUniqueName="[MatchData].[High Goal Score].[All]" dimensionUniqueName="[MatchData]" displayFolder="" count="0" memberValueDatatype="20" unbalanced="0"/>
    <cacheHierarchy uniqueName="[MatchData].[Low Goal Score]" caption="Low Goal Score" attribute="1" defaultMemberUniqueName="[MatchData].[Low Goal Score].[All]" allUniqueName="[MatchData].[Low Goal Score].[All]" dimensionUniqueName="[MatchData]" displayFolder="" count="0" memberValueDatatype="20" unbalanced="0"/>
    <cacheHierarchy uniqueName="[MatchData].[Total Goal Score]" caption="Total Goal Score" attribute="1" defaultMemberUniqueName="[MatchData].[Total Goal Score].[All]" allUniqueName="[MatchData].[Total Goal Score].[All]" dimensionUniqueName="[MatchData]" displayFolder="" count="0" memberValueDatatype="20" unbalanced="0"/>
    <cacheHierarchy uniqueName="[MatchData].[Total Goals]" caption="Total Goals" attribute="1" defaultMemberUniqueName="[MatchData].[Total Goals].[All]" allUniqueName="[MatchData].[Total Goals].[All]" dimensionUniqueName="[MatchData]" displayFolder="" count="0" memberValueDatatype="20" unbalanced="0"/>
    <cacheHierarchy uniqueName="[MatchData].[Total Auto Score]" caption="Total Auto Score" attribute="1" defaultMemberUniqueName="[MatchData].[Total Auto Score].[All]" allUniqueName="[MatchData].[Total Auto Score].[All]" dimensionUniqueName="[MatchData]" displayFolder="" count="0" memberValueDatatype="20" unbalanced="0"/>
    <cacheHierarchy uniqueName="[MatchData].[Crossing Score]" caption="Crossing Score" attribute="1" defaultMemberUniqueName="[MatchData].[Crossing Score].[All]" allUniqueName="[MatchData].[Crossing Score].[All]" dimensionUniqueName="[MatchData]" displayFolder="" count="0" memberValueDatatype="20" unbalanced="0"/>
    <cacheHierarchy uniqueName="[MatchData].[Challenge Score]" caption="Challenge Score" attribute="1" defaultMemberUniqueName="[MatchData].[Challenge Score].[All]" allUniqueName="[MatchData].[Challenge Score].[All]" dimensionUniqueName="[MatchData]" displayFolder="" count="0" memberValueDatatype="20" unbalanced="0"/>
    <cacheHierarchy uniqueName="[MatchData].[Climb Score]" caption="Climb Score" attribute="1" defaultMemberUniqueName="[MatchData].[Climb Score].[All]" allUniqueName="[MatchData].[Climb Score].[All]" dimensionUniqueName="[MatchData]" displayFolder="" count="0" memberValueDatatype="20" unbalanced="0"/>
    <cacheHierarchy uniqueName="[MatchData].[Total Score]" caption="Total Score" attribute="1" defaultMemberUniqueName="[MatchData].[Total Score].[All]" allUniqueName="[MatchData].[Total Score].[All]" dimensionUniqueName="[MatchData]" displayFolder="" count="0" memberValueDatatype="20" unbalanced="0"/>
    <cacheHierarchy uniqueName="[MatchData].[Persona]" caption="Persona" attribute="1" defaultMemberUniqueName="[MatchData].[Persona].[All]" allUniqueName="[MatchData].[Persona].[All]" dimensionUniqueName="[MatchData]" displayFolder="" count="0" memberValueDatatype="20" unbalanced="0"/>
    <cacheHierarchy uniqueName="[MatchData].[Low Goal Low]" caption="Low Goal Low" attribute="1" defaultMemberUniqueName="[MatchData].[Low Goal Low].[All]" allUniqueName="[MatchData].[Low Goal Low].[All]" dimensionUniqueName="[MatchData]" displayFolder="" count="0" memberValueDatatype="20" unbalanced="0"/>
    <cacheHierarchy uniqueName="[MatchData].[Low Goal High]" caption="Low Goal High" attribute="1" defaultMemberUniqueName="[MatchData].[Low Goal High].[All]" allUniqueName="[MatchData].[Low Goal High].[All]" dimensionUniqueName="[MatchData]" displayFolder="" count="0" memberValueDatatype="20" unbalanced="0"/>
    <cacheHierarchy uniqueName="[MatchData].[High Goal Low]" caption="High Goal Low" attribute="1" defaultMemberUniqueName="[MatchData].[High Goal Low].[All]" allUniqueName="[MatchData].[High Goal Low].[All]" dimensionUniqueName="[MatchData]" displayFolder="" count="0" memberValueDatatype="20" unbalanced="0"/>
    <cacheHierarchy uniqueName="[MatchData].[High Goal High]" caption="High Goal High" attribute="1" defaultMemberUniqueName="[MatchData].[High Goal High].[All]" allUniqueName="[MatchData].[High Goal High].[All]" dimensionUniqueName="[MatchData]" displayFolder="" count="0" memberValueDatatype="20" unbalanced="0"/>
    <cacheHierarchy uniqueName="[MatchData].[Portcullis High]" caption="Portcullis High" attribute="1" defaultMemberUniqueName="[MatchData].[Portcullis High].[All]" allUniqueName="[MatchData].[Portcullis High].[All]" dimensionUniqueName="[MatchData]" displayFolder="" count="0" memberValueDatatype="20" unbalanced="0"/>
    <cacheHierarchy uniqueName="[MatchData].[Cheval High]" caption="Cheval High" attribute="1" defaultMemberUniqueName="[MatchData].[Cheval High].[All]" allUniqueName="[MatchData].[Cheval High].[All]" dimensionUniqueName="[MatchData]" displayFolder="" count="0" memberValueDatatype="20" unbalanced="0"/>
    <cacheHierarchy uniqueName="[MatchData].[Moat High]" caption="Moat High" attribute="1" defaultMemberUniqueName="[MatchData].[Moat High].[All]" allUniqueName="[MatchData].[Moat High].[All]" dimensionUniqueName="[MatchData]" displayFolder="" count="0" memberValueDatatype="20" unbalanced="0"/>
    <cacheHierarchy uniqueName="[MatchData].[Ramparts High]" caption="Ramparts High" attribute="1" defaultMemberUniqueName="[MatchData].[Ramparts High].[All]" allUniqueName="[MatchData].[Ramparts High].[All]" dimensionUniqueName="[MatchData]" displayFolder="" count="0" memberValueDatatype="20" unbalanced="0"/>
    <cacheHierarchy uniqueName="[MatchData].[Drawbridge High]" caption="Drawbridge High" attribute="1" defaultMemberUniqueName="[MatchData].[Drawbridge High].[All]" allUniqueName="[MatchData].[Drawbridge High].[All]" dimensionUniqueName="[MatchData]" displayFolder="" count="0" memberValueDatatype="20" unbalanced="0"/>
    <cacheHierarchy uniqueName="[MatchData].[Sally Port High]" caption="Sally Port High" attribute="1" defaultMemberUniqueName="[MatchData].[Sally Port High].[All]" allUniqueName="[MatchData].[Sally Port High].[All]" dimensionUniqueName="[MatchData]" displayFolder="" count="0" memberValueDatatype="20" unbalanced="0"/>
    <cacheHierarchy uniqueName="[MatchData].[Rock Wall High]" caption="Rock Wall High" attribute="1" defaultMemberUniqueName="[MatchData].[Rock Wall High].[All]" allUniqueName="[MatchData].[Rock Wall High].[All]" dimensionUniqueName="[MatchData]" displayFolder="" count="0" memberValueDatatype="20" unbalanced="0"/>
    <cacheHierarchy uniqueName="[MatchData].[Rough Terrain High]" caption="Rough Terrain High" attribute="1" defaultMemberUniqueName="[MatchData].[Rough Terrain High].[All]" allUniqueName="[MatchData].[Rough Terrain High].[All]" dimensionUniqueName="[MatchData]" displayFolder="" count="0" memberValueDatatype="20" unbalanced="0"/>
    <cacheHierarchy uniqueName="[MatchData].[Low Bar High]" caption="Low Bar High" attribute="1" defaultMemberUniqueName="[MatchData].[Low Bar High].[All]" allUniqueName="[MatchData].[Low Bar High].[All]" dimensionUniqueName="[MatchData]" displayFolder="" count="0" memberValueDatatype="20" unbalanced="0"/>
    <cacheHierarchy uniqueName="[MatchData].[Climber]" caption="Climber" attribute="1" defaultMemberUniqueName="[MatchData].[Climber].[All]" allUniqueName="[MatchData].[Climber].[All]" dimensionUniqueName="[MatchData]" displayFolder="" count="0" memberValueDatatype="20" unbalanced="0"/>
    <cacheHierarchy uniqueName="[MatchData].[Low Goal Team Average]" caption="Low Goal Team Average" attribute="1" defaultMemberUniqueName="[MatchData].[Low Goal Team Average].[All]" allUniqueName="[MatchData].[Low Goal Team Average].[All]" dimensionUniqueName="[MatchData]" displayFolder="" count="0" memberValueDatatype="5" unbalanced="0"/>
    <cacheHierarchy uniqueName="[MatchData].[High Goal Team Average]" caption="High Goal Team Average" attribute="1" defaultMemberUniqueName="[MatchData].[High Goal Team Average].[All]" allUniqueName="[MatchData].[High Goal Team Average].[All]" dimensionUniqueName="[MatchData]" displayFolder="" count="0" memberValueDatatype="5" unbalanced="0"/>
    <cacheHierarchy uniqueName="[MatchData].[Match Count]" caption="Match Count" attribute="1" defaultMemberUniqueName="[MatchData].[Match Count].[All]" allUniqueName="[MatchData].[Match Count].[All]" dimensionUniqueName="[MatchData]" displayFolder="" count="0" memberValueDatatype="20" unbalanced="0"/>
    <cacheHierarchy uniqueName="[MatchData].[Portcullis Avail Count]" caption="Portcullis Avail Count" attribute="1" defaultMemberUniqueName="[MatchData].[Portcullis Avail Count].[All]" allUniqueName="[MatchData].[Portcullis Avail Count].[All]" dimensionUniqueName="[MatchData]" displayFolder="" count="0" memberValueDatatype="20" unbalanced="0"/>
    <cacheHierarchy uniqueName="[MatchData].[Cheval Avail Count]" caption="Cheval Avail Count" attribute="1" defaultMemberUniqueName="[MatchData].[Cheval Avail Count].[All]" allUniqueName="[MatchData].[Cheval Avail Count].[All]" dimensionUniqueName="[MatchData]" displayFolder="" count="0" memberValueDatatype="20" unbalanced="0"/>
    <cacheHierarchy uniqueName="[MatchData].[Moat Avail Count]" caption="Moat Avail Count" attribute="1" defaultMemberUniqueName="[MatchData].[Moat Avail Count].[All]" allUniqueName="[MatchData].[Moat Avail Count].[All]" dimensionUniqueName="[MatchData]" displayFolder="" count="0" memberValueDatatype="20" unbalanced="0"/>
    <cacheHierarchy uniqueName="[MatchData].[Ramparts Avail Count]" caption="Ramparts Avail Count" attribute="1" defaultMemberUniqueName="[MatchData].[Ramparts Avail Count].[All]" allUniqueName="[MatchData].[Ramparts Avail Count].[All]" dimensionUniqueName="[MatchData]" displayFolder="" count="0" memberValueDatatype="20" unbalanced="0"/>
    <cacheHierarchy uniqueName="[MatchData].[Drawbridge HAvail Countigh6]" caption="Drawbridge HAvail Countigh6" attribute="1" defaultMemberUniqueName="[MatchData].[Drawbridge HAvail Countigh6].[All]" allUniqueName="[MatchData].[Drawbridge HAvail Countigh6].[All]" dimensionUniqueName="[MatchData]" displayFolder="" count="0" memberValueDatatype="20" unbalanced="0"/>
    <cacheHierarchy uniqueName="[MatchData].[Sally Port Avail Count]" caption="Sally Port Avail Count" attribute="1" defaultMemberUniqueName="[MatchData].[Sally Port Avail Count].[All]" allUniqueName="[MatchData].[Sally Port Avail Count].[All]" dimensionUniqueName="[MatchData]" displayFolder="" count="0" memberValueDatatype="20" unbalanced="0"/>
    <cacheHierarchy uniqueName="[MatchData].[Rock Wall Avail Count]" caption="Rock Wall Avail Count" attribute="1" defaultMemberUniqueName="[MatchData].[Rock Wall Avail Count].[All]" allUniqueName="[MatchData].[Rock Wall Avail Count].[All]" dimensionUniqueName="[MatchData]" displayFolder="" count="0" memberValueDatatype="20" unbalanced="0"/>
    <cacheHierarchy uniqueName="[MatchData].[Rough Terrain Avail Count]" caption="Rough Terrain Avail Count" attribute="1" defaultMemberUniqueName="[MatchData].[Rough Terrain Avail Count].[All]" allUniqueName="[MatchData].[Rough Terrain Avail Count].[All]" dimensionUniqueName="[MatchData]" displayFolder="" count="0" memberValueDatatype="20" unbalanced="0"/>
    <cacheHierarchy uniqueName="[MatchData].[Low Bar Avail Count]" caption="Low Bar Avail Count" attribute="1" defaultMemberUniqueName="[MatchData].[Low Bar Avail Count].[All]" allUniqueName="[MatchData].[Low Bar Avail Count].[All]" dimensionUniqueName="[MatchData]" displayFolder="" count="0" memberValueDatatype="20" unbalanced="0"/>
    <cacheHierarchy uniqueName="[MatchData].[Portcullis Sum]" caption="Portcullis Sum" attribute="1" defaultMemberUniqueName="[MatchData].[Portcullis Sum].[All]" allUniqueName="[MatchData].[Portcullis Sum].[All]" dimensionUniqueName="[MatchData]" displayFolder="" count="0" memberValueDatatype="20" unbalanced="0"/>
    <cacheHierarchy uniqueName="[MatchData].[Cheval Sum]" caption="Cheval Sum" attribute="1" defaultMemberUniqueName="[MatchData].[Cheval Sum].[All]" allUniqueName="[MatchData].[Cheval Sum].[All]" dimensionUniqueName="[MatchData]" displayFolder="" count="0" memberValueDatatype="20" unbalanced="0"/>
    <cacheHierarchy uniqueName="[MatchData].[Moat Sum]" caption="Moat Sum" attribute="1" defaultMemberUniqueName="[MatchData].[Moat Sum].[All]" allUniqueName="[MatchData].[Moat Sum].[All]" dimensionUniqueName="[MatchData]" displayFolder="" count="0" memberValueDatatype="20" unbalanced="0"/>
    <cacheHierarchy uniqueName="[MatchData].[Ramparts Sum]" caption="Ramparts Sum" attribute="1" defaultMemberUniqueName="[MatchData].[Ramparts Sum].[All]" allUniqueName="[MatchData].[Ramparts Sum].[All]" dimensionUniqueName="[MatchData]" displayFolder="" count="0" memberValueDatatype="20" unbalanced="0"/>
    <cacheHierarchy uniqueName="[MatchData].[Drawbridge Sum]" caption="Drawbridge Sum" attribute="1" defaultMemberUniqueName="[MatchData].[Drawbridge Sum].[All]" allUniqueName="[MatchData].[Drawbridge Sum].[All]" dimensionUniqueName="[MatchData]" displayFolder="" count="0" memberValueDatatype="20" unbalanced="0"/>
    <cacheHierarchy uniqueName="[MatchData].[Sally Port Sum]" caption="Sally Port Sum" attribute="1" defaultMemberUniqueName="[MatchData].[Sally Port Sum].[All]" allUniqueName="[MatchData].[Sally Port Sum].[All]" dimensionUniqueName="[MatchData]" displayFolder="" count="0" memberValueDatatype="20" unbalanced="0"/>
    <cacheHierarchy uniqueName="[MatchData].[Rock Wall Sum]" caption="Rock Wall Sum" attribute="1" defaultMemberUniqueName="[MatchData].[Rock Wall Sum].[All]" allUniqueName="[MatchData].[Rock Wall Sum].[All]" dimensionUniqueName="[MatchData]" displayFolder="" count="0" memberValueDatatype="20" unbalanced="0"/>
    <cacheHierarchy uniqueName="[MatchData].[Rough Terrain Sum]" caption="Rough Terrain Sum" attribute="1" defaultMemberUniqueName="[MatchData].[Rough Terrain Sum].[All]" allUniqueName="[MatchData].[Rough Terrain Sum].[All]" dimensionUniqueName="[MatchData]" displayFolder="" count="0" memberValueDatatype="20" unbalanced="0"/>
    <cacheHierarchy uniqueName="[MatchData].[Low Bar Sum]" caption="Low Bar Sum" attribute="1" defaultMemberUniqueName="[MatchData].[Low Bar Sum].[All]" allUniqueName="[MatchData].[Low Bar Sum].[All]" dimensionUniqueName="[MatchData]" displayFolder="" count="0" memberValueDatatype="20" unbalanced="0"/>
    <cacheHierarchy uniqueName="[MatchData].[Portcullis Average]" caption="Portcullis Average" attribute="1" defaultMemberUniqueName="[MatchData].[Portcullis Average].[All]" allUniqueName="[MatchData].[Portcullis Average].[All]" dimensionUniqueName="[MatchData]" displayFolder="" count="0" memberValueDatatype="5" unbalanced="0"/>
    <cacheHierarchy uniqueName="[MatchData].[Cheval Average]" caption="Cheval Average" attribute="1" defaultMemberUniqueName="[MatchData].[Cheval Average].[All]" allUniqueName="[MatchData].[Cheval Average].[All]" dimensionUniqueName="[MatchData]" displayFolder="" count="0" memberValueDatatype="5" unbalanced="0"/>
    <cacheHierarchy uniqueName="[MatchData].[Moat Average]" caption="Moat Average" attribute="1" defaultMemberUniqueName="[MatchData].[Moat Average].[All]" allUniqueName="[MatchData].[Moat Average].[All]" dimensionUniqueName="[MatchData]" displayFolder="" count="0" memberValueDatatype="5" unbalanced="0"/>
    <cacheHierarchy uniqueName="[MatchData].[Ramparts Average]" caption="Ramparts Average" attribute="1" defaultMemberUniqueName="[MatchData].[Ramparts Average].[All]" allUniqueName="[MatchData].[Ramparts Average].[All]" dimensionUniqueName="[MatchData]" displayFolder="" count="0" memberValueDatatype="5" unbalanced="0"/>
    <cacheHierarchy uniqueName="[MatchData].[Drawbridge Average]" caption="Drawbridge Average" attribute="1" defaultMemberUniqueName="[MatchData].[Drawbridge Average].[All]" allUniqueName="[MatchData].[Drawbridge Average].[All]" dimensionUniqueName="[MatchData]" displayFolder="" count="0" memberValueDatatype="5" unbalanced="0"/>
    <cacheHierarchy uniqueName="[MatchData].[Sally Port Average]" caption="Sally Port Average" attribute="1" defaultMemberUniqueName="[MatchData].[Sally Port Average].[All]" allUniqueName="[MatchData].[Sally Port Average].[All]" dimensionUniqueName="[MatchData]" displayFolder="" count="0" memberValueDatatype="5" unbalanced="0"/>
    <cacheHierarchy uniqueName="[MatchData].[Rock Wall Average]" caption="Rock Wall Average" attribute="1" defaultMemberUniqueName="[MatchData].[Rock Wall Average].[All]" allUniqueName="[MatchData].[Rock Wall Average].[All]" dimensionUniqueName="[MatchData]" displayFolder="" count="0" memberValueDatatype="5" unbalanced="0"/>
    <cacheHierarchy uniqueName="[MatchData].[Rough Terrain Crossing Average]" caption="Rough Terrain Crossing Average" attribute="1" defaultMemberUniqueName="[MatchData].[Rough Terrain Crossing Average].[All]" allUniqueName="[MatchData].[Rough Terrain Crossing Average].[All]" dimensionUniqueName="[MatchData]" displayFolder="" count="0" memberValueDatatype="5" unbalanced="0"/>
    <cacheHierarchy uniqueName="[MatchData].[Low Bar Average]" caption="Low Bar Average" attribute="1" defaultMemberUniqueName="[MatchData].[Low Bar Average].[All]" allUniqueName="[MatchData].[Low Bar Average].[All]" dimensionUniqueName="[MatchData]" displayFolder="" count="0" memberValueDatatype="5" unbalanced="0"/>
    <cacheHierarchy uniqueName="[MatchData].[Max Goal Score]" caption="Max Goal Score" attribute="1" defaultMemberUniqueName="[MatchData].[Max Goal Score].[All]" allUniqueName="[MatchData].[Max Goal Score].[All]" dimensionUniqueName="[MatchData]" displayFolder="" count="0" memberValueDatatype="20" unbalanced="0"/>
    <cacheHierarchy uniqueName="[MatchData].[Average Team Score]" caption="Average Team Score" attribute="1" defaultMemberUniqueName="[MatchData].[Average Team Score].[All]" allUniqueName="[MatchData].[Average Team Score].[All]" dimensionUniqueName="[MatchData]" displayFolder="" count="0" memberValueDatatype="5" unbalanced="0"/>
    <cacheHierarchy uniqueName="[MatchData].[Average Climb or Challenge]" caption="Average Climb or Challenge" attribute="1" defaultMemberUniqueName="[MatchData].[Average Climb or Challenge].[All]" allUniqueName="[MatchData].[Average Climb or Challenge].[All]" dimensionUniqueName="[MatchData]" displayFolder="" count="0" memberValueDatatype="5" unbalanced="0"/>
    <cacheHierarchy uniqueName="[PitData].[Team]" caption="Team" attribute="1" defaultMemberUniqueName="[PitData].[Team].[All]" allUniqueName="[PitData].[Team].[All]" dimensionUniqueName="[PitData]" displayFolder="" count="2" memberValueDatatype="20" unbalanced="0">
      <fieldsUsage count="2">
        <fieldUsage x="-1"/>
        <fieldUsage x="3"/>
      </fieldsUsage>
    </cacheHierarchy>
    <cacheHierarchy uniqueName="[PitData].[DriveBase]" caption="DriveBase" attribute="1" defaultMemberUniqueName="[PitData].[DriveBase].[All]" allUniqueName="[PitData].[DriveBase].[All]" dimensionUniqueName="[PitData]" displayFolder="" count="0" memberValueDatatype="130" unbalanced="0"/>
    <cacheHierarchy uniqueName="[PitData].[Operational Rating]" caption="Operational Rating" attribute="1" defaultMemberUniqueName="[PitData].[Operational Rating].[All]" allUniqueName="[PitData].[Operational Rating].[All]" dimensionUniqueName="[PitData]" displayFolder="" count="0" memberValueDatatype="20" unbalanced="0"/>
    <cacheHierarchy uniqueName="[PitData].[High Goal Shooter]" caption="High Goal Shooter" attribute="1" defaultMemberUniqueName="[PitData].[High Goal Shooter].[All]" allUniqueName="[PitData].[High Goal Shooter].[All]" dimensionUniqueName="[PitData]" displayFolder="" count="0" memberValueDatatype="20" unbalanced="0"/>
    <cacheHierarchy uniqueName="[PitData].[Climber]" caption="Climber" attribute="1" defaultMemberUniqueName="[PitData].[Climber].[All]" allUniqueName="[PitData].[Climber].[All]" dimensionUniqueName="[PitData]" displayFolder="" count="0" memberValueDatatype="20" unbalanced="0"/>
    <cacheHierarchy uniqueName="[PitData].[Persona]" caption="Persona" attribute="1" defaultMemberUniqueName="[PitData].[Persona].[All]" allUniqueName="[PitData].[Persona].[All]" dimensionUniqueName="[PitData]" displayFolder="" count="0" memberValueDatatype="20" unbalanced="0"/>
    <cacheHierarchy uniqueName="[PitData].[Team Captain Rank]" caption="Team Captain Rank" attribute="1" defaultMemberUniqueName="[PitData].[Team Captain Rank].[All]" allUniqueName="[PitData].[Team Captain Rank].[All]" dimensionUniqueName="[PitData]" displayFolder="" count="0" memberValueDatatype="20" unbalanced="0"/>
    <cacheHierarchy uniqueName="[Measures].[Sum of Total Score]" caption="Sum of Total Score" measure="1" displayFolder="" measureGroup="MatchData" count="0">
      <extLst>
        <ext xmlns:x15="http://schemas.microsoft.com/office/spreadsheetml/2010/11/main" uri="{B97F6D7D-B522-45F9-BDA1-12C45D357490}">
          <x15:cacheHierarchy aggregatedColumn="62"/>
        </ext>
      </extLst>
    </cacheHierarchy>
    <cacheHierarchy uniqueName="[Measures].[Max of Total Score]" caption="Max of Total Score" measure="1" displayFolder="" measureGroup="MatchData" count="0" oneField="1">
      <fieldsUsage count="1">
        <fieldUsage x="0"/>
      </fieldsUsage>
      <extLst>
        <ext xmlns:x15="http://schemas.microsoft.com/office/spreadsheetml/2010/11/main" uri="{B97F6D7D-B522-45F9-BDA1-12C45D357490}">
          <x15:cacheHierarchy aggregatedColumn="62"/>
        </ext>
      </extLst>
    </cacheHierarchy>
    <cacheHierarchy uniqueName="[Measures].[Average of Total Score]" caption="Average of Total Score" measure="1" displayFolder="" measureGroup="MatchData" count="0" oneField="1">
      <fieldsUsage count="1">
        <fieldUsage x="1"/>
      </fieldsUsage>
      <extLst>
        <ext xmlns:x15="http://schemas.microsoft.com/office/spreadsheetml/2010/11/main" uri="{B97F6D7D-B522-45F9-BDA1-12C45D357490}">
          <x15:cacheHierarchy aggregatedColumn="62"/>
        </ext>
      </extLst>
    </cacheHierarchy>
    <cacheHierarchy uniqueName="[Measures].[Sum of Operational Rating]" caption="Sum of Operational Rating" measure="1" displayFolder="" measureGroup="PitData" count="0" oneField="1">
      <fieldsUsage count="1">
        <fieldUsage x="2"/>
      </fieldsUsage>
      <extLst>
        <ext xmlns:x15="http://schemas.microsoft.com/office/spreadsheetml/2010/11/main" uri="{B97F6D7D-B522-45F9-BDA1-12C45D357490}">
          <x15:cacheHierarchy aggregatedColumn="113"/>
        </ext>
      </extLst>
    </cacheHierarchy>
    <cacheHierarchy uniqueName="[Measures].[Max of Operational Rating]" caption="Max of Operational Rating" measure="1" displayFolder="" measureGroup="PitData" count="0">
      <extLst>
        <ext xmlns:x15="http://schemas.microsoft.com/office/spreadsheetml/2010/11/main" uri="{B97F6D7D-B522-45F9-BDA1-12C45D357490}">
          <x15:cacheHierarchy aggregatedColumn="113"/>
        </ext>
      </extLst>
    </cacheHierarchy>
    <cacheHierarchy uniqueName="[Measures].[Sum of Team]" caption="Sum of Team" measure="1" displayFolder="" measureGroup="PitData" count="0">
      <extLst>
        <ext xmlns:x15="http://schemas.microsoft.com/office/spreadsheetml/2010/11/main" uri="{B97F6D7D-B522-45F9-BDA1-12C45D357490}">
          <x15:cacheHierarchy aggregatedColumn="111"/>
        </ext>
      </extLst>
    </cacheHierarchy>
    <cacheHierarchy uniqueName="[Measures].[Average of Operational Rating]" caption="Average of Operational Rating" measure="1" displayFolder="" measureGroup="PitData" count="0">
      <extLst>
        <ext xmlns:x15="http://schemas.microsoft.com/office/spreadsheetml/2010/11/main" uri="{B97F6D7D-B522-45F9-BDA1-12C45D357490}">
          <x15:cacheHierarchy aggregatedColumn="113"/>
        </ext>
      </extLst>
    </cacheHierarchy>
    <cacheHierarchy uniqueName="[Measures].[Count of High Goal Shooter]" caption="Count of High Goal Shooter" measure="1" displayFolder="" measureGroup="PitData" count="0">
      <extLst>
        <ext xmlns:x15="http://schemas.microsoft.com/office/spreadsheetml/2010/11/main" uri="{B97F6D7D-B522-45F9-BDA1-12C45D357490}">
          <x15:cacheHierarchy aggregatedColumn="114"/>
        </ext>
      </extLst>
    </cacheHierarchy>
    <cacheHierarchy uniqueName="[Measures].[Sum of High Goal Shooter]" caption="Sum of High Goal Shooter" measure="1" displayFolder="" measureGroup="PitData" count="0">
      <extLst>
        <ext xmlns:x15="http://schemas.microsoft.com/office/spreadsheetml/2010/11/main" uri="{B97F6D7D-B522-45F9-BDA1-12C45D357490}">
          <x15:cacheHierarchy aggregatedColumn="114"/>
        </ext>
      </extLst>
    </cacheHierarchy>
    <cacheHierarchy uniqueName="[Measures].[Sum of Portcullis Teleop Crossings]" caption="Sum of Portcullis Teleop Crossings" measure="1" displayFolder="" measureGroup="MatchData" count="0">
      <extLst>
        <ext xmlns:x15="http://schemas.microsoft.com/office/spreadsheetml/2010/11/main" uri="{B97F6D7D-B522-45F9-BDA1-12C45D357490}">
          <x15:cacheHierarchy aggregatedColumn="28"/>
        </ext>
      </extLst>
    </cacheHierarchy>
    <cacheHierarchy uniqueName="[Measures].[Sum of Cheval Teleop Crossings]" caption="Sum of Cheval Teleop Crossings" measure="1" displayFolder="" measureGroup="MatchData" count="0">
      <extLst>
        <ext xmlns:x15="http://schemas.microsoft.com/office/spreadsheetml/2010/11/main" uri="{B97F6D7D-B522-45F9-BDA1-12C45D357490}">
          <x15:cacheHierarchy aggregatedColumn="29"/>
        </ext>
      </extLst>
    </cacheHierarchy>
    <cacheHierarchy uniqueName="[Measures].[Sum of Moat Teleop Crossings]" caption="Sum of Moat Teleop Crossings" measure="1" displayFolder="" measureGroup="MatchData" count="0">
      <extLst>
        <ext xmlns:x15="http://schemas.microsoft.com/office/spreadsheetml/2010/11/main" uri="{B97F6D7D-B522-45F9-BDA1-12C45D357490}">
          <x15:cacheHierarchy aggregatedColumn="30"/>
        </ext>
      </extLst>
    </cacheHierarchy>
    <cacheHierarchy uniqueName="[Measures].[Sum of Ramparts Teleop Crossings]" caption="Sum of Ramparts Teleop Crossings" measure="1" displayFolder="" measureGroup="MatchData" count="0">
      <extLst>
        <ext xmlns:x15="http://schemas.microsoft.com/office/spreadsheetml/2010/11/main" uri="{B97F6D7D-B522-45F9-BDA1-12C45D357490}">
          <x15:cacheHierarchy aggregatedColumn="31"/>
        </ext>
      </extLst>
    </cacheHierarchy>
    <cacheHierarchy uniqueName="[Measures].[Sum of Drawbridge Teleop Crossings]" caption="Sum of Drawbridge Teleop Crossings" measure="1" displayFolder="" measureGroup="MatchData" count="0">
      <extLst>
        <ext xmlns:x15="http://schemas.microsoft.com/office/spreadsheetml/2010/11/main" uri="{B97F6D7D-B522-45F9-BDA1-12C45D357490}">
          <x15:cacheHierarchy aggregatedColumn="32"/>
        </ext>
      </extLst>
    </cacheHierarchy>
    <cacheHierarchy uniqueName="[Measures].[Sum of Sally Port Teleop Crossings]" caption="Sum of Sally Port Teleop Crossings" measure="1" displayFolder="" measureGroup="MatchData" count="0">
      <extLst>
        <ext xmlns:x15="http://schemas.microsoft.com/office/spreadsheetml/2010/11/main" uri="{B97F6D7D-B522-45F9-BDA1-12C45D357490}">
          <x15:cacheHierarchy aggregatedColumn="33"/>
        </ext>
      </extLst>
    </cacheHierarchy>
    <cacheHierarchy uniqueName="[Measures].[Sum of Rock Wall Teleop Crossings]" caption="Sum of Rock Wall Teleop Crossings" measure="1" displayFolder="" measureGroup="MatchData" count="0">
      <extLst>
        <ext xmlns:x15="http://schemas.microsoft.com/office/spreadsheetml/2010/11/main" uri="{B97F6D7D-B522-45F9-BDA1-12C45D357490}">
          <x15:cacheHierarchy aggregatedColumn="34"/>
        </ext>
      </extLst>
    </cacheHierarchy>
    <cacheHierarchy uniqueName="[Measures].[Sum of Rough Terrain Teleop Crossings]" caption="Sum of Rough Terrain Teleop Crossings" measure="1" displayFolder="" measureGroup="MatchData" count="0">
      <extLst>
        <ext xmlns:x15="http://schemas.microsoft.com/office/spreadsheetml/2010/11/main" uri="{B97F6D7D-B522-45F9-BDA1-12C45D357490}">
          <x15:cacheHierarchy aggregatedColumn="35"/>
        </ext>
      </extLst>
    </cacheHierarchy>
    <cacheHierarchy uniqueName="[Measures].[Sum of Low Bar Teleop Crossings]" caption="Sum of Low Bar Teleop Crossings" measure="1" displayFolder="" measureGroup="MatchData" count="0">
      <extLst>
        <ext xmlns:x15="http://schemas.microsoft.com/office/spreadsheetml/2010/11/main" uri="{B97F6D7D-B522-45F9-BDA1-12C45D357490}">
          <x15:cacheHierarchy aggregatedColumn="36"/>
        </ext>
      </extLst>
    </cacheHierarchy>
    <cacheHierarchy uniqueName="[Measures].[Sum of Total Goal Score]" caption="Sum of Total Goal Score" measure="1" displayFolder="" measureGroup="MatchData" count="0">
      <extLst>
        <ext xmlns:x15="http://schemas.microsoft.com/office/spreadsheetml/2010/11/main" uri="{B97F6D7D-B522-45F9-BDA1-12C45D357490}">
          <x15:cacheHierarchy aggregatedColumn="56"/>
        </ext>
      </extLst>
    </cacheHierarchy>
    <cacheHierarchy uniqueName="[Measures].[Sum of Crossing Score]" caption="Sum of Crossing Score" measure="1" displayFolder="" measureGroup="MatchData" count="0">
      <extLst>
        <ext xmlns:x15="http://schemas.microsoft.com/office/spreadsheetml/2010/11/main" uri="{B97F6D7D-B522-45F9-BDA1-12C45D357490}">
          <x15:cacheHierarchy aggregatedColumn="59"/>
        </ext>
      </extLst>
    </cacheHierarchy>
    <cacheHierarchy uniqueName="[Measures].[Sum of Challenge Score]" caption="Sum of Challenge Score" measure="1" displayFolder="" measureGroup="MatchData" count="0">
      <extLst>
        <ext xmlns:x15="http://schemas.microsoft.com/office/spreadsheetml/2010/11/main" uri="{B97F6D7D-B522-45F9-BDA1-12C45D357490}">
          <x15:cacheHierarchy aggregatedColumn="60"/>
        </ext>
      </extLst>
    </cacheHierarchy>
    <cacheHierarchy uniqueName="[Measures].[Sum of Climb Score]" caption="Sum of Climb Score" measure="1" displayFolder="" measureGroup="MatchData" count="0">
      <extLst>
        <ext xmlns:x15="http://schemas.microsoft.com/office/spreadsheetml/2010/11/main" uri="{B97F6D7D-B522-45F9-BDA1-12C45D357490}">
          <x15:cacheHierarchy aggregatedColumn="61"/>
        </ext>
      </extLst>
    </cacheHierarchy>
    <cacheHierarchy uniqueName="[Measures].[Average of Crossing Score]" caption="Average of Crossing Score" measure="1" displayFolder="" measureGroup="MatchData" count="0" oneField="1">
      <fieldsUsage count="1">
        <fieldUsage x="4"/>
      </fieldsUsage>
      <extLst>
        <ext xmlns:x15="http://schemas.microsoft.com/office/spreadsheetml/2010/11/main" uri="{B97F6D7D-B522-45F9-BDA1-12C45D357490}">
          <x15:cacheHierarchy aggregatedColumn="59"/>
        </ext>
      </extLst>
    </cacheHierarchy>
    <cacheHierarchy uniqueName="[Measures].[Average of Total Goal Score]" caption="Average of Total Goal Score" measure="1" displayFolder="" measureGroup="MatchData" count="0" oneField="1">
      <fieldsUsage count="1">
        <fieldUsage x="5"/>
      </fieldsUsage>
      <extLst>
        <ext xmlns:x15="http://schemas.microsoft.com/office/spreadsheetml/2010/11/main" uri="{B97F6D7D-B522-45F9-BDA1-12C45D357490}">
          <x15:cacheHierarchy aggregatedColumn="56"/>
        </ext>
      </extLst>
    </cacheHierarchy>
    <cacheHierarchy uniqueName="[Measures].[Average of Climb Score]" caption="Average of Climb Score" measure="1" displayFolder="" measureGroup="MatchData" count="0" oneField="1">
      <fieldsUsage count="1">
        <fieldUsage x="6"/>
      </fieldsUsage>
      <extLst>
        <ext xmlns:x15="http://schemas.microsoft.com/office/spreadsheetml/2010/11/main" uri="{B97F6D7D-B522-45F9-BDA1-12C45D357490}">
          <x15:cacheHierarchy aggregatedColumn="61"/>
        </ext>
      </extLst>
    </cacheHierarchy>
    <cacheHierarchy uniqueName="[Measures].[Average of Challenge Score]" caption="Average of Challenge Score" measure="1" displayFolder="" measureGroup="MatchData" count="0" oneField="1">
      <fieldsUsage count="1">
        <fieldUsage x="7"/>
      </fieldsUsage>
      <extLst>
        <ext xmlns:x15="http://schemas.microsoft.com/office/spreadsheetml/2010/11/main" uri="{B97F6D7D-B522-45F9-BDA1-12C45D357490}">
          <x15:cacheHierarchy aggregatedColumn="60"/>
        </ext>
      </extLst>
    </cacheHierarchy>
    <cacheHierarchy uniqueName="[Measures].[Average of Portcullis Teleop Crossings]" caption="Average of Portcullis Teleop Crossings" measure="1" displayFolder="" measureGroup="MatchData" count="0" oneField="1">
      <fieldsUsage count="1">
        <fieldUsage x="8"/>
      </fieldsUsage>
      <extLst>
        <ext xmlns:x15="http://schemas.microsoft.com/office/spreadsheetml/2010/11/main" uri="{B97F6D7D-B522-45F9-BDA1-12C45D357490}">
          <x15:cacheHierarchy aggregatedColumn="28"/>
        </ext>
      </extLst>
    </cacheHierarchy>
    <cacheHierarchy uniqueName="[Measures].[Average of Cheval Teleop Crossings]" caption="Average of Cheval Teleop Crossings" measure="1" displayFolder="" measureGroup="MatchData" count="0" oneField="1">
      <fieldsUsage count="1">
        <fieldUsage x="9"/>
      </fieldsUsage>
      <extLst>
        <ext xmlns:x15="http://schemas.microsoft.com/office/spreadsheetml/2010/11/main" uri="{B97F6D7D-B522-45F9-BDA1-12C45D357490}">
          <x15:cacheHierarchy aggregatedColumn="29"/>
        </ext>
      </extLst>
    </cacheHierarchy>
    <cacheHierarchy uniqueName="[Measures].[Average of Low Bar Teleop Crossings]" caption="Average of Low Bar Teleop Crossings" measure="1" displayFolder="" measureGroup="MatchData" count="0" oneField="1">
      <fieldsUsage count="1">
        <fieldUsage x="10"/>
      </fieldsUsage>
      <extLst>
        <ext xmlns:x15="http://schemas.microsoft.com/office/spreadsheetml/2010/11/main" uri="{B97F6D7D-B522-45F9-BDA1-12C45D357490}">
          <x15:cacheHierarchy aggregatedColumn="36"/>
        </ext>
      </extLst>
    </cacheHierarchy>
    <cacheHierarchy uniqueName="[Measures].[Average of Rough Terrain Teleop Crossings]" caption="Average of Rough Terrain Teleop Crossings" measure="1" displayFolder="" measureGroup="MatchData" count="0" oneField="1">
      <fieldsUsage count="1">
        <fieldUsage x="11"/>
      </fieldsUsage>
      <extLst>
        <ext xmlns:x15="http://schemas.microsoft.com/office/spreadsheetml/2010/11/main" uri="{B97F6D7D-B522-45F9-BDA1-12C45D357490}">
          <x15:cacheHierarchy aggregatedColumn="35"/>
        </ext>
      </extLst>
    </cacheHierarchy>
    <cacheHierarchy uniqueName="[Measures].[Average of Rock Wall Teleop Crossings]" caption="Average of Rock Wall Teleop Crossings" measure="1" displayFolder="" measureGroup="MatchData" count="0" oneField="1">
      <fieldsUsage count="1">
        <fieldUsage x="12"/>
      </fieldsUsage>
      <extLst>
        <ext xmlns:x15="http://schemas.microsoft.com/office/spreadsheetml/2010/11/main" uri="{B97F6D7D-B522-45F9-BDA1-12C45D357490}">
          <x15:cacheHierarchy aggregatedColumn="34"/>
        </ext>
      </extLst>
    </cacheHierarchy>
    <cacheHierarchy uniqueName="[Measures].[Average of Sally Port Teleop Crossings]" caption="Average of Sally Port Teleop Crossings" measure="1" displayFolder="" measureGroup="MatchData" count="0" oneField="1">
      <fieldsUsage count="1">
        <fieldUsage x="13"/>
      </fieldsUsage>
      <extLst>
        <ext xmlns:x15="http://schemas.microsoft.com/office/spreadsheetml/2010/11/main" uri="{B97F6D7D-B522-45F9-BDA1-12C45D357490}">
          <x15:cacheHierarchy aggregatedColumn="33"/>
        </ext>
      </extLst>
    </cacheHierarchy>
    <cacheHierarchy uniqueName="[Measures].[Average of Drawbridge Teleop Crossings]" caption="Average of Drawbridge Teleop Crossings" measure="1" displayFolder="" measureGroup="MatchData" count="0" oneField="1">
      <fieldsUsage count="1">
        <fieldUsage x="14"/>
      </fieldsUsage>
      <extLst>
        <ext xmlns:x15="http://schemas.microsoft.com/office/spreadsheetml/2010/11/main" uri="{B97F6D7D-B522-45F9-BDA1-12C45D357490}">
          <x15:cacheHierarchy aggregatedColumn="32"/>
        </ext>
      </extLst>
    </cacheHierarchy>
    <cacheHierarchy uniqueName="[Measures].[Average of Ramparts Teleop Crossings]" caption="Average of Ramparts Teleop Crossings" measure="1" displayFolder="" measureGroup="MatchData" count="0" oneField="1">
      <fieldsUsage count="1">
        <fieldUsage x="15"/>
      </fieldsUsage>
      <extLst>
        <ext xmlns:x15="http://schemas.microsoft.com/office/spreadsheetml/2010/11/main" uri="{B97F6D7D-B522-45F9-BDA1-12C45D357490}">
          <x15:cacheHierarchy aggregatedColumn="31"/>
        </ext>
      </extLst>
    </cacheHierarchy>
    <cacheHierarchy uniqueName="[Measures].[Average of Moat Teleop Crossings]" caption="Average of Moat Teleop Crossings" measure="1" displayFolder="" measureGroup="MatchData" count="0" oneField="1">
      <fieldsUsage count="1">
        <fieldUsage x="16"/>
      </fieldsUsage>
      <extLst>
        <ext xmlns:x15="http://schemas.microsoft.com/office/spreadsheetml/2010/11/main" uri="{B97F6D7D-B522-45F9-BDA1-12C45D357490}">
          <x15:cacheHierarchy aggregatedColumn="30"/>
        </ext>
      </extLst>
    </cacheHierarchy>
    <cacheHierarchy uniqueName="[Measures].[Sum of Climb Flag]" caption="Sum of Climb Flag" measure="1" displayFolder="" measureGroup="MatchData" count="0">
      <extLst>
        <ext xmlns:x15="http://schemas.microsoft.com/office/spreadsheetml/2010/11/main" uri="{B97F6D7D-B522-45F9-BDA1-12C45D357490}">
          <x15:cacheHierarchy aggregatedColumn="47"/>
        </ext>
      </extLst>
    </cacheHierarchy>
    <cacheHierarchy uniqueName="[Measures].[Average of Climb Flag]" caption="Average of Climb Flag" measure="1" displayFolder="" measureGroup="MatchData" count="0" oneField="1">
      <fieldsUsage count="1">
        <fieldUsage x="17"/>
      </fieldsUsage>
      <extLst>
        <ext xmlns:x15="http://schemas.microsoft.com/office/spreadsheetml/2010/11/main" uri="{B97F6D7D-B522-45F9-BDA1-12C45D357490}">
          <x15:cacheHierarchy aggregatedColumn="47"/>
        </ext>
      </extLst>
    </cacheHierarchy>
    <cacheHierarchy uniqueName="[Measures].[Sum of Team Captain Rank]" caption="Sum of Team Captain Rank" measure="1" displayFolder="" measureGroup="PitData" count="0" oneField="1">
      <fieldsUsage count="1">
        <fieldUsage x="18"/>
      </fieldsUsage>
      <extLst>
        <ext xmlns:x15="http://schemas.microsoft.com/office/spreadsheetml/2010/11/main" uri="{B97F6D7D-B522-45F9-BDA1-12C45D357490}">
          <x15:cacheHierarchy aggregatedColumn="117"/>
        </ext>
      </extLst>
    </cacheHierarchy>
    <cacheHierarchy uniqueName="[Measures].[Sum of Auto High Goals]" caption="Sum of Auto High Goals" measure="1" displayFolder="" measureGroup="MatchData" count="0">
      <extLst>
        <ext xmlns:x15="http://schemas.microsoft.com/office/spreadsheetml/2010/11/main" uri="{B97F6D7D-B522-45F9-BDA1-12C45D357490}">
          <x15:cacheHierarchy aggregatedColumn="5"/>
        </ext>
      </extLst>
    </cacheHierarchy>
    <cacheHierarchy uniqueName="[Measures].[Average of Auto High Goals]" caption="Average of Auto High Goals" measure="1" displayFolder="" measureGroup="MatchData" count="0">
      <extLst>
        <ext xmlns:x15="http://schemas.microsoft.com/office/spreadsheetml/2010/11/main" uri="{B97F6D7D-B522-45F9-BDA1-12C45D357490}">
          <x15:cacheHierarchy aggregatedColumn="5"/>
        </ext>
      </extLst>
    </cacheHierarchy>
    <cacheHierarchy uniqueName="[Measures].[Sum of Teleop High Goals]" caption="Sum of Teleop High Goals" measure="1" displayFolder="" measureGroup="MatchData" count="0">
      <extLst>
        <ext xmlns:x15="http://schemas.microsoft.com/office/spreadsheetml/2010/11/main" uri="{B97F6D7D-B522-45F9-BDA1-12C45D357490}">
          <x15:cacheHierarchy aggregatedColumn="7"/>
        </ext>
      </extLst>
    </cacheHierarchy>
    <cacheHierarchy uniqueName="[Measures].[Average of Teleop High Goals]" caption="Average of Teleop High Goals" measure="1" displayFolder="" measureGroup="MatchData" count="0" oneField="1">
      <fieldsUsage count="1">
        <fieldUsage x="19"/>
      </fieldsUsage>
      <extLst>
        <ext xmlns:x15="http://schemas.microsoft.com/office/spreadsheetml/2010/11/main" uri="{B97F6D7D-B522-45F9-BDA1-12C45D357490}">
          <x15:cacheHierarchy aggregatedColumn="7"/>
        </ext>
      </extLst>
    </cacheHierarchy>
    <cacheHierarchy uniqueName="[Measures].[__XL_Count MatchData]" caption="__XL_Count MatchData" measure="1" displayFolder="" measureGroup="MatchData" count="0" hidden="1"/>
    <cacheHierarchy uniqueName="[Measures].[__XL_Count PitData]" caption="__XL_Count PitData" measure="1" displayFolder="" measureGroup="PitData" count="0" hidden="1"/>
    <cacheHierarchy uniqueName="[Measures].[__XL_Count of Models]" caption="__XL_Count of Models" measure="1" displayFolder="" count="0" hidden="1"/>
  </cacheHierarchies>
  <kpis count="0"/>
  <dimensions count="3">
    <dimension name="MatchData" uniqueName="[MatchData]" caption="MatchData"/>
    <dimension measure="1" name="Measures" uniqueName="[Measures]" caption="Measures"/>
    <dimension name="PitData" uniqueName="[PitData]" caption="PitData"/>
  </dimensions>
  <measureGroups count="2">
    <measureGroup name="MatchData" caption="MatchData"/>
    <measureGroup name="PitData" caption="PitData"/>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CV Briggler" refreshedDate="42431.444265625003" createdVersion="5" refreshedVersion="5" minRefreshableVersion="3" recordCount="72">
  <cacheSource type="worksheet">
    <worksheetSource name="MatchData"/>
  </cacheSource>
  <cacheFields count="111">
    <cacheField name="Match Type (Q or B)" numFmtId="0">
      <sharedItems/>
    </cacheField>
    <cacheField name="Match" numFmtId="0">
      <sharedItems containsSemiMixedTypes="0" containsString="0" containsNumber="1" containsInteger="1" minValue="1" maxValue="12" count="12">
        <n v="1"/>
        <n v="3"/>
        <n v="5"/>
        <n v="7"/>
        <n v="9"/>
        <n v="11"/>
        <n v="12"/>
        <n v="10"/>
        <n v="8"/>
        <n v="6"/>
        <n v="4"/>
        <n v="2"/>
      </sharedItems>
    </cacheField>
    <cacheField name="Team" numFmtId="0">
      <sharedItems containsSemiMixedTypes="0" containsString="0" containsNumber="1" containsInteger="1" minValue="1001" maxValue="1425" count="14">
        <n v="1001"/>
        <n v="1002"/>
        <n v="1003"/>
        <n v="1004"/>
        <n v="1005"/>
        <n v="1006"/>
        <n v="1008"/>
        <n v="1009"/>
        <n v="1010"/>
        <n v="1011"/>
        <n v="1012"/>
        <n v="1013"/>
        <n v="1425"/>
        <n v="1007" u="1"/>
      </sharedItems>
    </cacheField>
    <cacheField name="Alliance" numFmtId="0">
      <sharedItems count="2">
        <s v="Red"/>
        <s v="Blue"/>
      </sharedItems>
    </cacheField>
    <cacheField name="Scouter" numFmtId="0">
      <sharedItems/>
    </cacheField>
    <cacheField name="Auto High Goals" numFmtId="0">
      <sharedItems containsSemiMixedTypes="0" containsString="0" containsNumber="1" containsInteger="1" minValue="0" maxValue="1"/>
    </cacheField>
    <cacheField name="Auto Low Goals" numFmtId="0">
      <sharedItems containsSemiMixedTypes="0" containsString="0" containsNumber="1" containsInteger="1" minValue="0" maxValue="1"/>
    </cacheField>
    <cacheField name="Teleop High Goals" numFmtId="0">
      <sharedItems containsSemiMixedTypes="0" containsString="0" containsNumber="1" containsInteger="1" minValue="0" maxValue="4"/>
    </cacheField>
    <cacheField name="Teleop Low Goals" numFmtId="0">
      <sharedItems containsSemiMixedTypes="0" containsString="0" containsNumber="1" containsInteger="1" minValue="0" maxValue="6"/>
    </cacheField>
    <cacheField name="Portcullis Available" numFmtId="0">
      <sharedItems containsString="0" containsBlank="1" containsNumber="1" containsInteger="1" minValue="1" maxValue="1"/>
    </cacheField>
    <cacheField name="Cheval Available" numFmtId="0">
      <sharedItems containsString="0" containsBlank="1" containsNumber="1" containsInteger="1" minValue="1" maxValue="1"/>
    </cacheField>
    <cacheField name="Moat Available" numFmtId="0">
      <sharedItems containsString="0" containsBlank="1" containsNumber="1" containsInteger="1" minValue="1" maxValue="1"/>
    </cacheField>
    <cacheField name="Ramparts Available" numFmtId="0">
      <sharedItems containsString="0" containsBlank="1" containsNumber="1" containsInteger="1" minValue="1" maxValue="1"/>
    </cacheField>
    <cacheField name="Drawbridge Available" numFmtId="0">
      <sharedItems containsString="0" containsBlank="1" containsNumber="1" containsInteger="1" minValue="1" maxValue="1"/>
    </cacheField>
    <cacheField name="Sally Port Available" numFmtId="0">
      <sharedItems containsString="0" containsBlank="1" containsNumber="1" containsInteger="1" minValue="1" maxValue="1"/>
    </cacheField>
    <cacheField name="Rock Wall Available" numFmtId="0">
      <sharedItems containsString="0" containsBlank="1" containsNumber="1" containsInteger="1" minValue="1" maxValue="1"/>
    </cacheField>
    <cacheField name="Rough Terrain Available" numFmtId="0">
      <sharedItems containsString="0" containsBlank="1" containsNumber="1" containsInteger="1" minValue="1" maxValue="1"/>
    </cacheField>
    <cacheField name="Low Bar Available" numFmtId="0">
      <sharedItems containsSemiMixedTypes="0" containsString="0" containsNumber="1" containsInteger="1" minValue="1" maxValue="1"/>
    </cacheField>
    <cacheField name="Auto Reach Flag" numFmtId="0">
      <sharedItems containsSemiMixedTypes="0" containsString="0" containsNumber="1" containsInteger="1" minValue="0" maxValue="1"/>
    </cacheField>
    <cacheField name="Portcullis Auto Crossings" numFmtId="0">
      <sharedItems containsSemiMixedTypes="0" containsString="0" containsNumber="1" containsInteger="1" minValue="0" maxValue="1"/>
    </cacheField>
    <cacheField name="Cheval Auto Crossings" numFmtId="0">
      <sharedItems containsSemiMixedTypes="0" containsString="0" containsNumber="1" containsInteger="1" minValue="0" maxValue="1"/>
    </cacheField>
    <cacheField name="Moat Auto Crossings" numFmtId="0">
      <sharedItems containsSemiMixedTypes="0" containsString="0" containsNumber="1" containsInteger="1" minValue="0" maxValue="1"/>
    </cacheField>
    <cacheField name="Ramparts Auto Crossings" numFmtId="0">
      <sharedItems containsSemiMixedTypes="0" containsString="0" containsNumber="1" containsInteger="1" minValue="0" maxValue="1"/>
    </cacheField>
    <cacheField name="Drawbridge Auto Crossings" numFmtId="0">
      <sharedItems containsSemiMixedTypes="0" containsString="0" containsNumber="1" containsInteger="1" minValue="0" maxValue="1"/>
    </cacheField>
    <cacheField name="Sally Port Auto Crossings" numFmtId="0">
      <sharedItems containsSemiMixedTypes="0" containsString="0" containsNumber="1" containsInteger="1" minValue="0" maxValue="0"/>
    </cacheField>
    <cacheField name="Rock Wall Auto Crossings" numFmtId="0">
      <sharedItems containsSemiMixedTypes="0" containsString="0" containsNumber="1" containsInteger="1" minValue="0" maxValue="0"/>
    </cacheField>
    <cacheField name="Rough Terrain Auto Crossings" numFmtId="0">
      <sharedItems containsSemiMixedTypes="0" containsString="0" containsNumber="1" containsInteger="1" minValue="0" maxValue="0"/>
    </cacheField>
    <cacheField name="Low Bar Auto Crossings" numFmtId="0">
      <sharedItems containsSemiMixedTypes="0" containsString="0" containsNumber="1" containsInteger="1" minValue="0" maxValue="1"/>
    </cacheField>
    <cacheField name="Portcullis Teleop Crossings" numFmtId="0">
      <sharedItems containsSemiMixedTypes="0" containsString="0" containsNumber="1" containsInteger="1" minValue="0" maxValue="1"/>
    </cacheField>
    <cacheField name="Cheval Teleop Crossings" numFmtId="0">
      <sharedItems containsSemiMixedTypes="0" containsString="0" containsNumber="1" containsInteger="1" minValue="0" maxValue="3"/>
    </cacheField>
    <cacheField name="Moat Teleop Crossings" numFmtId="0">
      <sharedItems containsSemiMixedTypes="0" containsString="0" containsNumber="1" containsInteger="1" minValue="0" maxValue="4"/>
    </cacheField>
    <cacheField name="Ramparts Teleop Crossings" numFmtId="0">
      <sharedItems containsSemiMixedTypes="0" containsString="0" containsNumber="1" containsInteger="1" minValue="0" maxValue="4"/>
    </cacheField>
    <cacheField name="Drawbridge Teleop Crossings" numFmtId="0">
      <sharedItems containsSemiMixedTypes="0" containsString="0" containsNumber="1" containsInteger="1" minValue="0" maxValue="3"/>
    </cacheField>
    <cacheField name="Sally Port Teleop Crossings" numFmtId="0">
      <sharedItems containsSemiMixedTypes="0" containsString="0" containsNumber="1" containsInteger="1" minValue="0" maxValue="3"/>
    </cacheField>
    <cacheField name="Rock Wall Teleop Crossings" numFmtId="0">
      <sharedItems containsSemiMixedTypes="0" containsString="0" containsNumber="1" containsInteger="1" minValue="0" maxValue="4"/>
    </cacheField>
    <cacheField name="Rough Terrain Teleop Crossings" numFmtId="0">
      <sharedItems containsSemiMixedTypes="0" containsString="0" containsNumber="1" containsInteger="1" minValue="0" maxValue="3"/>
    </cacheField>
    <cacheField name="Low Bar Teleop Crossings" numFmtId="0">
      <sharedItems containsSemiMixedTypes="0" containsString="0" containsNumber="1" containsInteger="1" minValue="0" maxValue="5"/>
    </cacheField>
    <cacheField name="Cheval Scored Teleop Crossings" numFmtId="0">
      <sharedItems containsSemiMixedTypes="0" containsString="0" containsNumber="1" containsInteger="1" minValue="0" maxValue="15"/>
    </cacheField>
    <cacheField name="Moat Scored Teleop Crossings" numFmtId="0">
      <sharedItems containsSemiMixedTypes="0" containsString="0" containsNumber="1" containsInteger="1" minValue="0" maxValue="15"/>
    </cacheField>
    <cacheField name="Ramparts Scored Teleop Crossings" numFmtId="0">
      <sharedItems containsSemiMixedTypes="0" containsString="0" containsNumber="1" containsInteger="1" minValue="0" maxValue="15"/>
    </cacheField>
    <cacheField name="Drawbridge Scored Teleop Crossings" numFmtId="0">
      <sharedItems containsSemiMixedTypes="0" containsString="0" containsNumber="1" containsInteger="1" minValue="0" maxValue="15"/>
    </cacheField>
    <cacheField name="Sally Port Scored Teleop Crossings" numFmtId="0">
      <sharedItems containsSemiMixedTypes="0" containsString="0" containsNumber="1" containsInteger="1" minValue="0" maxValue="15"/>
    </cacheField>
    <cacheField name="Rock Wall Scored Teleop Crossings" numFmtId="0">
      <sharedItems containsSemiMixedTypes="0" containsString="0" containsNumber="1" containsInteger="1" minValue="0" maxValue="15"/>
    </cacheField>
    <cacheField name="Rough Terrain Scored Teleop Crossings" numFmtId="0">
      <sharedItems containsSemiMixedTypes="0" containsString="0" containsNumber="1" containsInteger="1" minValue="0" maxValue="15"/>
    </cacheField>
    <cacheField name="Low Bar Scored Teleop Crossings" numFmtId="0">
      <sharedItems containsSemiMixedTypes="0" containsString="0" containsNumber="1" containsInteger="1" minValue="0" maxValue="15"/>
    </cacheField>
    <cacheField name="Total Crossings" numFmtId="0">
      <sharedItems containsSemiMixedTypes="0" containsString="0" containsNumber="1" containsInteger="1" minValue="0" maxValue="13"/>
    </cacheField>
    <cacheField name="Challenge Flag" numFmtId="0">
      <sharedItems containsSemiMixedTypes="0" containsString="0" containsNumber="1" containsInteger="1" minValue="0" maxValue="1"/>
    </cacheField>
    <cacheField name="Climb Flag" numFmtId="0">
      <sharedItems containsSemiMixedTypes="0" containsString="0" containsNumber="1" containsInteger="1" minValue="0" maxValue="1"/>
    </cacheField>
    <cacheField name="Breach Flag" numFmtId="0">
      <sharedItems containsSemiMixedTypes="0" containsString="0" containsNumber="1" containsInteger="1" minValue="0" maxValue="1"/>
    </cacheField>
    <cacheField name="Capture Tower Flag" numFmtId="0">
      <sharedItems containsNonDate="0" containsString="0" containsBlank="1"/>
    </cacheField>
    <cacheField name="Breakdown Flag" numFmtId="0">
      <sharedItems containsSemiMixedTypes="0" containsString="0" containsNumber="1" containsInteger="1" minValue="0" maxValue="1"/>
    </cacheField>
    <cacheField name="Defense Flag" numFmtId="0">
      <sharedItems containsSemiMixedTypes="0" containsString="0" containsNumber="1" containsInteger="1" minValue="0" maxValue="1"/>
    </cacheField>
    <cacheField name="Climb or Challenge Flag" numFmtId="0">
      <sharedItems containsSemiMixedTypes="0" containsString="0" containsNumber="1" containsInteger="1" minValue="0" maxValue="1"/>
    </cacheField>
    <cacheField name="High Goal Score" numFmtId="0">
      <sharedItems containsSemiMixedTypes="0" containsString="0" containsNumber="1" containsInteger="1" minValue="0" maxValue="25"/>
    </cacheField>
    <cacheField name="Low Goal Score" numFmtId="0">
      <sharedItems containsSemiMixedTypes="0" containsString="0" containsNumber="1" containsInteger="1" minValue="0" maxValue="17"/>
    </cacheField>
    <cacheField name="Total Goal Score" numFmtId="0">
      <sharedItems containsSemiMixedTypes="0" containsString="0" containsNumber="1" containsInteger="1" minValue="0" maxValue="33"/>
    </cacheField>
    <cacheField name="Total Goals" numFmtId="0">
      <sharedItems containsSemiMixedTypes="0" containsString="0" containsNumber="1" containsInteger="1" minValue="0" maxValue="7"/>
    </cacheField>
    <cacheField name="Total Auto Score" numFmtId="0">
      <sharedItems containsSemiMixedTypes="0" containsString="0" containsNumber="1" containsInteger="1" minValue="0" maxValue="10"/>
    </cacheField>
    <cacheField name="Crossing Score" numFmtId="0">
      <sharedItems containsSemiMixedTypes="0" containsString="0" containsNumber="1" containsInteger="1" minValue="0" maxValue="65"/>
    </cacheField>
    <cacheField name="Challenge Score" numFmtId="0">
      <sharedItems containsSemiMixedTypes="0" containsString="0" containsNumber="1" containsInteger="1" minValue="0" maxValue="5"/>
    </cacheField>
    <cacheField name="Climb Score" numFmtId="0">
      <sharedItems containsSemiMixedTypes="0" containsString="0" containsNumber="1" containsInteger="1" minValue="0" maxValue="15"/>
    </cacheField>
    <cacheField name="Total Score" numFmtId="0">
      <sharedItems containsSemiMixedTypes="0" containsString="0" containsNumber="1" containsInteger="1" minValue="5" maxValue="98"/>
    </cacheField>
    <cacheField name="Persona" numFmtId="0">
      <sharedItems containsSemiMixedTypes="0" containsString="0" containsNumber="1" containsInteger="1" minValue="1" maxValue="4"/>
    </cacheField>
    <cacheField name="Auto Crossing Test Generator" numFmtId="0">
      <sharedItems containsSemiMixedTypes="0" containsString="0" containsNumber="1" containsInteger="1" minValue="0" maxValue="9"/>
    </cacheField>
    <cacheField name="Low Goal Low" numFmtId="0">
      <sharedItems containsSemiMixedTypes="0" containsString="0" containsNumber="1" containsInteger="1" minValue="0" maxValue="4"/>
    </cacheField>
    <cacheField name="Low Goal High" numFmtId="1">
      <sharedItems containsSemiMixedTypes="0" containsString="0" containsNumber="1" containsInteger="1" minValue="0" maxValue="6"/>
    </cacheField>
    <cacheField name="High Goal Low" numFmtId="1">
      <sharedItems containsSemiMixedTypes="0" containsString="0" containsNumber="1" containsInteger="1" minValue="0" maxValue="1"/>
    </cacheField>
    <cacheField name="High Goal High" numFmtId="1">
      <sharedItems containsSemiMixedTypes="0" containsString="0" containsNumber="1" containsInteger="1" minValue="0" maxValue="4"/>
    </cacheField>
    <cacheField name="Portcullis High" numFmtId="1">
      <sharedItems containsSemiMixedTypes="0" containsString="0" containsNumber="1" containsInteger="1" minValue="0" maxValue="3"/>
    </cacheField>
    <cacheField name="Cheval High" numFmtId="1">
      <sharedItems containsSemiMixedTypes="0" containsString="0" containsNumber="1" containsInteger="1" minValue="0" maxValue="3"/>
    </cacheField>
    <cacheField name="Moat High" numFmtId="1">
      <sharedItems containsSemiMixedTypes="0" containsString="0" containsNumber="1" containsInteger="1" minValue="2" maxValue="4"/>
    </cacheField>
    <cacheField name="Ramparts High" numFmtId="1">
      <sharedItems containsSemiMixedTypes="0" containsString="0" containsNumber="1" containsInteger="1" minValue="2" maxValue="4"/>
    </cacheField>
    <cacheField name="Drawbridge High" numFmtId="1">
      <sharedItems containsSemiMixedTypes="0" containsString="0" containsNumber="1" containsInteger="1" minValue="0" maxValue="3"/>
    </cacheField>
    <cacheField name="Sally Port High" numFmtId="1">
      <sharedItems containsSemiMixedTypes="0" containsString="0" containsNumber="1" containsInteger="1" minValue="0" maxValue="3"/>
    </cacheField>
    <cacheField name="Rock Wall High" numFmtId="1">
      <sharedItems containsSemiMixedTypes="0" containsString="0" containsNumber="1" containsInteger="1" minValue="2" maxValue="4"/>
    </cacheField>
    <cacheField name="Rough Terrain High" numFmtId="1">
      <sharedItems containsSemiMixedTypes="0" containsString="0" containsNumber="1" containsInteger="1" minValue="2" maxValue="4"/>
    </cacheField>
    <cacheField name="Low Bar High" numFmtId="1">
      <sharedItems containsSemiMixedTypes="0" containsString="0" containsNumber="1" containsInteger="1" minValue="2" maxValue="5"/>
    </cacheField>
    <cacheField name="Climber" numFmtId="1">
      <sharedItems containsSemiMixedTypes="0" containsString="0" containsNumber="1" containsInteger="1" minValue="0" maxValue="1"/>
    </cacheField>
    <cacheField name="Low Goal Team Average" numFmtId="0">
      <sharedItems containsSemiMixedTypes="0" containsString="0" containsNumber="1" minValue="0" maxValue="4.4000000000000004"/>
    </cacheField>
    <cacheField name="High Goal Team Average" numFmtId="0">
      <sharedItems containsSemiMixedTypes="0" containsString="0" containsNumber="1" minValue="0" maxValue="2.8"/>
    </cacheField>
    <cacheField name="Match Count" numFmtId="0">
      <sharedItems containsSemiMixedTypes="0" containsString="0" containsNumber="1" containsInteger="1" minValue="5" maxValue="6"/>
    </cacheField>
    <cacheField name="Portcullis Avail Count" numFmtId="0">
      <sharedItems containsSemiMixedTypes="0" containsString="0" containsNumber="1" containsInteger="1" minValue="0" maxValue="6"/>
    </cacheField>
    <cacheField name="Cheval Avail Count" numFmtId="0">
      <sharedItems containsSemiMixedTypes="0" containsString="0" containsNumber="1" containsInteger="1" minValue="0" maxValue="6"/>
    </cacheField>
    <cacheField name="Moat Avail Count" numFmtId="0">
      <sharedItems containsSemiMixedTypes="0" containsString="0" containsNumber="1" containsInteger="1" minValue="0" maxValue="6"/>
    </cacheField>
    <cacheField name="Ramparts Avail Count" numFmtId="0">
      <sharedItems containsSemiMixedTypes="0" containsString="0" containsNumber="1" containsInteger="1" minValue="0" maxValue="6"/>
    </cacheField>
    <cacheField name="Drawbridge HAvail Countigh6" numFmtId="0">
      <sharedItems containsSemiMixedTypes="0" containsString="0" containsNumber="1" containsInteger="1" minValue="2" maxValue="3"/>
    </cacheField>
    <cacheField name="Sally Port Avail Count" numFmtId="0">
      <sharedItems containsSemiMixedTypes="0" containsString="0" containsNumber="1" containsInteger="1" minValue="2" maxValue="3"/>
    </cacheField>
    <cacheField name="Rock Wall Avail Count" numFmtId="0">
      <sharedItems containsSemiMixedTypes="0" containsString="0" containsNumber="1" containsInteger="1" minValue="2" maxValue="3"/>
    </cacheField>
    <cacheField name="Rough Terrain Avail Count" numFmtId="0">
      <sharedItems containsSemiMixedTypes="0" containsString="0" containsNumber="1" containsInteger="1" minValue="2" maxValue="3"/>
    </cacheField>
    <cacheField name="Low Bar Avail Count" numFmtId="0">
      <sharedItems containsSemiMixedTypes="0" containsString="0" containsNumber="1" containsInteger="1" minValue="5" maxValue="6"/>
    </cacheField>
    <cacheField name="Portcullis Sum" numFmtId="0">
      <sharedItems containsSemiMixedTypes="0" containsString="0" containsNumber="1" containsInteger="1" minValue="0" maxValue="1"/>
    </cacheField>
    <cacheField name="Cheval Sum" numFmtId="0">
      <sharedItems containsSemiMixedTypes="0" containsString="0" containsNumber="1" containsInteger="1" minValue="0" maxValue="8"/>
    </cacheField>
    <cacheField name="Moat Sum" numFmtId="0">
      <sharedItems containsSemiMixedTypes="0" containsString="0" containsNumber="1" containsInteger="1" minValue="0" maxValue="9"/>
    </cacheField>
    <cacheField name="Ramparts Sum" numFmtId="0">
      <sharedItems containsSemiMixedTypes="0" containsString="0" containsNumber="1" containsInteger="1" minValue="0" maxValue="11"/>
    </cacheField>
    <cacheField name="Drawbridge Sum" numFmtId="0">
      <sharedItems containsSemiMixedTypes="0" containsString="0" containsNumber="1" containsInteger="1" minValue="0" maxValue="4"/>
    </cacheField>
    <cacheField name="Sally Port Sum" numFmtId="0">
      <sharedItems containsSemiMixedTypes="0" containsString="0" containsNumber="1" containsInteger="1" minValue="0" maxValue="9"/>
    </cacheField>
    <cacheField name="Rock Wall Sum" numFmtId="0">
      <sharedItems containsSemiMixedTypes="0" containsString="0" containsNumber="1" containsInteger="1" minValue="1" maxValue="7"/>
    </cacheField>
    <cacheField name="Rough Terrain Sum" numFmtId="0">
      <sharedItems containsSemiMixedTypes="0" containsString="0" containsNumber="1" containsInteger="1" minValue="0" maxValue="6"/>
    </cacheField>
    <cacheField name="Low Bar Sum" numFmtId="0">
      <sharedItems containsSemiMixedTypes="0" containsString="0" containsNumber="1" containsInteger="1" minValue="3" maxValue="20"/>
    </cacheField>
    <cacheField name="Portcullis Average" numFmtId="0">
      <sharedItems containsSemiMixedTypes="0" containsString="0" containsNumber="1" minValue="0" maxValue="0.5"/>
    </cacheField>
    <cacheField name="Cheval Average" numFmtId="0">
      <sharedItems containsSemiMixedTypes="0" containsString="0" containsNumber="1" minValue="0" maxValue="2"/>
    </cacheField>
    <cacheField name="Moat Average" numFmtId="0">
      <sharedItems containsSemiMixedTypes="0" containsString="0" containsNumber="1" minValue="0" maxValue="2.5"/>
    </cacheField>
    <cacheField name="Ramparts Average" numFmtId="0">
      <sharedItems containsSemiMixedTypes="0" containsString="0" containsNumber="1" minValue="0" maxValue="3.67"/>
    </cacheField>
    <cacheField name="Drawbridge Average" numFmtId="0">
      <sharedItems containsSemiMixedTypes="0" containsString="0" containsNumber="1" minValue="0" maxValue="2"/>
    </cacheField>
    <cacheField name="Sally Port Average" numFmtId="0">
      <sharedItems containsSemiMixedTypes="0" containsString="0" containsNumber="1" minValue="0" maxValue="3"/>
    </cacheField>
    <cacheField name="Rock Wall Average" numFmtId="0">
      <sharedItems containsSemiMixedTypes="0" containsString="0" containsNumber="1" minValue="0.33" maxValue="2.33"/>
    </cacheField>
    <cacheField name="Rough Terrain Crossing Average" numFmtId="0">
      <sharedItems containsSemiMixedTypes="0" containsString="0" containsNumber="1" minValue="0" maxValue="2"/>
    </cacheField>
    <cacheField name="Low Bar Average" numFmtId="0">
      <sharedItems containsSemiMixedTypes="0" containsString="0" containsNumber="1" minValue="0" maxValue="3.33"/>
    </cacheField>
    <cacheField name="Max Goal Score" numFmtId="0">
      <sharedItems containsSemiMixedTypes="0" containsString="0" containsNumber="1" containsInteger="1" minValue="0" maxValue="7"/>
    </cacheField>
    <cacheField name="Average Team Score" numFmtId="0">
      <sharedItems containsSemiMixedTypes="0" containsString="0" containsNumber="1" minValue="19.5" maxValue="70.8"/>
    </cacheField>
    <cacheField name="Average Climb or Challenge" numFmtId="0">
      <sharedItems containsSemiMixedTypes="0" containsString="0" containsNumber="1" minValue="0.67"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2">
  <r>
    <s v="Q"/>
    <x v="0"/>
    <x v="0"/>
    <x v="0"/>
    <s v="A"/>
    <n v="0"/>
    <n v="0"/>
    <n v="0"/>
    <n v="0"/>
    <n v="1"/>
    <m/>
    <m/>
    <n v="1"/>
    <n v="1"/>
    <m/>
    <m/>
    <n v="1"/>
    <n v="1"/>
    <n v="0"/>
    <n v="0"/>
    <n v="0"/>
    <n v="0"/>
    <n v="0"/>
    <n v="0"/>
    <n v="0"/>
    <n v="0"/>
    <n v="0"/>
    <n v="0"/>
    <n v="0"/>
    <n v="0"/>
    <n v="0"/>
    <n v="0"/>
    <n v="0"/>
    <n v="0"/>
    <n v="0"/>
    <n v="0"/>
    <n v="0"/>
    <n v="0"/>
    <n v="0"/>
    <n v="0"/>
    <n v="0"/>
    <n v="0"/>
    <n v="0"/>
    <n v="0"/>
    <n v="0"/>
    <n v="0"/>
    <n v="1"/>
    <n v="0"/>
    <n v="0"/>
    <m/>
    <n v="0"/>
    <n v="1"/>
    <n v="1"/>
    <n v="0"/>
    <n v="0"/>
    <n v="0"/>
    <n v="0"/>
    <n v="0"/>
    <n v="0"/>
    <n v="5"/>
    <n v="0"/>
    <n v="5"/>
    <n v="1"/>
    <n v="0"/>
    <n v="0"/>
    <n v="0"/>
    <n v="0"/>
    <n v="0"/>
    <n v="0"/>
    <n v="0"/>
    <n v="2"/>
    <n v="2"/>
    <n v="0"/>
    <n v="0"/>
    <n v="2"/>
    <n v="2"/>
    <n v="2"/>
    <n v="0"/>
    <n v="0"/>
    <n v="0"/>
    <n v="6"/>
    <n v="6"/>
    <n v="0"/>
    <n v="0"/>
    <n v="6"/>
    <n v="3"/>
    <n v="3"/>
    <n v="3"/>
    <n v="3"/>
    <n v="6"/>
    <n v="0"/>
    <n v="0"/>
    <n v="0"/>
    <n v="5"/>
    <n v="0"/>
    <n v="0"/>
    <n v="4"/>
    <n v="0"/>
    <n v="6"/>
    <n v="0"/>
    <n v="0"/>
    <n v="0"/>
    <n v="0.83"/>
    <n v="0"/>
    <n v="0"/>
    <n v="1.33"/>
    <n v="0"/>
    <n v="1"/>
    <n v="0"/>
    <n v="19.5"/>
    <n v="0.67"/>
  </r>
  <r>
    <s v="Q"/>
    <x v="1"/>
    <x v="0"/>
    <x v="0"/>
    <s v="F"/>
    <n v="0"/>
    <n v="0"/>
    <n v="0"/>
    <n v="0"/>
    <n v="1"/>
    <m/>
    <m/>
    <n v="1"/>
    <m/>
    <n v="1"/>
    <n v="1"/>
    <m/>
    <n v="1"/>
    <n v="0"/>
    <n v="0"/>
    <n v="0"/>
    <n v="1"/>
    <n v="0"/>
    <n v="0"/>
    <n v="0"/>
    <n v="0"/>
    <n v="0"/>
    <n v="0"/>
    <n v="0"/>
    <n v="0"/>
    <n v="0"/>
    <n v="1"/>
    <n v="0"/>
    <n v="0"/>
    <n v="2"/>
    <n v="0"/>
    <n v="2"/>
    <n v="0"/>
    <n v="0"/>
    <n v="5"/>
    <n v="0"/>
    <n v="0"/>
    <n v="10"/>
    <n v="0"/>
    <n v="10"/>
    <n v="5"/>
    <n v="1"/>
    <n v="0"/>
    <n v="0"/>
    <m/>
    <n v="0"/>
    <n v="0"/>
    <n v="1"/>
    <n v="0"/>
    <n v="0"/>
    <n v="0"/>
    <n v="0"/>
    <n v="10"/>
    <n v="25"/>
    <n v="5"/>
    <n v="0"/>
    <n v="40"/>
    <n v="1"/>
    <n v="3"/>
    <n v="0"/>
    <n v="0"/>
    <n v="0"/>
    <n v="0"/>
    <n v="0"/>
    <n v="0"/>
    <n v="2"/>
    <n v="2"/>
    <n v="0"/>
    <n v="0"/>
    <n v="2"/>
    <n v="2"/>
    <n v="2"/>
    <n v="0"/>
    <n v="0"/>
    <n v="0"/>
    <n v="6"/>
    <n v="6"/>
    <n v="0"/>
    <n v="0"/>
    <n v="6"/>
    <n v="3"/>
    <n v="3"/>
    <n v="3"/>
    <n v="3"/>
    <n v="6"/>
    <n v="0"/>
    <n v="0"/>
    <n v="0"/>
    <n v="5"/>
    <n v="0"/>
    <n v="0"/>
    <n v="4"/>
    <n v="0"/>
    <n v="6"/>
    <n v="0"/>
    <n v="0"/>
    <n v="0"/>
    <n v="0.83"/>
    <n v="0"/>
    <n v="0"/>
    <n v="1.33"/>
    <n v="0"/>
    <n v="1"/>
    <n v="0"/>
    <n v="19.5"/>
    <n v="0.67"/>
  </r>
  <r>
    <s v="Q"/>
    <x v="2"/>
    <x v="0"/>
    <x v="0"/>
    <s v="C"/>
    <n v="0"/>
    <n v="0"/>
    <n v="0"/>
    <n v="0"/>
    <n v="1"/>
    <m/>
    <m/>
    <n v="1"/>
    <n v="1"/>
    <m/>
    <m/>
    <n v="1"/>
    <n v="1"/>
    <n v="0"/>
    <n v="1"/>
    <n v="0"/>
    <n v="0"/>
    <n v="0"/>
    <n v="0"/>
    <n v="0"/>
    <n v="0"/>
    <n v="0"/>
    <n v="0"/>
    <n v="0"/>
    <n v="0"/>
    <n v="0"/>
    <n v="2"/>
    <n v="0"/>
    <n v="0"/>
    <n v="0"/>
    <n v="0"/>
    <n v="1"/>
    <n v="0"/>
    <n v="0"/>
    <n v="10"/>
    <n v="0"/>
    <n v="0"/>
    <n v="0"/>
    <n v="0"/>
    <n v="5"/>
    <n v="3"/>
    <n v="1"/>
    <n v="0"/>
    <n v="0"/>
    <m/>
    <n v="0"/>
    <n v="0"/>
    <n v="1"/>
    <n v="0"/>
    <n v="0"/>
    <n v="0"/>
    <n v="0"/>
    <n v="10"/>
    <n v="15"/>
    <n v="5"/>
    <n v="0"/>
    <n v="30"/>
    <n v="1"/>
    <n v="1"/>
    <n v="0"/>
    <n v="0"/>
    <n v="0"/>
    <n v="0"/>
    <n v="0"/>
    <n v="0"/>
    <n v="2"/>
    <n v="2"/>
    <n v="0"/>
    <n v="0"/>
    <n v="2"/>
    <n v="2"/>
    <n v="2"/>
    <n v="0"/>
    <n v="0"/>
    <n v="0"/>
    <n v="6"/>
    <n v="6"/>
    <n v="0"/>
    <n v="0"/>
    <n v="6"/>
    <n v="3"/>
    <n v="3"/>
    <n v="3"/>
    <n v="3"/>
    <n v="6"/>
    <n v="0"/>
    <n v="0"/>
    <n v="0"/>
    <n v="5"/>
    <n v="0"/>
    <n v="0"/>
    <n v="4"/>
    <n v="0"/>
    <n v="6"/>
    <n v="0"/>
    <n v="0"/>
    <n v="0"/>
    <n v="0.83"/>
    <n v="0"/>
    <n v="0"/>
    <n v="1.33"/>
    <n v="0"/>
    <n v="1"/>
    <n v="0"/>
    <n v="19.5"/>
    <n v="0.67"/>
  </r>
  <r>
    <s v="Q"/>
    <x v="3"/>
    <x v="0"/>
    <x v="1"/>
    <s v="H"/>
    <n v="0"/>
    <n v="0"/>
    <n v="0"/>
    <n v="0"/>
    <n v="1"/>
    <m/>
    <m/>
    <n v="1"/>
    <m/>
    <n v="1"/>
    <n v="1"/>
    <m/>
    <n v="1"/>
    <n v="1"/>
    <n v="0"/>
    <n v="0"/>
    <n v="0"/>
    <n v="0"/>
    <n v="0"/>
    <n v="0"/>
    <n v="0"/>
    <n v="0"/>
    <n v="0"/>
    <n v="0"/>
    <n v="0"/>
    <n v="0"/>
    <n v="0"/>
    <n v="0"/>
    <n v="0"/>
    <n v="2"/>
    <n v="0"/>
    <n v="0"/>
    <n v="0"/>
    <n v="0"/>
    <n v="0"/>
    <n v="0"/>
    <n v="0"/>
    <n v="10"/>
    <n v="0"/>
    <n v="0"/>
    <n v="2"/>
    <n v="0"/>
    <n v="0"/>
    <n v="0"/>
    <m/>
    <n v="0"/>
    <n v="0"/>
    <n v="0"/>
    <n v="0"/>
    <n v="0"/>
    <n v="0"/>
    <n v="0"/>
    <n v="2"/>
    <n v="10"/>
    <n v="0"/>
    <n v="0"/>
    <n v="12"/>
    <n v="1"/>
    <n v="0"/>
    <n v="0"/>
    <n v="0"/>
    <n v="0"/>
    <n v="0"/>
    <n v="0"/>
    <n v="0"/>
    <n v="2"/>
    <n v="2"/>
    <n v="0"/>
    <n v="0"/>
    <n v="2"/>
    <n v="2"/>
    <n v="2"/>
    <n v="0"/>
    <n v="0"/>
    <n v="0"/>
    <n v="6"/>
    <n v="6"/>
    <n v="0"/>
    <n v="0"/>
    <n v="6"/>
    <n v="3"/>
    <n v="3"/>
    <n v="3"/>
    <n v="3"/>
    <n v="6"/>
    <n v="0"/>
    <n v="0"/>
    <n v="0"/>
    <n v="5"/>
    <n v="0"/>
    <n v="0"/>
    <n v="4"/>
    <n v="0"/>
    <n v="6"/>
    <n v="0"/>
    <n v="0"/>
    <n v="0"/>
    <n v="0.83"/>
    <n v="0"/>
    <n v="0"/>
    <n v="1.33"/>
    <n v="0"/>
    <n v="1"/>
    <n v="0"/>
    <n v="19.5"/>
    <n v="0.67"/>
  </r>
  <r>
    <s v="Q"/>
    <x v="4"/>
    <x v="0"/>
    <x v="1"/>
    <s v="E"/>
    <n v="0"/>
    <n v="0"/>
    <n v="0"/>
    <n v="0"/>
    <n v="1"/>
    <m/>
    <m/>
    <n v="1"/>
    <n v="1"/>
    <m/>
    <m/>
    <n v="1"/>
    <n v="1"/>
    <n v="0"/>
    <n v="0"/>
    <n v="0"/>
    <n v="0"/>
    <n v="0"/>
    <n v="0"/>
    <n v="0"/>
    <n v="0"/>
    <n v="0"/>
    <n v="0"/>
    <n v="0"/>
    <n v="0"/>
    <n v="0"/>
    <n v="0"/>
    <n v="0"/>
    <n v="0"/>
    <n v="0"/>
    <n v="0"/>
    <n v="2"/>
    <n v="0"/>
    <n v="0"/>
    <n v="0"/>
    <n v="0"/>
    <n v="0"/>
    <n v="0"/>
    <n v="0"/>
    <n v="10"/>
    <n v="2"/>
    <n v="0"/>
    <n v="0"/>
    <n v="0"/>
    <m/>
    <n v="0"/>
    <n v="0"/>
    <n v="0"/>
    <n v="0"/>
    <n v="0"/>
    <n v="0"/>
    <n v="0"/>
    <n v="0"/>
    <n v="10"/>
    <n v="0"/>
    <n v="0"/>
    <n v="10"/>
    <n v="1"/>
    <n v="0"/>
    <n v="0"/>
    <n v="0"/>
    <n v="0"/>
    <n v="0"/>
    <n v="0"/>
    <n v="0"/>
    <n v="2"/>
    <n v="2"/>
    <n v="0"/>
    <n v="0"/>
    <n v="2"/>
    <n v="2"/>
    <n v="2"/>
    <n v="0"/>
    <n v="0"/>
    <n v="0"/>
    <n v="6"/>
    <n v="6"/>
    <n v="0"/>
    <n v="0"/>
    <n v="6"/>
    <n v="3"/>
    <n v="3"/>
    <n v="3"/>
    <n v="3"/>
    <n v="6"/>
    <n v="0"/>
    <n v="0"/>
    <n v="0"/>
    <n v="5"/>
    <n v="0"/>
    <n v="0"/>
    <n v="4"/>
    <n v="0"/>
    <n v="6"/>
    <n v="0"/>
    <n v="0"/>
    <n v="0"/>
    <n v="0.83"/>
    <n v="0"/>
    <n v="0"/>
    <n v="1.33"/>
    <n v="0"/>
    <n v="1"/>
    <n v="0"/>
    <n v="19.5"/>
    <n v="0.67"/>
  </r>
  <r>
    <s v="Q"/>
    <x v="5"/>
    <x v="0"/>
    <x v="1"/>
    <s v="B"/>
    <n v="0"/>
    <n v="0"/>
    <n v="0"/>
    <n v="0"/>
    <n v="1"/>
    <m/>
    <m/>
    <n v="1"/>
    <m/>
    <n v="1"/>
    <n v="1"/>
    <m/>
    <n v="1"/>
    <n v="0"/>
    <n v="0"/>
    <n v="0"/>
    <n v="0"/>
    <n v="0"/>
    <n v="0"/>
    <n v="0"/>
    <n v="0"/>
    <n v="0"/>
    <n v="0"/>
    <n v="0"/>
    <n v="0"/>
    <n v="0"/>
    <n v="2"/>
    <n v="0"/>
    <n v="0"/>
    <n v="0"/>
    <n v="0"/>
    <n v="1"/>
    <n v="0"/>
    <n v="0"/>
    <n v="10"/>
    <n v="0"/>
    <n v="0"/>
    <n v="0"/>
    <n v="0"/>
    <n v="5"/>
    <n v="3"/>
    <n v="1"/>
    <n v="0"/>
    <n v="0"/>
    <m/>
    <n v="0"/>
    <n v="0"/>
    <n v="1"/>
    <n v="0"/>
    <n v="0"/>
    <n v="0"/>
    <n v="0"/>
    <n v="0"/>
    <n v="15"/>
    <n v="5"/>
    <n v="0"/>
    <n v="20"/>
    <n v="1"/>
    <n v="0"/>
    <n v="0"/>
    <n v="0"/>
    <n v="0"/>
    <n v="0"/>
    <n v="0"/>
    <n v="0"/>
    <n v="2"/>
    <n v="2"/>
    <n v="0"/>
    <n v="0"/>
    <n v="2"/>
    <n v="2"/>
    <n v="2"/>
    <n v="0"/>
    <n v="0"/>
    <n v="0"/>
    <n v="6"/>
    <n v="6"/>
    <n v="0"/>
    <n v="0"/>
    <n v="6"/>
    <n v="3"/>
    <n v="3"/>
    <n v="3"/>
    <n v="3"/>
    <n v="6"/>
    <n v="0"/>
    <n v="0"/>
    <n v="0"/>
    <n v="5"/>
    <n v="0"/>
    <n v="0"/>
    <n v="4"/>
    <n v="0"/>
    <n v="6"/>
    <n v="0"/>
    <n v="0"/>
    <n v="0"/>
    <n v="0.83"/>
    <n v="0"/>
    <n v="0"/>
    <n v="1.33"/>
    <n v="0"/>
    <n v="1"/>
    <n v="0"/>
    <n v="19.5"/>
    <n v="0.67"/>
  </r>
  <r>
    <s v="Q"/>
    <x v="0"/>
    <x v="1"/>
    <x v="0"/>
    <s v="B"/>
    <n v="0"/>
    <n v="0"/>
    <n v="0"/>
    <n v="3"/>
    <n v="1"/>
    <m/>
    <m/>
    <n v="1"/>
    <n v="1"/>
    <m/>
    <m/>
    <n v="1"/>
    <n v="1"/>
    <n v="0"/>
    <n v="0"/>
    <n v="0"/>
    <n v="0"/>
    <n v="0"/>
    <n v="0"/>
    <n v="0"/>
    <n v="0"/>
    <n v="0"/>
    <n v="0"/>
    <n v="0"/>
    <n v="0"/>
    <n v="0"/>
    <n v="2"/>
    <n v="0"/>
    <n v="0"/>
    <n v="0"/>
    <n v="0"/>
    <n v="0"/>
    <n v="0"/>
    <n v="0"/>
    <n v="10"/>
    <n v="0"/>
    <n v="0"/>
    <n v="0"/>
    <n v="0"/>
    <n v="0"/>
    <n v="2"/>
    <n v="1"/>
    <n v="0"/>
    <n v="0"/>
    <m/>
    <n v="0"/>
    <n v="0"/>
    <n v="1"/>
    <n v="0"/>
    <n v="6"/>
    <n v="6"/>
    <n v="3"/>
    <n v="0"/>
    <n v="10"/>
    <n v="5"/>
    <n v="0"/>
    <n v="21"/>
    <n v="2"/>
    <n v="0"/>
    <n v="1"/>
    <n v="4"/>
    <n v="0"/>
    <n v="0"/>
    <n v="0"/>
    <n v="0"/>
    <n v="2"/>
    <n v="2"/>
    <n v="0"/>
    <n v="0"/>
    <n v="2"/>
    <n v="2"/>
    <n v="2"/>
    <n v="1"/>
    <n v="2.83"/>
    <n v="0"/>
    <n v="6"/>
    <n v="5"/>
    <n v="1"/>
    <n v="1"/>
    <n v="5"/>
    <n v="3"/>
    <n v="3"/>
    <n v="3"/>
    <n v="3"/>
    <n v="6"/>
    <n v="0"/>
    <n v="0"/>
    <n v="1"/>
    <n v="7"/>
    <n v="0"/>
    <n v="0"/>
    <n v="6"/>
    <n v="0"/>
    <n v="5"/>
    <n v="0"/>
    <n v="0"/>
    <n v="1"/>
    <n v="1.4"/>
    <n v="0"/>
    <n v="0"/>
    <n v="2"/>
    <n v="0"/>
    <n v="0.83"/>
    <n v="4"/>
    <n v="30.5"/>
    <n v="1"/>
  </r>
  <r>
    <s v="Q"/>
    <x v="1"/>
    <x v="1"/>
    <x v="0"/>
    <s v="G"/>
    <n v="0"/>
    <n v="0"/>
    <n v="0"/>
    <n v="3"/>
    <n v="1"/>
    <m/>
    <m/>
    <n v="1"/>
    <m/>
    <n v="1"/>
    <n v="1"/>
    <m/>
    <n v="1"/>
    <n v="0"/>
    <n v="0"/>
    <n v="0"/>
    <n v="0"/>
    <n v="0"/>
    <n v="0"/>
    <n v="0"/>
    <n v="0"/>
    <n v="0"/>
    <n v="0"/>
    <n v="0"/>
    <n v="0"/>
    <n v="0"/>
    <n v="1"/>
    <n v="0"/>
    <n v="0"/>
    <n v="2"/>
    <n v="0"/>
    <n v="2"/>
    <n v="0"/>
    <n v="0"/>
    <n v="5"/>
    <n v="0"/>
    <n v="0"/>
    <n v="10"/>
    <n v="0"/>
    <n v="10"/>
    <n v="5"/>
    <n v="1"/>
    <n v="0"/>
    <n v="0"/>
    <m/>
    <n v="0"/>
    <n v="1"/>
    <n v="1"/>
    <n v="0"/>
    <n v="6"/>
    <n v="6"/>
    <n v="3"/>
    <n v="0"/>
    <n v="25"/>
    <n v="5"/>
    <n v="0"/>
    <n v="36"/>
    <n v="2"/>
    <n v="2"/>
    <n v="1"/>
    <n v="4"/>
    <n v="0"/>
    <n v="0"/>
    <n v="0"/>
    <n v="0"/>
    <n v="2"/>
    <n v="2"/>
    <n v="0"/>
    <n v="0"/>
    <n v="2"/>
    <n v="2"/>
    <n v="2"/>
    <n v="1"/>
    <n v="2.83"/>
    <n v="0"/>
    <n v="6"/>
    <n v="5"/>
    <n v="1"/>
    <n v="1"/>
    <n v="5"/>
    <n v="3"/>
    <n v="3"/>
    <n v="3"/>
    <n v="3"/>
    <n v="6"/>
    <n v="0"/>
    <n v="0"/>
    <n v="1"/>
    <n v="7"/>
    <n v="0"/>
    <n v="0"/>
    <n v="6"/>
    <n v="0"/>
    <n v="5"/>
    <n v="0"/>
    <n v="0"/>
    <n v="1"/>
    <n v="1.4"/>
    <n v="0"/>
    <n v="0"/>
    <n v="2"/>
    <n v="0"/>
    <n v="0.83"/>
    <n v="4"/>
    <n v="30.5"/>
    <n v="1"/>
  </r>
  <r>
    <s v="Q"/>
    <x v="2"/>
    <x v="1"/>
    <x v="1"/>
    <s v="D"/>
    <n v="0"/>
    <n v="0"/>
    <n v="0"/>
    <n v="4"/>
    <n v="1"/>
    <m/>
    <m/>
    <n v="1"/>
    <n v="1"/>
    <m/>
    <m/>
    <n v="1"/>
    <n v="1"/>
    <n v="1"/>
    <n v="0"/>
    <n v="0"/>
    <n v="0"/>
    <n v="0"/>
    <n v="0"/>
    <n v="0"/>
    <n v="0"/>
    <n v="0"/>
    <n v="0"/>
    <n v="0"/>
    <n v="0"/>
    <n v="0"/>
    <n v="0"/>
    <n v="0"/>
    <n v="0"/>
    <n v="0"/>
    <n v="0"/>
    <n v="1"/>
    <n v="0"/>
    <n v="0"/>
    <n v="0"/>
    <n v="0"/>
    <n v="0"/>
    <n v="0"/>
    <n v="0"/>
    <n v="5"/>
    <n v="1"/>
    <n v="0"/>
    <n v="1"/>
    <n v="0"/>
    <m/>
    <n v="0"/>
    <n v="1"/>
    <n v="1"/>
    <n v="0"/>
    <n v="8"/>
    <n v="8"/>
    <n v="4"/>
    <n v="2"/>
    <n v="5"/>
    <n v="0"/>
    <n v="15"/>
    <n v="30"/>
    <n v="2"/>
    <n v="0"/>
    <n v="1"/>
    <n v="4"/>
    <n v="0"/>
    <n v="0"/>
    <n v="0"/>
    <n v="0"/>
    <n v="2"/>
    <n v="2"/>
    <n v="0"/>
    <n v="0"/>
    <n v="2"/>
    <n v="2"/>
    <n v="2"/>
    <n v="1"/>
    <n v="2.83"/>
    <n v="0"/>
    <n v="6"/>
    <n v="5"/>
    <n v="1"/>
    <n v="1"/>
    <n v="5"/>
    <n v="3"/>
    <n v="3"/>
    <n v="3"/>
    <n v="3"/>
    <n v="6"/>
    <n v="0"/>
    <n v="0"/>
    <n v="1"/>
    <n v="7"/>
    <n v="0"/>
    <n v="0"/>
    <n v="6"/>
    <n v="0"/>
    <n v="5"/>
    <n v="0"/>
    <n v="0"/>
    <n v="1"/>
    <n v="1.4"/>
    <n v="0"/>
    <n v="0"/>
    <n v="2"/>
    <n v="0"/>
    <n v="0.83"/>
    <n v="4"/>
    <n v="30.5"/>
    <n v="1"/>
  </r>
  <r>
    <s v="Q"/>
    <x v="3"/>
    <x v="1"/>
    <x v="1"/>
    <s v="A"/>
    <n v="0"/>
    <n v="0"/>
    <n v="0"/>
    <n v="2"/>
    <n v="1"/>
    <m/>
    <m/>
    <n v="1"/>
    <m/>
    <n v="1"/>
    <n v="1"/>
    <m/>
    <n v="1"/>
    <n v="1"/>
    <n v="0"/>
    <n v="0"/>
    <n v="0"/>
    <n v="0"/>
    <n v="0"/>
    <n v="0"/>
    <n v="0"/>
    <n v="0"/>
    <n v="0"/>
    <n v="0"/>
    <n v="0"/>
    <n v="0"/>
    <n v="2"/>
    <n v="0"/>
    <n v="0"/>
    <n v="2"/>
    <n v="0"/>
    <n v="0"/>
    <n v="0"/>
    <n v="0"/>
    <n v="10"/>
    <n v="0"/>
    <n v="0"/>
    <n v="10"/>
    <n v="0"/>
    <n v="0"/>
    <n v="4"/>
    <n v="1"/>
    <n v="0"/>
    <n v="0"/>
    <m/>
    <n v="0"/>
    <n v="0"/>
    <n v="1"/>
    <n v="0"/>
    <n v="4"/>
    <n v="4"/>
    <n v="2"/>
    <n v="2"/>
    <n v="20"/>
    <n v="5"/>
    <n v="0"/>
    <n v="31"/>
    <n v="2"/>
    <n v="0"/>
    <n v="1"/>
    <n v="4"/>
    <n v="0"/>
    <n v="0"/>
    <n v="0"/>
    <n v="0"/>
    <n v="2"/>
    <n v="2"/>
    <n v="0"/>
    <n v="0"/>
    <n v="2"/>
    <n v="2"/>
    <n v="2"/>
    <n v="1"/>
    <n v="2.83"/>
    <n v="0"/>
    <n v="6"/>
    <n v="5"/>
    <n v="1"/>
    <n v="1"/>
    <n v="5"/>
    <n v="3"/>
    <n v="3"/>
    <n v="3"/>
    <n v="3"/>
    <n v="6"/>
    <n v="0"/>
    <n v="0"/>
    <n v="1"/>
    <n v="7"/>
    <n v="0"/>
    <n v="0"/>
    <n v="6"/>
    <n v="0"/>
    <n v="5"/>
    <n v="0"/>
    <n v="0"/>
    <n v="1"/>
    <n v="1.4"/>
    <n v="0"/>
    <n v="0"/>
    <n v="2"/>
    <n v="0"/>
    <n v="0.83"/>
    <n v="4"/>
    <n v="30.5"/>
    <n v="1"/>
  </r>
  <r>
    <s v="Q"/>
    <x v="4"/>
    <x v="1"/>
    <x v="1"/>
    <s v="F"/>
    <n v="0"/>
    <n v="0"/>
    <n v="0"/>
    <n v="4"/>
    <n v="1"/>
    <m/>
    <m/>
    <n v="1"/>
    <n v="1"/>
    <m/>
    <m/>
    <n v="1"/>
    <n v="1"/>
    <n v="0"/>
    <n v="0"/>
    <n v="1"/>
    <n v="0"/>
    <n v="0"/>
    <n v="0"/>
    <n v="0"/>
    <n v="0"/>
    <n v="0"/>
    <n v="0"/>
    <n v="0"/>
    <n v="0"/>
    <n v="0"/>
    <n v="2"/>
    <n v="0"/>
    <n v="0"/>
    <n v="0"/>
    <n v="0"/>
    <n v="1"/>
    <n v="0"/>
    <n v="0"/>
    <n v="10"/>
    <n v="0"/>
    <n v="0"/>
    <n v="0"/>
    <n v="0"/>
    <n v="5"/>
    <n v="3"/>
    <n v="1"/>
    <n v="0"/>
    <n v="0"/>
    <m/>
    <n v="0"/>
    <n v="0"/>
    <n v="1"/>
    <n v="0"/>
    <n v="8"/>
    <n v="8"/>
    <n v="4"/>
    <n v="10"/>
    <n v="15"/>
    <n v="5"/>
    <n v="0"/>
    <n v="38"/>
    <n v="2"/>
    <n v="2"/>
    <n v="4"/>
    <n v="4"/>
    <n v="0"/>
    <n v="0"/>
    <n v="0"/>
    <n v="0"/>
    <n v="2"/>
    <n v="2"/>
    <n v="0"/>
    <n v="0"/>
    <n v="2"/>
    <n v="2"/>
    <n v="2"/>
    <n v="1"/>
    <n v="2.83"/>
    <n v="0"/>
    <n v="6"/>
    <n v="5"/>
    <n v="1"/>
    <n v="1"/>
    <n v="5"/>
    <n v="3"/>
    <n v="3"/>
    <n v="3"/>
    <n v="3"/>
    <n v="6"/>
    <n v="0"/>
    <n v="0"/>
    <n v="1"/>
    <n v="7"/>
    <n v="0"/>
    <n v="0"/>
    <n v="6"/>
    <n v="0"/>
    <n v="5"/>
    <n v="0"/>
    <n v="0"/>
    <n v="1"/>
    <n v="1.4"/>
    <n v="0"/>
    <n v="0"/>
    <n v="2"/>
    <n v="0"/>
    <n v="0.83"/>
    <n v="4"/>
    <n v="30.5"/>
    <n v="1"/>
  </r>
  <r>
    <s v="Q"/>
    <x v="6"/>
    <x v="1"/>
    <x v="0"/>
    <s v="C"/>
    <n v="0"/>
    <n v="0"/>
    <n v="0"/>
    <n v="1"/>
    <m/>
    <n v="1"/>
    <n v="1"/>
    <m/>
    <m/>
    <n v="1"/>
    <n v="1"/>
    <m/>
    <n v="1"/>
    <n v="0"/>
    <n v="0"/>
    <n v="0"/>
    <n v="0"/>
    <n v="0"/>
    <n v="0"/>
    <n v="0"/>
    <n v="0"/>
    <n v="0"/>
    <n v="0"/>
    <n v="0"/>
    <n v="0"/>
    <n v="1"/>
    <n v="0"/>
    <n v="0"/>
    <n v="0"/>
    <n v="2"/>
    <n v="0"/>
    <n v="1"/>
    <n v="0"/>
    <n v="5"/>
    <n v="0"/>
    <n v="0"/>
    <n v="0"/>
    <n v="10"/>
    <n v="0"/>
    <n v="5"/>
    <n v="4"/>
    <n v="1"/>
    <n v="0"/>
    <n v="0"/>
    <m/>
    <n v="0"/>
    <n v="0"/>
    <n v="1"/>
    <n v="0"/>
    <n v="2"/>
    <n v="2"/>
    <n v="1"/>
    <n v="0"/>
    <n v="20"/>
    <n v="5"/>
    <n v="0"/>
    <n v="27"/>
    <n v="2"/>
    <n v="3"/>
    <n v="1"/>
    <n v="4"/>
    <n v="0"/>
    <n v="0"/>
    <n v="0"/>
    <n v="0"/>
    <n v="2"/>
    <n v="2"/>
    <n v="0"/>
    <n v="0"/>
    <n v="2"/>
    <n v="2"/>
    <n v="2"/>
    <n v="1"/>
    <n v="2.83"/>
    <n v="0"/>
    <n v="6"/>
    <n v="5"/>
    <n v="1"/>
    <n v="1"/>
    <n v="5"/>
    <n v="3"/>
    <n v="3"/>
    <n v="3"/>
    <n v="3"/>
    <n v="6"/>
    <n v="0"/>
    <n v="0"/>
    <n v="1"/>
    <n v="7"/>
    <n v="0"/>
    <n v="0"/>
    <n v="6"/>
    <n v="0"/>
    <n v="5"/>
    <n v="0"/>
    <n v="0"/>
    <n v="1"/>
    <n v="1.4"/>
    <n v="0"/>
    <n v="0"/>
    <n v="2"/>
    <n v="0"/>
    <n v="0.83"/>
    <n v="4"/>
    <n v="30.5"/>
    <n v="1"/>
  </r>
  <r>
    <s v="Q"/>
    <x v="0"/>
    <x v="2"/>
    <x v="0"/>
    <s v="C"/>
    <n v="0"/>
    <n v="0"/>
    <n v="0"/>
    <n v="5"/>
    <n v="1"/>
    <m/>
    <m/>
    <n v="1"/>
    <n v="1"/>
    <m/>
    <m/>
    <n v="1"/>
    <n v="1"/>
    <n v="0"/>
    <n v="0"/>
    <n v="0"/>
    <n v="0"/>
    <n v="0"/>
    <n v="0"/>
    <n v="0"/>
    <n v="0"/>
    <n v="0"/>
    <n v="0"/>
    <n v="0"/>
    <n v="0"/>
    <n v="0"/>
    <n v="1"/>
    <n v="0"/>
    <n v="0"/>
    <n v="0"/>
    <n v="0"/>
    <n v="1"/>
    <n v="0"/>
    <n v="0"/>
    <n v="5"/>
    <n v="0"/>
    <n v="0"/>
    <n v="0"/>
    <n v="0"/>
    <n v="5"/>
    <n v="2"/>
    <n v="1"/>
    <n v="0"/>
    <n v="0"/>
    <m/>
    <n v="0"/>
    <n v="0"/>
    <n v="1"/>
    <n v="0"/>
    <n v="10"/>
    <n v="10"/>
    <n v="5"/>
    <n v="0"/>
    <n v="10"/>
    <n v="5"/>
    <n v="0"/>
    <n v="25"/>
    <n v="3"/>
    <n v="0"/>
    <n v="2"/>
    <n v="6"/>
    <n v="0"/>
    <n v="0"/>
    <n v="2"/>
    <n v="2"/>
    <n v="3"/>
    <n v="3"/>
    <n v="2"/>
    <n v="2"/>
    <n v="3"/>
    <n v="3"/>
    <n v="4"/>
    <n v="1"/>
    <n v="3.67"/>
    <n v="0"/>
    <n v="6"/>
    <n v="4"/>
    <n v="2"/>
    <n v="2"/>
    <n v="4"/>
    <n v="3"/>
    <n v="3"/>
    <n v="3"/>
    <n v="3"/>
    <n v="6"/>
    <n v="0"/>
    <n v="2"/>
    <n v="5"/>
    <n v="4"/>
    <n v="2"/>
    <n v="5"/>
    <n v="4"/>
    <n v="3"/>
    <n v="6"/>
    <n v="0"/>
    <n v="1"/>
    <n v="2.5"/>
    <n v="1"/>
    <n v="0.67"/>
    <n v="1.67"/>
    <n v="1.33"/>
    <n v="1"/>
    <n v="1"/>
    <n v="5"/>
    <n v="45.833333333333336"/>
    <n v="1"/>
  </r>
  <r>
    <s v="Q"/>
    <x v="1"/>
    <x v="2"/>
    <x v="1"/>
    <s v="H"/>
    <n v="0"/>
    <n v="0"/>
    <n v="0"/>
    <n v="5"/>
    <n v="1"/>
    <m/>
    <m/>
    <n v="1"/>
    <m/>
    <n v="1"/>
    <n v="1"/>
    <m/>
    <n v="1"/>
    <n v="0"/>
    <n v="1"/>
    <n v="0"/>
    <n v="0"/>
    <n v="0"/>
    <n v="0"/>
    <n v="0"/>
    <n v="0"/>
    <n v="0"/>
    <n v="0"/>
    <n v="0"/>
    <n v="0"/>
    <n v="0"/>
    <n v="1"/>
    <n v="0"/>
    <n v="2"/>
    <n v="0"/>
    <n v="0"/>
    <n v="1"/>
    <n v="0"/>
    <n v="0"/>
    <n v="5"/>
    <n v="0"/>
    <n v="10"/>
    <n v="0"/>
    <n v="0"/>
    <n v="5"/>
    <n v="4"/>
    <n v="1"/>
    <n v="0"/>
    <n v="0"/>
    <m/>
    <n v="0"/>
    <n v="0"/>
    <n v="1"/>
    <n v="0"/>
    <n v="10"/>
    <n v="10"/>
    <n v="5"/>
    <n v="10"/>
    <n v="20"/>
    <n v="5"/>
    <n v="0"/>
    <n v="45"/>
    <n v="3"/>
    <n v="1"/>
    <n v="2"/>
    <n v="6"/>
    <n v="0"/>
    <n v="0"/>
    <n v="2"/>
    <n v="2"/>
    <n v="3"/>
    <n v="3"/>
    <n v="2"/>
    <n v="2"/>
    <n v="3"/>
    <n v="3"/>
    <n v="4"/>
    <n v="1"/>
    <n v="3.67"/>
    <n v="0"/>
    <n v="6"/>
    <n v="4"/>
    <n v="2"/>
    <n v="2"/>
    <n v="4"/>
    <n v="3"/>
    <n v="3"/>
    <n v="3"/>
    <n v="3"/>
    <n v="6"/>
    <n v="0"/>
    <n v="2"/>
    <n v="5"/>
    <n v="4"/>
    <n v="2"/>
    <n v="5"/>
    <n v="4"/>
    <n v="3"/>
    <n v="6"/>
    <n v="0"/>
    <n v="1"/>
    <n v="2.5"/>
    <n v="1"/>
    <n v="0.67"/>
    <n v="1.67"/>
    <n v="1.33"/>
    <n v="1"/>
    <n v="1"/>
    <n v="5"/>
    <n v="45.833333333333336"/>
    <n v="1"/>
  </r>
  <r>
    <s v="Q"/>
    <x v="2"/>
    <x v="2"/>
    <x v="1"/>
    <s v="E"/>
    <n v="0"/>
    <n v="1"/>
    <n v="0"/>
    <n v="2"/>
    <n v="1"/>
    <m/>
    <m/>
    <n v="1"/>
    <n v="1"/>
    <m/>
    <m/>
    <n v="1"/>
    <n v="1"/>
    <n v="1"/>
    <n v="0"/>
    <n v="0"/>
    <n v="0"/>
    <n v="0"/>
    <n v="0"/>
    <n v="0"/>
    <n v="0"/>
    <n v="0"/>
    <n v="0"/>
    <n v="0"/>
    <n v="0"/>
    <n v="0"/>
    <n v="1"/>
    <n v="0"/>
    <n v="0"/>
    <n v="0"/>
    <n v="0"/>
    <n v="0"/>
    <n v="0"/>
    <n v="0"/>
    <n v="5"/>
    <n v="0"/>
    <n v="0"/>
    <n v="0"/>
    <n v="0"/>
    <n v="0"/>
    <n v="1"/>
    <n v="1"/>
    <n v="0"/>
    <n v="0"/>
    <m/>
    <n v="0"/>
    <n v="0"/>
    <n v="1"/>
    <n v="0"/>
    <n v="9"/>
    <n v="9"/>
    <n v="2"/>
    <n v="7"/>
    <n v="5"/>
    <n v="5"/>
    <n v="0"/>
    <n v="26"/>
    <n v="3"/>
    <n v="0"/>
    <n v="2"/>
    <n v="6"/>
    <n v="0"/>
    <n v="0"/>
    <n v="2"/>
    <n v="2"/>
    <n v="3"/>
    <n v="3"/>
    <n v="2"/>
    <n v="2"/>
    <n v="3"/>
    <n v="3"/>
    <n v="4"/>
    <n v="1"/>
    <n v="3.67"/>
    <n v="0"/>
    <n v="6"/>
    <n v="4"/>
    <n v="2"/>
    <n v="2"/>
    <n v="4"/>
    <n v="3"/>
    <n v="3"/>
    <n v="3"/>
    <n v="3"/>
    <n v="6"/>
    <n v="0"/>
    <n v="2"/>
    <n v="5"/>
    <n v="4"/>
    <n v="2"/>
    <n v="5"/>
    <n v="4"/>
    <n v="3"/>
    <n v="6"/>
    <n v="0"/>
    <n v="1"/>
    <n v="2.5"/>
    <n v="1"/>
    <n v="0.67"/>
    <n v="1.67"/>
    <n v="1.33"/>
    <n v="1"/>
    <n v="1"/>
    <n v="5"/>
    <n v="45.833333333333336"/>
    <n v="1"/>
  </r>
  <r>
    <s v="Q"/>
    <x v="3"/>
    <x v="2"/>
    <x v="1"/>
    <s v="B"/>
    <n v="0"/>
    <n v="1"/>
    <n v="0"/>
    <n v="4"/>
    <n v="1"/>
    <m/>
    <m/>
    <n v="1"/>
    <m/>
    <n v="1"/>
    <n v="1"/>
    <m/>
    <n v="1"/>
    <n v="1"/>
    <n v="0"/>
    <n v="0"/>
    <n v="0"/>
    <n v="0"/>
    <n v="0"/>
    <n v="0"/>
    <n v="0"/>
    <n v="0"/>
    <n v="0"/>
    <n v="0"/>
    <n v="0"/>
    <n v="0"/>
    <n v="1"/>
    <n v="0"/>
    <n v="2"/>
    <n v="1"/>
    <n v="0"/>
    <n v="0"/>
    <n v="0"/>
    <n v="0"/>
    <n v="5"/>
    <n v="0"/>
    <n v="10"/>
    <n v="5"/>
    <n v="0"/>
    <n v="0"/>
    <n v="4"/>
    <n v="1"/>
    <n v="0"/>
    <n v="0"/>
    <m/>
    <n v="0"/>
    <n v="0"/>
    <n v="1"/>
    <n v="0"/>
    <n v="13"/>
    <n v="13"/>
    <n v="4"/>
    <n v="7"/>
    <n v="20"/>
    <n v="5"/>
    <n v="0"/>
    <n v="45"/>
    <n v="3"/>
    <n v="0"/>
    <n v="2"/>
    <n v="6"/>
    <n v="0"/>
    <n v="0"/>
    <n v="2"/>
    <n v="2"/>
    <n v="3"/>
    <n v="3"/>
    <n v="2"/>
    <n v="2"/>
    <n v="3"/>
    <n v="3"/>
    <n v="4"/>
    <n v="1"/>
    <n v="3.67"/>
    <n v="0"/>
    <n v="6"/>
    <n v="4"/>
    <n v="2"/>
    <n v="2"/>
    <n v="4"/>
    <n v="3"/>
    <n v="3"/>
    <n v="3"/>
    <n v="3"/>
    <n v="6"/>
    <n v="0"/>
    <n v="2"/>
    <n v="5"/>
    <n v="4"/>
    <n v="2"/>
    <n v="5"/>
    <n v="4"/>
    <n v="3"/>
    <n v="6"/>
    <n v="0"/>
    <n v="1"/>
    <n v="2.5"/>
    <n v="1"/>
    <n v="0.67"/>
    <n v="1.67"/>
    <n v="1.33"/>
    <n v="1"/>
    <n v="1"/>
    <n v="5"/>
    <n v="45.833333333333336"/>
    <n v="1"/>
  </r>
  <r>
    <s v="Q"/>
    <x v="7"/>
    <x v="2"/>
    <x v="0"/>
    <s v="G"/>
    <n v="0"/>
    <n v="0"/>
    <n v="0"/>
    <n v="2"/>
    <m/>
    <n v="1"/>
    <n v="1"/>
    <m/>
    <n v="1"/>
    <m/>
    <m/>
    <n v="1"/>
    <n v="1"/>
    <n v="1"/>
    <n v="0"/>
    <n v="0"/>
    <n v="0"/>
    <n v="0"/>
    <n v="0"/>
    <n v="0"/>
    <n v="0"/>
    <n v="0"/>
    <n v="0"/>
    <n v="0"/>
    <n v="1"/>
    <n v="2"/>
    <n v="0"/>
    <n v="2"/>
    <n v="0"/>
    <n v="0"/>
    <n v="3"/>
    <n v="2"/>
    <n v="5"/>
    <n v="10"/>
    <n v="0"/>
    <n v="10"/>
    <n v="0"/>
    <n v="0"/>
    <n v="15"/>
    <n v="10"/>
    <n v="10"/>
    <n v="1"/>
    <n v="0"/>
    <n v="1"/>
    <m/>
    <n v="1"/>
    <n v="0"/>
    <n v="1"/>
    <n v="0"/>
    <n v="4"/>
    <n v="4"/>
    <n v="2"/>
    <n v="2"/>
    <n v="50"/>
    <n v="5"/>
    <n v="0"/>
    <n v="61"/>
    <n v="3"/>
    <n v="0"/>
    <n v="2"/>
    <n v="6"/>
    <n v="0"/>
    <n v="0"/>
    <n v="2"/>
    <n v="2"/>
    <n v="3"/>
    <n v="3"/>
    <n v="2"/>
    <n v="2"/>
    <n v="3"/>
    <n v="3"/>
    <n v="4"/>
    <n v="1"/>
    <n v="3.67"/>
    <n v="0"/>
    <n v="6"/>
    <n v="4"/>
    <n v="2"/>
    <n v="2"/>
    <n v="4"/>
    <n v="3"/>
    <n v="3"/>
    <n v="3"/>
    <n v="3"/>
    <n v="6"/>
    <n v="0"/>
    <n v="2"/>
    <n v="5"/>
    <n v="4"/>
    <n v="2"/>
    <n v="5"/>
    <n v="4"/>
    <n v="3"/>
    <n v="6"/>
    <n v="0"/>
    <n v="1"/>
    <n v="2.5"/>
    <n v="1"/>
    <n v="0.67"/>
    <n v="1.67"/>
    <n v="1.33"/>
    <n v="1"/>
    <n v="1"/>
    <n v="5"/>
    <n v="45.833333333333336"/>
    <n v="1"/>
  </r>
  <r>
    <s v="Q"/>
    <x v="6"/>
    <x v="2"/>
    <x v="0"/>
    <s v="D"/>
    <n v="0"/>
    <n v="1"/>
    <n v="0"/>
    <n v="4"/>
    <m/>
    <n v="1"/>
    <n v="1"/>
    <m/>
    <m/>
    <n v="1"/>
    <n v="1"/>
    <m/>
    <n v="1"/>
    <n v="0"/>
    <n v="0"/>
    <n v="0"/>
    <n v="0"/>
    <n v="0"/>
    <n v="0"/>
    <n v="0"/>
    <n v="0"/>
    <n v="0"/>
    <n v="0"/>
    <n v="0"/>
    <n v="1"/>
    <n v="3"/>
    <n v="0"/>
    <n v="0"/>
    <n v="1"/>
    <n v="3"/>
    <n v="0"/>
    <n v="2"/>
    <n v="5"/>
    <n v="15"/>
    <n v="0"/>
    <n v="0"/>
    <n v="5"/>
    <n v="15"/>
    <n v="0"/>
    <n v="10"/>
    <n v="10"/>
    <n v="1"/>
    <n v="0"/>
    <n v="1"/>
    <m/>
    <n v="0"/>
    <n v="0"/>
    <n v="1"/>
    <n v="0"/>
    <n v="13"/>
    <n v="13"/>
    <n v="4"/>
    <n v="5"/>
    <n v="50"/>
    <n v="5"/>
    <n v="0"/>
    <n v="73"/>
    <n v="3"/>
    <n v="0"/>
    <n v="2"/>
    <n v="6"/>
    <n v="0"/>
    <n v="0"/>
    <n v="2"/>
    <n v="2"/>
    <n v="3"/>
    <n v="3"/>
    <n v="2"/>
    <n v="2"/>
    <n v="3"/>
    <n v="3"/>
    <n v="4"/>
    <n v="1"/>
    <n v="3.67"/>
    <n v="0"/>
    <n v="6"/>
    <n v="4"/>
    <n v="2"/>
    <n v="2"/>
    <n v="4"/>
    <n v="3"/>
    <n v="3"/>
    <n v="3"/>
    <n v="3"/>
    <n v="6"/>
    <n v="0"/>
    <n v="2"/>
    <n v="5"/>
    <n v="4"/>
    <n v="2"/>
    <n v="5"/>
    <n v="4"/>
    <n v="3"/>
    <n v="6"/>
    <n v="0"/>
    <n v="1"/>
    <n v="2.5"/>
    <n v="1"/>
    <n v="0.67"/>
    <n v="1.67"/>
    <n v="1.33"/>
    <n v="1"/>
    <n v="1"/>
    <n v="5"/>
    <n v="45.833333333333336"/>
    <n v="1"/>
  </r>
  <r>
    <s v="Q"/>
    <x v="0"/>
    <x v="3"/>
    <x v="1"/>
    <s v="D"/>
    <n v="0"/>
    <n v="0"/>
    <n v="3"/>
    <n v="3"/>
    <n v="1"/>
    <m/>
    <m/>
    <n v="1"/>
    <n v="1"/>
    <m/>
    <m/>
    <n v="1"/>
    <n v="1"/>
    <n v="1"/>
    <n v="0"/>
    <n v="0"/>
    <n v="0"/>
    <n v="0"/>
    <n v="0"/>
    <n v="0"/>
    <n v="0"/>
    <n v="0"/>
    <n v="0"/>
    <n v="0"/>
    <n v="0"/>
    <n v="0"/>
    <n v="3"/>
    <n v="0"/>
    <n v="0"/>
    <n v="0"/>
    <n v="2"/>
    <n v="0"/>
    <n v="0"/>
    <n v="0"/>
    <n v="15"/>
    <n v="0"/>
    <n v="0"/>
    <n v="0"/>
    <n v="10"/>
    <n v="0"/>
    <n v="5"/>
    <n v="0"/>
    <n v="0"/>
    <n v="0"/>
    <m/>
    <n v="0"/>
    <n v="1"/>
    <n v="0"/>
    <n v="15"/>
    <n v="6"/>
    <n v="21"/>
    <n v="6"/>
    <n v="2"/>
    <n v="25"/>
    <n v="0"/>
    <n v="0"/>
    <n v="48"/>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1"/>
    <x v="3"/>
    <x v="1"/>
    <s v="A"/>
    <n v="0"/>
    <n v="0"/>
    <n v="2"/>
    <n v="4"/>
    <n v="1"/>
    <m/>
    <m/>
    <n v="1"/>
    <m/>
    <n v="1"/>
    <n v="1"/>
    <m/>
    <n v="1"/>
    <n v="1"/>
    <n v="0"/>
    <n v="0"/>
    <n v="0"/>
    <n v="0"/>
    <n v="0"/>
    <n v="0"/>
    <n v="0"/>
    <n v="0"/>
    <n v="0"/>
    <n v="0"/>
    <n v="0"/>
    <n v="0"/>
    <n v="4"/>
    <n v="0"/>
    <n v="2"/>
    <n v="0"/>
    <n v="0"/>
    <n v="3"/>
    <n v="0"/>
    <n v="0"/>
    <n v="10"/>
    <n v="0"/>
    <n v="10"/>
    <n v="0"/>
    <n v="0"/>
    <n v="15"/>
    <n v="9"/>
    <n v="1"/>
    <n v="0"/>
    <n v="0"/>
    <m/>
    <n v="0"/>
    <n v="0"/>
    <n v="1"/>
    <n v="10"/>
    <n v="8"/>
    <n v="18"/>
    <n v="6"/>
    <n v="2"/>
    <n v="35"/>
    <n v="5"/>
    <n v="0"/>
    <n v="60"/>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2"/>
    <x v="3"/>
    <x v="1"/>
    <s v="F"/>
    <n v="0"/>
    <n v="0"/>
    <n v="1"/>
    <n v="4"/>
    <n v="1"/>
    <m/>
    <m/>
    <n v="1"/>
    <n v="1"/>
    <m/>
    <m/>
    <n v="1"/>
    <n v="1"/>
    <n v="1"/>
    <n v="0"/>
    <n v="0"/>
    <n v="0"/>
    <n v="0"/>
    <n v="0"/>
    <n v="0"/>
    <n v="0"/>
    <n v="0"/>
    <n v="0"/>
    <n v="0"/>
    <n v="0"/>
    <n v="0"/>
    <n v="4"/>
    <n v="0"/>
    <n v="0"/>
    <n v="0"/>
    <n v="1"/>
    <n v="5"/>
    <n v="0"/>
    <n v="0"/>
    <n v="10"/>
    <n v="0"/>
    <n v="0"/>
    <n v="0"/>
    <n v="5"/>
    <n v="10"/>
    <n v="10"/>
    <n v="1"/>
    <n v="0"/>
    <n v="0"/>
    <m/>
    <n v="0"/>
    <n v="1"/>
    <n v="1"/>
    <n v="5"/>
    <n v="8"/>
    <n v="13"/>
    <n v="5"/>
    <n v="2"/>
    <n v="25"/>
    <n v="5"/>
    <n v="0"/>
    <n v="45"/>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8"/>
    <x v="3"/>
    <x v="0"/>
    <s v="C"/>
    <n v="0"/>
    <n v="0"/>
    <n v="2"/>
    <n v="3"/>
    <m/>
    <n v="1"/>
    <n v="1"/>
    <m/>
    <m/>
    <n v="1"/>
    <n v="1"/>
    <m/>
    <n v="1"/>
    <n v="1"/>
    <n v="0"/>
    <n v="0"/>
    <n v="0"/>
    <n v="0"/>
    <n v="0"/>
    <n v="0"/>
    <n v="0"/>
    <n v="0"/>
    <n v="0"/>
    <n v="0"/>
    <n v="0"/>
    <n v="1"/>
    <n v="0"/>
    <n v="0"/>
    <n v="3"/>
    <n v="2"/>
    <n v="0"/>
    <n v="5"/>
    <n v="0"/>
    <n v="5"/>
    <n v="0"/>
    <n v="0"/>
    <n v="15"/>
    <n v="10"/>
    <n v="0"/>
    <n v="10"/>
    <n v="11"/>
    <n v="1"/>
    <n v="0"/>
    <n v="1"/>
    <m/>
    <n v="0"/>
    <n v="0"/>
    <n v="1"/>
    <n v="10"/>
    <n v="6"/>
    <n v="16"/>
    <n v="5"/>
    <n v="2"/>
    <n v="40"/>
    <n v="5"/>
    <n v="0"/>
    <n v="63"/>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7"/>
    <x v="3"/>
    <x v="0"/>
    <s v="H"/>
    <n v="1"/>
    <n v="0"/>
    <n v="3"/>
    <n v="4"/>
    <m/>
    <n v="1"/>
    <n v="1"/>
    <m/>
    <n v="1"/>
    <m/>
    <m/>
    <n v="1"/>
    <n v="1"/>
    <n v="0"/>
    <n v="0"/>
    <n v="0"/>
    <n v="0"/>
    <n v="0"/>
    <n v="0"/>
    <n v="0"/>
    <n v="0"/>
    <n v="0"/>
    <n v="0"/>
    <n v="0"/>
    <n v="1"/>
    <n v="1"/>
    <n v="0"/>
    <n v="2"/>
    <n v="0"/>
    <n v="0"/>
    <n v="0"/>
    <n v="5"/>
    <n v="5"/>
    <n v="5"/>
    <n v="0"/>
    <n v="10"/>
    <n v="0"/>
    <n v="0"/>
    <n v="0"/>
    <n v="10"/>
    <n v="9"/>
    <n v="0"/>
    <n v="0"/>
    <n v="0"/>
    <m/>
    <n v="0"/>
    <n v="0"/>
    <n v="0"/>
    <n v="25"/>
    <n v="8"/>
    <n v="33"/>
    <n v="7"/>
    <n v="10"/>
    <n v="30"/>
    <n v="0"/>
    <n v="0"/>
    <n v="73"/>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6"/>
    <x v="3"/>
    <x v="0"/>
    <s v="E"/>
    <n v="0"/>
    <n v="0"/>
    <n v="2"/>
    <n v="4"/>
    <m/>
    <n v="1"/>
    <n v="1"/>
    <m/>
    <m/>
    <n v="1"/>
    <n v="1"/>
    <m/>
    <n v="1"/>
    <n v="0"/>
    <n v="0"/>
    <n v="0"/>
    <n v="0"/>
    <n v="0"/>
    <n v="0"/>
    <n v="0"/>
    <n v="0"/>
    <n v="0"/>
    <n v="0"/>
    <n v="0"/>
    <n v="0"/>
    <n v="4"/>
    <n v="0"/>
    <n v="0"/>
    <n v="1"/>
    <n v="3"/>
    <n v="0"/>
    <n v="2"/>
    <n v="0"/>
    <n v="10"/>
    <n v="0"/>
    <n v="0"/>
    <n v="5"/>
    <n v="15"/>
    <n v="0"/>
    <n v="10"/>
    <n v="10"/>
    <n v="1"/>
    <n v="0"/>
    <n v="1"/>
    <m/>
    <n v="0"/>
    <n v="0"/>
    <n v="1"/>
    <n v="10"/>
    <n v="8"/>
    <n v="18"/>
    <n v="6"/>
    <n v="0"/>
    <n v="40"/>
    <n v="5"/>
    <n v="0"/>
    <n v="63"/>
    <n v="4"/>
    <n v="0"/>
    <n v="1"/>
    <n v="4"/>
    <n v="1"/>
    <n v="4"/>
    <n v="3"/>
    <n v="3"/>
    <n v="4"/>
    <n v="4"/>
    <n v="3"/>
    <n v="3"/>
    <n v="4"/>
    <n v="4"/>
    <n v="5"/>
    <n v="0"/>
    <n v="3.67"/>
    <n v="2.17"/>
    <n v="6"/>
    <n v="3"/>
    <n v="3"/>
    <n v="3"/>
    <n v="3"/>
    <n v="3"/>
    <n v="3"/>
    <n v="3"/>
    <n v="3"/>
    <n v="6"/>
    <n v="0"/>
    <n v="1"/>
    <n v="6"/>
    <n v="11"/>
    <n v="2"/>
    <n v="6"/>
    <n v="5"/>
    <n v="3"/>
    <n v="20"/>
    <n v="0"/>
    <n v="0.33"/>
    <n v="2"/>
    <n v="3.67"/>
    <n v="0.67"/>
    <n v="2"/>
    <n v="1.67"/>
    <n v="1"/>
    <n v="3.33"/>
    <n v="7"/>
    <n v="58.666666666666664"/>
    <n v="0.67"/>
  </r>
  <r>
    <s v="Q"/>
    <x v="0"/>
    <x v="4"/>
    <x v="1"/>
    <s v="E"/>
    <n v="0"/>
    <n v="0"/>
    <n v="0"/>
    <n v="0"/>
    <n v="1"/>
    <m/>
    <m/>
    <n v="1"/>
    <n v="1"/>
    <m/>
    <m/>
    <n v="1"/>
    <n v="1"/>
    <n v="1"/>
    <n v="0"/>
    <n v="0"/>
    <n v="0"/>
    <n v="0"/>
    <n v="0"/>
    <n v="0"/>
    <n v="0"/>
    <n v="0"/>
    <n v="0"/>
    <n v="0"/>
    <n v="0"/>
    <n v="0"/>
    <n v="0"/>
    <n v="0"/>
    <n v="0"/>
    <n v="0"/>
    <n v="2"/>
    <n v="0"/>
    <n v="0"/>
    <n v="0"/>
    <n v="0"/>
    <n v="0"/>
    <n v="0"/>
    <n v="0"/>
    <n v="10"/>
    <n v="0"/>
    <n v="2"/>
    <n v="0"/>
    <n v="0"/>
    <n v="0"/>
    <m/>
    <n v="0"/>
    <n v="0"/>
    <n v="0"/>
    <n v="0"/>
    <n v="0"/>
    <n v="0"/>
    <n v="0"/>
    <n v="2"/>
    <n v="10"/>
    <n v="0"/>
    <n v="0"/>
    <n v="12"/>
    <n v="1"/>
    <n v="0"/>
    <n v="0"/>
    <n v="0"/>
    <n v="0"/>
    <n v="0"/>
    <n v="0"/>
    <n v="0"/>
    <n v="2"/>
    <n v="2"/>
    <n v="0"/>
    <n v="0"/>
    <n v="2"/>
    <n v="2"/>
    <n v="2"/>
    <n v="0"/>
    <n v="0"/>
    <n v="0"/>
    <n v="6"/>
    <n v="2"/>
    <n v="4"/>
    <n v="4"/>
    <n v="2"/>
    <n v="3"/>
    <n v="3"/>
    <n v="3"/>
    <n v="3"/>
    <n v="6"/>
    <n v="0"/>
    <n v="0"/>
    <n v="5"/>
    <n v="0"/>
    <n v="0"/>
    <n v="0"/>
    <n v="4"/>
    <n v="5"/>
    <n v="6"/>
    <n v="0"/>
    <n v="0"/>
    <n v="1.25"/>
    <n v="0"/>
    <n v="0"/>
    <n v="0"/>
    <n v="1.33"/>
    <n v="1.67"/>
    <n v="1"/>
    <n v="0"/>
    <n v="21.333333333333332"/>
    <n v="0.67"/>
  </r>
  <r>
    <s v="Q"/>
    <x v="1"/>
    <x v="4"/>
    <x v="1"/>
    <s v="B"/>
    <n v="0"/>
    <n v="0"/>
    <n v="0"/>
    <n v="0"/>
    <n v="1"/>
    <m/>
    <m/>
    <n v="1"/>
    <m/>
    <n v="1"/>
    <n v="1"/>
    <m/>
    <n v="1"/>
    <n v="1"/>
    <n v="0"/>
    <n v="0"/>
    <n v="0"/>
    <n v="0"/>
    <n v="0"/>
    <n v="0"/>
    <n v="0"/>
    <n v="0"/>
    <n v="0"/>
    <n v="0"/>
    <n v="0"/>
    <n v="0"/>
    <n v="0"/>
    <n v="0"/>
    <n v="0"/>
    <n v="2"/>
    <n v="0"/>
    <n v="1"/>
    <n v="0"/>
    <n v="0"/>
    <n v="0"/>
    <n v="0"/>
    <n v="0"/>
    <n v="10"/>
    <n v="0"/>
    <n v="5"/>
    <n v="3"/>
    <n v="1"/>
    <n v="0"/>
    <n v="0"/>
    <m/>
    <n v="1"/>
    <n v="0"/>
    <n v="1"/>
    <n v="0"/>
    <n v="0"/>
    <n v="0"/>
    <n v="0"/>
    <n v="2"/>
    <n v="15"/>
    <n v="5"/>
    <n v="0"/>
    <n v="22"/>
    <n v="1"/>
    <n v="0"/>
    <n v="0"/>
    <n v="0"/>
    <n v="0"/>
    <n v="0"/>
    <n v="0"/>
    <n v="0"/>
    <n v="2"/>
    <n v="2"/>
    <n v="0"/>
    <n v="0"/>
    <n v="2"/>
    <n v="2"/>
    <n v="2"/>
    <n v="0"/>
    <n v="0"/>
    <n v="0"/>
    <n v="6"/>
    <n v="2"/>
    <n v="4"/>
    <n v="4"/>
    <n v="2"/>
    <n v="3"/>
    <n v="3"/>
    <n v="3"/>
    <n v="3"/>
    <n v="6"/>
    <n v="0"/>
    <n v="0"/>
    <n v="5"/>
    <n v="0"/>
    <n v="0"/>
    <n v="0"/>
    <n v="4"/>
    <n v="5"/>
    <n v="6"/>
    <n v="0"/>
    <n v="0"/>
    <n v="1.25"/>
    <n v="0"/>
    <n v="0"/>
    <n v="0"/>
    <n v="1.33"/>
    <n v="1.67"/>
    <n v="1"/>
    <n v="0"/>
    <n v="21.333333333333332"/>
    <n v="0.67"/>
  </r>
  <r>
    <s v="Q"/>
    <x v="9"/>
    <x v="4"/>
    <x v="0"/>
    <s v="G"/>
    <n v="0"/>
    <n v="0"/>
    <n v="0"/>
    <n v="0"/>
    <m/>
    <n v="1"/>
    <n v="1"/>
    <m/>
    <n v="1"/>
    <m/>
    <m/>
    <n v="1"/>
    <n v="1"/>
    <n v="1"/>
    <n v="0"/>
    <n v="0"/>
    <n v="0"/>
    <n v="0"/>
    <n v="0"/>
    <n v="0"/>
    <n v="0"/>
    <n v="0"/>
    <n v="0"/>
    <n v="0"/>
    <n v="0"/>
    <n v="2"/>
    <n v="0"/>
    <n v="0"/>
    <n v="0"/>
    <n v="0"/>
    <n v="2"/>
    <n v="1"/>
    <n v="0"/>
    <n v="10"/>
    <n v="0"/>
    <n v="0"/>
    <n v="0"/>
    <n v="0"/>
    <n v="10"/>
    <n v="5"/>
    <n v="5"/>
    <n v="1"/>
    <n v="0"/>
    <n v="0"/>
    <m/>
    <n v="0"/>
    <n v="0"/>
    <n v="1"/>
    <n v="0"/>
    <n v="0"/>
    <n v="0"/>
    <n v="0"/>
    <n v="2"/>
    <n v="25"/>
    <n v="5"/>
    <n v="0"/>
    <n v="32"/>
    <n v="1"/>
    <n v="0"/>
    <n v="0"/>
    <n v="0"/>
    <n v="0"/>
    <n v="0"/>
    <n v="0"/>
    <n v="0"/>
    <n v="2"/>
    <n v="2"/>
    <n v="0"/>
    <n v="0"/>
    <n v="2"/>
    <n v="2"/>
    <n v="2"/>
    <n v="0"/>
    <n v="0"/>
    <n v="0"/>
    <n v="6"/>
    <n v="2"/>
    <n v="4"/>
    <n v="4"/>
    <n v="2"/>
    <n v="3"/>
    <n v="3"/>
    <n v="3"/>
    <n v="3"/>
    <n v="6"/>
    <n v="0"/>
    <n v="0"/>
    <n v="5"/>
    <n v="0"/>
    <n v="0"/>
    <n v="0"/>
    <n v="4"/>
    <n v="5"/>
    <n v="6"/>
    <n v="0"/>
    <n v="0"/>
    <n v="1.25"/>
    <n v="0"/>
    <n v="0"/>
    <n v="0"/>
    <n v="1.33"/>
    <n v="1.67"/>
    <n v="1"/>
    <n v="0"/>
    <n v="21.333333333333332"/>
    <n v="0.67"/>
  </r>
  <r>
    <s v="Q"/>
    <x v="8"/>
    <x v="4"/>
    <x v="0"/>
    <s v="D"/>
    <n v="0"/>
    <n v="0"/>
    <n v="0"/>
    <n v="0"/>
    <m/>
    <n v="1"/>
    <n v="1"/>
    <m/>
    <m/>
    <n v="1"/>
    <n v="1"/>
    <m/>
    <n v="1"/>
    <n v="1"/>
    <n v="0"/>
    <n v="0"/>
    <n v="0"/>
    <n v="0"/>
    <n v="0"/>
    <n v="0"/>
    <n v="0"/>
    <n v="0"/>
    <n v="0"/>
    <n v="0"/>
    <n v="0"/>
    <n v="1"/>
    <n v="0"/>
    <n v="0"/>
    <n v="0"/>
    <n v="1"/>
    <n v="0"/>
    <n v="2"/>
    <n v="0"/>
    <n v="5"/>
    <n v="0"/>
    <n v="0"/>
    <n v="0"/>
    <n v="5"/>
    <n v="0"/>
    <n v="10"/>
    <n v="4"/>
    <n v="1"/>
    <n v="0"/>
    <n v="0"/>
    <m/>
    <n v="0"/>
    <n v="0"/>
    <n v="1"/>
    <n v="0"/>
    <n v="0"/>
    <n v="0"/>
    <n v="0"/>
    <n v="2"/>
    <n v="20"/>
    <n v="5"/>
    <n v="0"/>
    <n v="27"/>
    <n v="1"/>
    <n v="0"/>
    <n v="0"/>
    <n v="0"/>
    <n v="0"/>
    <n v="0"/>
    <n v="0"/>
    <n v="0"/>
    <n v="2"/>
    <n v="2"/>
    <n v="0"/>
    <n v="0"/>
    <n v="2"/>
    <n v="2"/>
    <n v="2"/>
    <n v="0"/>
    <n v="0"/>
    <n v="0"/>
    <n v="6"/>
    <n v="2"/>
    <n v="4"/>
    <n v="4"/>
    <n v="2"/>
    <n v="3"/>
    <n v="3"/>
    <n v="3"/>
    <n v="3"/>
    <n v="6"/>
    <n v="0"/>
    <n v="0"/>
    <n v="5"/>
    <n v="0"/>
    <n v="0"/>
    <n v="0"/>
    <n v="4"/>
    <n v="5"/>
    <n v="6"/>
    <n v="0"/>
    <n v="0"/>
    <n v="1.25"/>
    <n v="0"/>
    <n v="0"/>
    <n v="0"/>
    <n v="1.33"/>
    <n v="1.67"/>
    <n v="1"/>
    <n v="0"/>
    <n v="21.333333333333332"/>
    <n v="0.67"/>
  </r>
  <r>
    <s v="Q"/>
    <x v="7"/>
    <x v="4"/>
    <x v="0"/>
    <s v="A"/>
    <n v="0"/>
    <n v="0"/>
    <n v="0"/>
    <n v="0"/>
    <m/>
    <n v="1"/>
    <n v="1"/>
    <m/>
    <n v="1"/>
    <m/>
    <m/>
    <n v="1"/>
    <n v="1"/>
    <n v="0"/>
    <n v="0"/>
    <n v="0"/>
    <n v="0"/>
    <n v="0"/>
    <n v="0"/>
    <n v="0"/>
    <n v="0"/>
    <n v="0"/>
    <n v="0"/>
    <n v="0"/>
    <n v="0"/>
    <n v="1"/>
    <n v="0"/>
    <n v="0"/>
    <n v="0"/>
    <n v="0"/>
    <n v="1"/>
    <n v="1"/>
    <n v="0"/>
    <n v="5"/>
    <n v="0"/>
    <n v="0"/>
    <n v="0"/>
    <n v="0"/>
    <n v="5"/>
    <n v="5"/>
    <n v="3"/>
    <n v="1"/>
    <n v="0"/>
    <n v="0"/>
    <m/>
    <n v="0"/>
    <n v="1"/>
    <n v="1"/>
    <n v="0"/>
    <n v="0"/>
    <n v="0"/>
    <n v="0"/>
    <n v="0"/>
    <n v="15"/>
    <n v="5"/>
    <n v="0"/>
    <n v="20"/>
    <n v="1"/>
    <n v="0"/>
    <n v="0"/>
    <n v="0"/>
    <n v="0"/>
    <n v="0"/>
    <n v="0"/>
    <n v="0"/>
    <n v="2"/>
    <n v="2"/>
    <n v="0"/>
    <n v="0"/>
    <n v="2"/>
    <n v="2"/>
    <n v="2"/>
    <n v="0"/>
    <n v="0"/>
    <n v="0"/>
    <n v="6"/>
    <n v="2"/>
    <n v="4"/>
    <n v="4"/>
    <n v="2"/>
    <n v="3"/>
    <n v="3"/>
    <n v="3"/>
    <n v="3"/>
    <n v="6"/>
    <n v="0"/>
    <n v="0"/>
    <n v="5"/>
    <n v="0"/>
    <n v="0"/>
    <n v="0"/>
    <n v="4"/>
    <n v="5"/>
    <n v="6"/>
    <n v="0"/>
    <n v="0"/>
    <n v="1.25"/>
    <n v="0"/>
    <n v="0"/>
    <n v="0"/>
    <n v="1.33"/>
    <n v="1.67"/>
    <n v="1"/>
    <n v="0"/>
    <n v="21.333333333333332"/>
    <n v="0.67"/>
  </r>
  <r>
    <s v="Q"/>
    <x v="6"/>
    <x v="4"/>
    <x v="1"/>
    <s v="F"/>
    <n v="0"/>
    <n v="0"/>
    <n v="0"/>
    <n v="0"/>
    <m/>
    <n v="1"/>
    <n v="1"/>
    <m/>
    <m/>
    <n v="1"/>
    <n v="1"/>
    <m/>
    <n v="1"/>
    <n v="0"/>
    <n v="0"/>
    <n v="0"/>
    <n v="0"/>
    <n v="0"/>
    <n v="0"/>
    <n v="0"/>
    <n v="0"/>
    <n v="0"/>
    <n v="0"/>
    <n v="0"/>
    <n v="0"/>
    <n v="1"/>
    <n v="0"/>
    <n v="0"/>
    <n v="0"/>
    <n v="1"/>
    <n v="0"/>
    <n v="1"/>
    <n v="0"/>
    <n v="5"/>
    <n v="0"/>
    <n v="0"/>
    <n v="0"/>
    <n v="5"/>
    <n v="0"/>
    <n v="5"/>
    <n v="3"/>
    <n v="0"/>
    <n v="0"/>
    <n v="0"/>
    <m/>
    <n v="0"/>
    <n v="0"/>
    <n v="0"/>
    <n v="0"/>
    <n v="0"/>
    <n v="0"/>
    <n v="0"/>
    <n v="0"/>
    <n v="15"/>
    <n v="0"/>
    <n v="0"/>
    <n v="15"/>
    <n v="1"/>
    <n v="7"/>
    <n v="0"/>
    <n v="0"/>
    <n v="0"/>
    <n v="0"/>
    <n v="0"/>
    <n v="0"/>
    <n v="2"/>
    <n v="2"/>
    <n v="0"/>
    <n v="0"/>
    <n v="2"/>
    <n v="2"/>
    <n v="2"/>
    <n v="0"/>
    <n v="0"/>
    <n v="0"/>
    <n v="6"/>
    <n v="2"/>
    <n v="4"/>
    <n v="4"/>
    <n v="2"/>
    <n v="3"/>
    <n v="3"/>
    <n v="3"/>
    <n v="3"/>
    <n v="6"/>
    <n v="0"/>
    <n v="0"/>
    <n v="5"/>
    <n v="0"/>
    <n v="0"/>
    <n v="0"/>
    <n v="4"/>
    <n v="5"/>
    <n v="6"/>
    <n v="0"/>
    <n v="0"/>
    <n v="1.25"/>
    <n v="0"/>
    <n v="0"/>
    <n v="0"/>
    <n v="1.33"/>
    <n v="1.67"/>
    <n v="1"/>
    <n v="0"/>
    <n v="21.333333333333332"/>
    <n v="0.67"/>
  </r>
  <r>
    <s v="Q"/>
    <x v="0"/>
    <x v="5"/>
    <x v="1"/>
    <s v="F"/>
    <n v="0"/>
    <n v="0"/>
    <n v="0"/>
    <n v="3"/>
    <n v="1"/>
    <m/>
    <m/>
    <n v="1"/>
    <n v="1"/>
    <m/>
    <m/>
    <n v="1"/>
    <n v="1"/>
    <n v="0"/>
    <n v="1"/>
    <n v="0"/>
    <n v="0"/>
    <n v="0"/>
    <n v="0"/>
    <n v="0"/>
    <n v="0"/>
    <n v="0"/>
    <n v="0"/>
    <n v="0"/>
    <n v="0"/>
    <n v="0"/>
    <n v="0"/>
    <n v="0"/>
    <n v="0"/>
    <n v="0"/>
    <n v="2"/>
    <n v="2"/>
    <n v="0"/>
    <n v="0"/>
    <n v="0"/>
    <n v="0"/>
    <n v="0"/>
    <n v="0"/>
    <n v="10"/>
    <n v="10"/>
    <n v="4"/>
    <n v="0"/>
    <n v="0"/>
    <n v="0"/>
    <m/>
    <n v="0"/>
    <n v="0"/>
    <n v="0"/>
    <n v="0"/>
    <n v="6"/>
    <n v="6"/>
    <n v="3"/>
    <n v="10"/>
    <n v="20"/>
    <n v="0"/>
    <n v="0"/>
    <n v="36"/>
    <n v="2"/>
    <n v="1"/>
    <n v="1"/>
    <n v="4"/>
    <n v="0"/>
    <n v="0"/>
    <n v="0"/>
    <n v="0"/>
    <n v="2"/>
    <n v="2"/>
    <n v="0"/>
    <n v="0"/>
    <n v="2"/>
    <n v="2"/>
    <n v="2"/>
    <n v="1"/>
    <n v="2.67"/>
    <n v="0"/>
    <n v="6"/>
    <n v="1"/>
    <n v="5"/>
    <n v="5"/>
    <n v="1"/>
    <n v="3"/>
    <n v="3"/>
    <n v="3"/>
    <n v="3"/>
    <n v="6"/>
    <n v="0"/>
    <n v="0"/>
    <n v="5"/>
    <n v="0"/>
    <n v="0"/>
    <n v="0"/>
    <n v="1"/>
    <n v="3"/>
    <n v="6"/>
    <n v="0"/>
    <n v="0"/>
    <n v="1"/>
    <n v="0"/>
    <n v="0"/>
    <n v="0"/>
    <n v="0.33"/>
    <n v="1"/>
    <n v="1"/>
    <n v="4"/>
    <n v="26"/>
    <n v="0.83"/>
  </r>
  <r>
    <s v="Q"/>
    <x v="10"/>
    <x v="5"/>
    <x v="0"/>
    <s v="C"/>
    <n v="0"/>
    <n v="0"/>
    <n v="0"/>
    <n v="3"/>
    <m/>
    <n v="1"/>
    <n v="1"/>
    <m/>
    <m/>
    <n v="1"/>
    <n v="1"/>
    <m/>
    <n v="1"/>
    <n v="1"/>
    <n v="0"/>
    <n v="0"/>
    <n v="0"/>
    <n v="0"/>
    <n v="0"/>
    <n v="0"/>
    <n v="0"/>
    <n v="0"/>
    <n v="0"/>
    <n v="0"/>
    <n v="0"/>
    <n v="1"/>
    <n v="0"/>
    <n v="0"/>
    <n v="0"/>
    <n v="0"/>
    <n v="0"/>
    <n v="2"/>
    <n v="0"/>
    <n v="5"/>
    <n v="0"/>
    <n v="0"/>
    <n v="0"/>
    <n v="0"/>
    <n v="0"/>
    <n v="10"/>
    <n v="3"/>
    <n v="0"/>
    <n v="1"/>
    <n v="0"/>
    <m/>
    <n v="0"/>
    <n v="0"/>
    <n v="1"/>
    <n v="0"/>
    <n v="6"/>
    <n v="6"/>
    <n v="3"/>
    <n v="2"/>
    <n v="15"/>
    <n v="0"/>
    <n v="15"/>
    <n v="38"/>
    <n v="2"/>
    <n v="0"/>
    <n v="1"/>
    <n v="4"/>
    <n v="0"/>
    <n v="0"/>
    <n v="0"/>
    <n v="0"/>
    <n v="2"/>
    <n v="2"/>
    <n v="0"/>
    <n v="0"/>
    <n v="2"/>
    <n v="2"/>
    <n v="2"/>
    <n v="1"/>
    <n v="2.67"/>
    <n v="0"/>
    <n v="6"/>
    <n v="1"/>
    <n v="5"/>
    <n v="5"/>
    <n v="1"/>
    <n v="3"/>
    <n v="3"/>
    <n v="3"/>
    <n v="3"/>
    <n v="6"/>
    <n v="0"/>
    <n v="0"/>
    <n v="5"/>
    <n v="0"/>
    <n v="0"/>
    <n v="0"/>
    <n v="1"/>
    <n v="3"/>
    <n v="6"/>
    <n v="0"/>
    <n v="0"/>
    <n v="1"/>
    <n v="0"/>
    <n v="0"/>
    <n v="0"/>
    <n v="0.33"/>
    <n v="1"/>
    <n v="1"/>
    <n v="4"/>
    <n v="26"/>
    <n v="0.83"/>
  </r>
  <r>
    <s v="Q"/>
    <x v="9"/>
    <x v="5"/>
    <x v="0"/>
    <s v="H"/>
    <n v="0"/>
    <n v="0"/>
    <n v="0"/>
    <n v="4"/>
    <m/>
    <n v="1"/>
    <n v="1"/>
    <m/>
    <n v="1"/>
    <m/>
    <m/>
    <n v="1"/>
    <n v="1"/>
    <n v="0"/>
    <n v="0"/>
    <n v="0"/>
    <n v="0"/>
    <n v="0"/>
    <n v="0"/>
    <n v="0"/>
    <n v="0"/>
    <n v="0"/>
    <n v="0"/>
    <n v="0"/>
    <n v="0"/>
    <n v="0"/>
    <n v="0"/>
    <n v="0"/>
    <n v="0"/>
    <n v="0"/>
    <n v="1"/>
    <n v="0"/>
    <n v="0"/>
    <n v="0"/>
    <n v="0"/>
    <n v="0"/>
    <n v="0"/>
    <n v="0"/>
    <n v="5"/>
    <n v="0"/>
    <n v="1"/>
    <n v="1"/>
    <n v="0"/>
    <n v="0"/>
    <m/>
    <n v="0"/>
    <n v="0"/>
    <n v="1"/>
    <n v="0"/>
    <n v="8"/>
    <n v="8"/>
    <n v="4"/>
    <n v="0"/>
    <n v="5"/>
    <n v="5"/>
    <n v="0"/>
    <n v="18"/>
    <n v="2"/>
    <n v="0"/>
    <n v="1"/>
    <n v="4"/>
    <n v="0"/>
    <n v="0"/>
    <n v="0"/>
    <n v="0"/>
    <n v="2"/>
    <n v="2"/>
    <n v="0"/>
    <n v="0"/>
    <n v="2"/>
    <n v="2"/>
    <n v="2"/>
    <n v="1"/>
    <n v="2.67"/>
    <n v="0"/>
    <n v="6"/>
    <n v="1"/>
    <n v="5"/>
    <n v="5"/>
    <n v="1"/>
    <n v="3"/>
    <n v="3"/>
    <n v="3"/>
    <n v="3"/>
    <n v="6"/>
    <n v="0"/>
    <n v="0"/>
    <n v="5"/>
    <n v="0"/>
    <n v="0"/>
    <n v="0"/>
    <n v="1"/>
    <n v="3"/>
    <n v="6"/>
    <n v="0"/>
    <n v="0"/>
    <n v="1"/>
    <n v="0"/>
    <n v="0"/>
    <n v="0"/>
    <n v="0.33"/>
    <n v="1"/>
    <n v="1"/>
    <n v="4"/>
    <n v="26"/>
    <n v="0.83"/>
  </r>
  <r>
    <s v="Q"/>
    <x v="8"/>
    <x v="5"/>
    <x v="0"/>
    <s v="E"/>
    <n v="0"/>
    <n v="0"/>
    <n v="0"/>
    <n v="3"/>
    <m/>
    <n v="1"/>
    <n v="1"/>
    <m/>
    <m/>
    <n v="1"/>
    <n v="1"/>
    <m/>
    <n v="1"/>
    <n v="1"/>
    <n v="0"/>
    <n v="0"/>
    <n v="0"/>
    <n v="0"/>
    <n v="0"/>
    <n v="0"/>
    <n v="0"/>
    <n v="0"/>
    <n v="0"/>
    <n v="0"/>
    <n v="0"/>
    <n v="2"/>
    <n v="0"/>
    <n v="0"/>
    <n v="0"/>
    <n v="0"/>
    <n v="0"/>
    <n v="0"/>
    <n v="0"/>
    <n v="10"/>
    <n v="0"/>
    <n v="0"/>
    <n v="0"/>
    <n v="0"/>
    <n v="0"/>
    <n v="0"/>
    <n v="2"/>
    <n v="1"/>
    <n v="0"/>
    <n v="0"/>
    <m/>
    <n v="0"/>
    <n v="1"/>
    <n v="1"/>
    <n v="0"/>
    <n v="6"/>
    <n v="6"/>
    <n v="3"/>
    <n v="2"/>
    <n v="10"/>
    <n v="5"/>
    <n v="0"/>
    <n v="23"/>
    <n v="2"/>
    <n v="0"/>
    <n v="1"/>
    <n v="4"/>
    <n v="0"/>
    <n v="0"/>
    <n v="0"/>
    <n v="0"/>
    <n v="2"/>
    <n v="2"/>
    <n v="0"/>
    <n v="0"/>
    <n v="2"/>
    <n v="2"/>
    <n v="2"/>
    <n v="1"/>
    <n v="2.67"/>
    <n v="0"/>
    <n v="6"/>
    <n v="1"/>
    <n v="5"/>
    <n v="5"/>
    <n v="1"/>
    <n v="3"/>
    <n v="3"/>
    <n v="3"/>
    <n v="3"/>
    <n v="6"/>
    <n v="0"/>
    <n v="0"/>
    <n v="5"/>
    <n v="0"/>
    <n v="0"/>
    <n v="0"/>
    <n v="1"/>
    <n v="3"/>
    <n v="6"/>
    <n v="0"/>
    <n v="0"/>
    <n v="1"/>
    <n v="0"/>
    <n v="0"/>
    <n v="0"/>
    <n v="0.33"/>
    <n v="1"/>
    <n v="1"/>
    <n v="4"/>
    <n v="26"/>
    <n v="0.83"/>
  </r>
  <r>
    <s v="Q"/>
    <x v="7"/>
    <x v="5"/>
    <x v="1"/>
    <s v="B"/>
    <n v="0"/>
    <n v="0"/>
    <n v="0"/>
    <n v="1"/>
    <m/>
    <n v="1"/>
    <n v="1"/>
    <m/>
    <n v="1"/>
    <m/>
    <m/>
    <n v="1"/>
    <n v="1"/>
    <n v="0"/>
    <n v="0"/>
    <n v="0"/>
    <n v="0"/>
    <n v="0"/>
    <n v="0"/>
    <n v="0"/>
    <n v="0"/>
    <n v="0"/>
    <n v="0"/>
    <n v="0"/>
    <n v="0"/>
    <n v="0"/>
    <n v="0"/>
    <n v="0"/>
    <n v="0"/>
    <n v="0"/>
    <n v="0"/>
    <n v="0"/>
    <n v="0"/>
    <n v="0"/>
    <n v="0"/>
    <n v="0"/>
    <n v="0"/>
    <n v="0"/>
    <n v="0"/>
    <n v="0"/>
    <n v="0"/>
    <n v="1"/>
    <n v="0"/>
    <n v="0"/>
    <m/>
    <n v="0"/>
    <n v="1"/>
    <n v="1"/>
    <n v="0"/>
    <n v="2"/>
    <n v="2"/>
    <n v="1"/>
    <n v="0"/>
    <n v="0"/>
    <n v="5"/>
    <n v="0"/>
    <n v="7"/>
    <n v="2"/>
    <n v="0"/>
    <n v="1"/>
    <n v="4"/>
    <n v="0"/>
    <n v="0"/>
    <n v="0"/>
    <n v="0"/>
    <n v="2"/>
    <n v="2"/>
    <n v="0"/>
    <n v="0"/>
    <n v="2"/>
    <n v="2"/>
    <n v="2"/>
    <n v="1"/>
    <n v="2.67"/>
    <n v="0"/>
    <n v="6"/>
    <n v="1"/>
    <n v="5"/>
    <n v="5"/>
    <n v="1"/>
    <n v="3"/>
    <n v="3"/>
    <n v="3"/>
    <n v="3"/>
    <n v="6"/>
    <n v="0"/>
    <n v="0"/>
    <n v="5"/>
    <n v="0"/>
    <n v="0"/>
    <n v="0"/>
    <n v="1"/>
    <n v="3"/>
    <n v="6"/>
    <n v="0"/>
    <n v="0"/>
    <n v="1"/>
    <n v="0"/>
    <n v="0"/>
    <n v="0"/>
    <n v="0.33"/>
    <n v="1"/>
    <n v="1"/>
    <n v="4"/>
    <n v="26"/>
    <n v="0.83"/>
  </r>
  <r>
    <s v="Q"/>
    <x v="6"/>
    <x v="5"/>
    <x v="1"/>
    <s v="G"/>
    <n v="0"/>
    <n v="0"/>
    <n v="0"/>
    <n v="2"/>
    <m/>
    <n v="1"/>
    <n v="1"/>
    <m/>
    <m/>
    <n v="1"/>
    <n v="1"/>
    <m/>
    <n v="1"/>
    <n v="0"/>
    <n v="0"/>
    <n v="0"/>
    <n v="0"/>
    <n v="0"/>
    <n v="0"/>
    <n v="0"/>
    <n v="0"/>
    <n v="0"/>
    <n v="0"/>
    <n v="0"/>
    <n v="0"/>
    <n v="2"/>
    <n v="0"/>
    <n v="0"/>
    <n v="0"/>
    <n v="1"/>
    <n v="0"/>
    <n v="2"/>
    <n v="0"/>
    <n v="10"/>
    <n v="0"/>
    <n v="0"/>
    <n v="0"/>
    <n v="5"/>
    <n v="0"/>
    <n v="10"/>
    <n v="5"/>
    <n v="1"/>
    <n v="0"/>
    <n v="0"/>
    <m/>
    <n v="0"/>
    <n v="0"/>
    <n v="1"/>
    <n v="0"/>
    <n v="4"/>
    <n v="4"/>
    <n v="2"/>
    <n v="0"/>
    <n v="25"/>
    <n v="5"/>
    <n v="0"/>
    <n v="34"/>
    <n v="2"/>
    <n v="0"/>
    <n v="1"/>
    <n v="4"/>
    <n v="0"/>
    <n v="0"/>
    <n v="0"/>
    <n v="0"/>
    <n v="2"/>
    <n v="2"/>
    <n v="0"/>
    <n v="0"/>
    <n v="2"/>
    <n v="2"/>
    <n v="2"/>
    <n v="1"/>
    <n v="2.67"/>
    <n v="0"/>
    <n v="6"/>
    <n v="1"/>
    <n v="5"/>
    <n v="5"/>
    <n v="1"/>
    <n v="3"/>
    <n v="3"/>
    <n v="3"/>
    <n v="3"/>
    <n v="6"/>
    <n v="0"/>
    <n v="0"/>
    <n v="5"/>
    <n v="0"/>
    <n v="0"/>
    <n v="0"/>
    <n v="1"/>
    <n v="3"/>
    <n v="6"/>
    <n v="0"/>
    <n v="0"/>
    <n v="1"/>
    <n v="0"/>
    <n v="0"/>
    <n v="0"/>
    <n v="0.33"/>
    <n v="1"/>
    <n v="1"/>
    <n v="4"/>
    <n v="26"/>
    <n v="0.83"/>
  </r>
  <r>
    <s v="Q"/>
    <x v="11"/>
    <x v="6"/>
    <x v="0"/>
    <s v="H"/>
    <n v="0"/>
    <n v="1"/>
    <n v="0"/>
    <n v="2"/>
    <m/>
    <n v="1"/>
    <n v="1"/>
    <m/>
    <n v="1"/>
    <m/>
    <m/>
    <n v="1"/>
    <n v="1"/>
    <n v="0"/>
    <n v="0"/>
    <n v="0"/>
    <n v="0"/>
    <n v="0"/>
    <n v="0"/>
    <n v="0"/>
    <n v="0"/>
    <n v="0"/>
    <n v="0"/>
    <n v="0"/>
    <n v="0"/>
    <n v="1"/>
    <n v="0"/>
    <n v="0"/>
    <n v="0"/>
    <n v="0"/>
    <n v="2"/>
    <n v="3"/>
    <n v="0"/>
    <n v="5"/>
    <n v="0"/>
    <n v="0"/>
    <n v="0"/>
    <n v="0"/>
    <n v="10"/>
    <n v="15"/>
    <n v="6"/>
    <n v="1"/>
    <n v="0"/>
    <n v="0"/>
    <m/>
    <n v="0"/>
    <n v="0"/>
    <n v="1"/>
    <n v="0"/>
    <n v="9"/>
    <n v="9"/>
    <n v="2"/>
    <n v="5"/>
    <n v="30"/>
    <n v="5"/>
    <n v="0"/>
    <n v="49"/>
    <n v="3"/>
    <n v="7"/>
    <n v="2"/>
    <n v="6"/>
    <n v="0"/>
    <n v="0"/>
    <n v="2"/>
    <n v="2"/>
    <n v="3"/>
    <n v="3"/>
    <n v="2"/>
    <n v="2"/>
    <n v="3"/>
    <n v="3"/>
    <n v="4"/>
    <n v="1"/>
    <n v="2.4"/>
    <n v="0"/>
    <n v="5"/>
    <n v="0"/>
    <n v="5"/>
    <n v="5"/>
    <n v="0"/>
    <n v="3"/>
    <n v="2"/>
    <n v="2"/>
    <n v="3"/>
    <n v="5"/>
    <n v="0"/>
    <n v="2"/>
    <n v="5"/>
    <n v="0"/>
    <n v="0"/>
    <n v="3"/>
    <n v="3"/>
    <n v="6"/>
    <n v="14"/>
    <n v="0"/>
    <n v="0.4"/>
    <n v="1"/>
    <n v="0"/>
    <n v="0"/>
    <n v="1.5"/>
    <n v="0.4"/>
    <n v="1"/>
    <n v="0"/>
    <n v="3"/>
    <n v="48.6"/>
    <n v="0.8"/>
  </r>
  <r>
    <s v="Q"/>
    <x v="10"/>
    <x v="6"/>
    <x v="0"/>
    <s v="E"/>
    <n v="0"/>
    <n v="0"/>
    <n v="0"/>
    <n v="2"/>
    <m/>
    <n v="1"/>
    <n v="1"/>
    <m/>
    <m/>
    <n v="1"/>
    <n v="1"/>
    <m/>
    <n v="1"/>
    <n v="0"/>
    <n v="0"/>
    <n v="0"/>
    <n v="0"/>
    <n v="0"/>
    <n v="0"/>
    <n v="0"/>
    <n v="0"/>
    <n v="0"/>
    <n v="0"/>
    <n v="0"/>
    <n v="1"/>
    <n v="0"/>
    <n v="0"/>
    <n v="0"/>
    <n v="1"/>
    <n v="2"/>
    <n v="0"/>
    <n v="1"/>
    <n v="5"/>
    <n v="0"/>
    <n v="0"/>
    <n v="0"/>
    <n v="5"/>
    <n v="10"/>
    <n v="0"/>
    <n v="5"/>
    <n v="5"/>
    <n v="1"/>
    <n v="0"/>
    <n v="0"/>
    <m/>
    <n v="0"/>
    <n v="1"/>
    <n v="1"/>
    <n v="0"/>
    <n v="4"/>
    <n v="4"/>
    <n v="2"/>
    <n v="0"/>
    <n v="25"/>
    <n v="5"/>
    <n v="0"/>
    <n v="34"/>
    <n v="3"/>
    <n v="0"/>
    <n v="2"/>
    <n v="6"/>
    <n v="0"/>
    <n v="0"/>
    <n v="2"/>
    <n v="2"/>
    <n v="3"/>
    <n v="3"/>
    <n v="2"/>
    <n v="2"/>
    <n v="3"/>
    <n v="3"/>
    <n v="4"/>
    <n v="1"/>
    <n v="2.4"/>
    <n v="0"/>
    <n v="5"/>
    <n v="0"/>
    <n v="5"/>
    <n v="5"/>
    <n v="0"/>
    <n v="3"/>
    <n v="2"/>
    <n v="2"/>
    <n v="3"/>
    <n v="5"/>
    <n v="0"/>
    <n v="2"/>
    <n v="5"/>
    <n v="0"/>
    <n v="0"/>
    <n v="3"/>
    <n v="3"/>
    <n v="6"/>
    <n v="14"/>
    <n v="0"/>
    <n v="0.4"/>
    <n v="1"/>
    <n v="0"/>
    <n v="0"/>
    <n v="1.5"/>
    <n v="1.5"/>
    <n v="2"/>
    <n v="2.8"/>
    <n v="3"/>
    <n v="48.6"/>
    <n v="0.8"/>
  </r>
  <r>
    <s v="Q"/>
    <x v="9"/>
    <x v="6"/>
    <x v="1"/>
    <s v="B"/>
    <n v="0"/>
    <n v="1"/>
    <n v="0"/>
    <n v="3"/>
    <m/>
    <n v="1"/>
    <n v="1"/>
    <m/>
    <n v="1"/>
    <m/>
    <m/>
    <n v="1"/>
    <n v="1"/>
    <n v="1"/>
    <n v="0"/>
    <n v="0"/>
    <n v="0"/>
    <n v="0"/>
    <n v="0"/>
    <n v="0"/>
    <n v="0"/>
    <n v="0"/>
    <n v="0"/>
    <n v="0"/>
    <n v="0"/>
    <n v="2"/>
    <n v="0"/>
    <n v="0"/>
    <n v="0"/>
    <n v="0"/>
    <n v="1"/>
    <n v="4"/>
    <n v="0"/>
    <n v="10"/>
    <n v="0"/>
    <n v="0"/>
    <n v="0"/>
    <n v="0"/>
    <n v="5"/>
    <n v="10"/>
    <n v="7"/>
    <n v="0"/>
    <n v="0"/>
    <n v="0"/>
    <m/>
    <n v="0"/>
    <n v="0"/>
    <n v="0"/>
    <n v="0"/>
    <n v="11"/>
    <n v="11"/>
    <n v="3"/>
    <n v="7"/>
    <n v="25"/>
    <n v="0"/>
    <n v="0"/>
    <n v="43"/>
    <n v="3"/>
    <n v="0"/>
    <n v="2"/>
    <n v="6"/>
    <n v="0"/>
    <n v="0"/>
    <n v="2"/>
    <n v="2"/>
    <n v="3"/>
    <n v="3"/>
    <n v="2"/>
    <n v="2"/>
    <n v="3"/>
    <n v="3"/>
    <n v="4"/>
    <n v="1"/>
    <n v="2.4"/>
    <n v="0"/>
    <n v="5"/>
    <n v="0"/>
    <n v="5"/>
    <n v="5"/>
    <n v="0"/>
    <n v="3"/>
    <n v="2"/>
    <n v="2"/>
    <n v="3"/>
    <n v="5"/>
    <n v="0"/>
    <n v="2"/>
    <n v="5"/>
    <n v="0"/>
    <n v="0"/>
    <n v="3"/>
    <n v="3"/>
    <n v="6"/>
    <n v="14"/>
    <n v="0"/>
    <n v="0.4"/>
    <n v="1"/>
    <n v="0"/>
    <n v="0"/>
    <n v="1.5"/>
    <n v="1.5"/>
    <n v="2"/>
    <n v="2.8"/>
    <n v="3"/>
    <n v="48.6"/>
    <n v="0.8"/>
  </r>
  <r>
    <s v="Q"/>
    <x v="8"/>
    <x v="6"/>
    <x v="1"/>
    <s v="G"/>
    <n v="0"/>
    <n v="1"/>
    <n v="0"/>
    <n v="3"/>
    <m/>
    <n v="1"/>
    <n v="1"/>
    <m/>
    <m/>
    <n v="1"/>
    <n v="1"/>
    <m/>
    <n v="1"/>
    <n v="1"/>
    <n v="0"/>
    <n v="0"/>
    <n v="0"/>
    <n v="0"/>
    <n v="0"/>
    <n v="0"/>
    <n v="0"/>
    <n v="0"/>
    <n v="0"/>
    <n v="0"/>
    <n v="1"/>
    <n v="1"/>
    <n v="0"/>
    <n v="0"/>
    <n v="2"/>
    <n v="1"/>
    <n v="0"/>
    <n v="3"/>
    <n v="5"/>
    <n v="5"/>
    <n v="0"/>
    <n v="0"/>
    <n v="10"/>
    <n v="5"/>
    <n v="0"/>
    <n v="15"/>
    <n v="8"/>
    <n v="1"/>
    <n v="0"/>
    <n v="1"/>
    <m/>
    <n v="0"/>
    <n v="0"/>
    <n v="1"/>
    <n v="0"/>
    <n v="11"/>
    <n v="11"/>
    <n v="3"/>
    <n v="7"/>
    <n v="40"/>
    <n v="5"/>
    <n v="0"/>
    <n v="63"/>
    <n v="3"/>
    <n v="0"/>
    <n v="2"/>
    <n v="6"/>
    <n v="0"/>
    <n v="0"/>
    <n v="2"/>
    <n v="2"/>
    <n v="3"/>
    <n v="3"/>
    <n v="2"/>
    <n v="2"/>
    <n v="3"/>
    <n v="3"/>
    <n v="4"/>
    <n v="1"/>
    <n v="2.4"/>
    <n v="0"/>
    <n v="5"/>
    <n v="0"/>
    <n v="5"/>
    <n v="5"/>
    <n v="0"/>
    <n v="3"/>
    <n v="2"/>
    <n v="2"/>
    <n v="3"/>
    <n v="5"/>
    <n v="0"/>
    <n v="2"/>
    <n v="5"/>
    <n v="0"/>
    <n v="0"/>
    <n v="3"/>
    <n v="3"/>
    <n v="6"/>
    <n v="14"/>
    <n v="0"/>
    <n v="0.4"/>
    <n v="1"/>
    <n v="0"/>
    <n v="0"/>
    <n v="1.5"/>
    <n v="1.5"/>
    <n v="2"/>
    <n v="2.8"/>
    <n v="3"/>
    <n v="48.6"/>
    <n v="0.8"/>
  </r>
  <r>
    <s v="Q"/>
    <x v="7"/>
    <x v="6"/>
    <x v="1"/>
    <s v="D"/>
    <n v="0"/>
    <n v="1"/>
    <n v="0"/>
    <n v="2"/>
    <m/>
    <n v="1"/>
    <n v="1"/>
    <m/>
    <n v="1"/>
    <m/>
    <m/>
    <n v="1"/>
    <n v="1"/>
    <n v="0"/>
    <n v="0"/>
    <n v="0"/>
    <n v="0"/>
    <n v="0"/>
    <n v="0"/>
    <n v="0"/>
    <n v="0"/>
    <n v="0"/>
    <n v="0"/>
    <n v="0"/>
    <n v="0"/>
    <n v="1"/>
    <n v="0"/>
    <n v="0"/>
    <n v="0"/>
    <n v="0"/>
    <n v="3"/>
    <n v="3"/>
    <n v="0"/>
    <n v="5"/>
    <n v="0"/>
    <n v="0"/>
    <n v="0"/>
    <n v="0"/>
    <n v="15"/>
    <n v="15"/>
    <n v="7"/>
    <n v="1"/>
    <n v="0"/>
    <n v="0"/>
    <m/>
    <n v="0"/>
    <n v="0"/>
    <n v="1"/>
    <n v="0"/>
    <n v="9"/>
    <n v="9"/>
    <n v="2"/>
    <n v="5"/>
    <n v="35"/>
    <n v="5"/>
    <n v="0"/>
    <n v="54"/>
    <n v="3"/>
    <n v="0"/>
    <n v="2"/>
    <n v="6"/>
    <n v="0"/>
    <n v="0"/>
    <n v="2"/>
    <n v="2"/>
    <n v="3"/>
    <n v="3"/>
    <n v="2"/>
    <n v="2"/>
    <n v="3"/>
    <n v="3"/>
    <n v="4"/>
    <n v="1"/>
    <n v="2.4"/>
    <n v="0"/>
    <n v="5"/>
    <n v="0"/>
    <n v="5"/>
    <n v="5"/>
    <n v="0"/>
    <n v="3"/>
    <n v="2"/>
    <n v="2"/>
    <n v="3"/>
    <n v="5"/>
    <n v="0"/>
    <n v="2"/>
    <n v="5"/>
    <n v="0"/>
    <n v="0"/>
    <n v="3"/>
    <n v="3"/>
    <n v="6"/>
    <n v="14"/>
    <n v="0"/>
    <n v="0.4"/>
    <n v="1"/>
    <n v="0"/>
    <n v="0"/>
    <n v="1.5"/>
    <n v="1.5"/>
    <n v="2"/>
    <n v="2.8"/>
    <n v="3"/>
    <n v="48.6"/>
    <n v="0.8"/>
  </r>
  <r>
    <s v="Q"/>
    <x v="11"/>
    <x v="7"/>
    <x v="0"/>
    <s v="A"/>
    <n v="0"/>
    <n v="0"/>
    <n v="1"/>
    <n v="1"/>
    <m/>
    <n v="1"/>
    <n v="1"/>
    <m/>
    <n v="1"/>
    <m/>
    <m/>
    <n v="1"/>
    <n v="1"/>
    <n v="1"/>
    <n v="0"/>
    <n v="0"/>
    <n v="0"/>
    <n v="0"/>
    <n v="0"/>
    <n v="0"/>
    <n v="0"/>
    <n v="0"/>
    <n v="0"/>
    <n v="0"/>
    <n v="3"/>
    <n v="1"/>
    <n v="0"/>
    <n v="2"/>
    <n v="0"/>
    <n v="0"/>
    <n v="0"/>
    <n v="0"/>
    <n v="15"/>
    <n v="5"/>
    <n v="0"/>
    <n v="10"/>
    <n v="0"/>
    <n v="0"/>
    <n v="0"/>
    <n v="0"/>
    <n v="6"/>
    <n v="1"/>
    <n v="0"/>
    <n v="0"/>
    <m/>
    <n v="0"/>
    <n v="0"/>
    <n v="1"/>
    <n v="5"/>
    <n v="2"/>
    <n v="7"/>
    <n v="2"/>
    <n v="2"/>
    <n v="30"/>
    <n v="5"/>
    <n v="0"/>
    <n v="44"/>
    <n v="4"/>
    <n v="0"/>
    <n v="1"/>
    <n v="4"/>
    <n v="1"/>
    <n v="4"/>
    <n v="3"/>
    <n v="3"/>
    <n v="4"/>
    <n v="4"/>
    <n v="3"/>
    <n v="3"/>
    <n v="4"/>
    <n v="4"/>
    <n v="5"/>
    <n v="0"/>
    <n v="3.2"/>
    <n v="2"/>
    <n v="5"/>
    <n v="1"/>
    <n v="4"/>
    <n v="4"/>
    <n v="1"/>
    <n v="2"/>
    <n v="3"/>
    <n v="3"/>
    <n v="2"/>
    <n v="5"/>
    <n v="0"/>
    <n v="8"/>
    <n v="9"/>
    <n v="1"/>
    <n v="4"/>
    <n v="6"/>
    <n v="2"/>
    <n v="3"/>
    <n v="9"/>
    <n v="0"/>
    <n v="2"/>
    <n v="2.25"/>
    <n v="1"/>
    <n v="2"/>
    <n v="2"/>
    <n v="0.67"/>
    <n v="1.5"/>
    <n v="1.8"/>
    <n v="6"/>
    <n v="70.8"/>
    <n v="0.8"/>
  </r>
  <r>
    <s v="Q"/>
    <x v="10"/>
    <x v="7"/>
    <x v="1"/>
    <s v="F"/>
    <n v="0"/>
    <n v="0"/>
    <n v="2"/>
    <n v="4"/>
    <m/>
    <n v="1"/>
    <n v="1"/>
    <m/>
    <m/>
    <n v="1"/>
    <n v="1"/>
    <m/>
    <n v="1"/>
    <n v="0"/>
    <n v="0"/>
    <n v="0"/>
    <n v="0"/>
    <n v="0"/>
    <n v="0"/>
    <n v="0"/>
    <n v="0"/>
    <n v="0"/>
    <n v="0"/>
    <n v="0"/>
    <n v="0"/>
    <n v="4"/>
    <n v="0"/>
    <n v="0"/>
    <n v="2"/>
    <n v="0"/>
    <n v="0"/>
    <n v="3"/>
    <n v="0"/>
    <n v="10"/>
    <n v="0"/>
    <n v="0"/>
    <n v="10"/>
    <n v="0"/>
    <n v="0"/>
    <n v="15"/>
    <n v="9"/>
    <n v="1"/>
    <n v="0"/>
    <n v="0"/>
    <m/>
    <n v="0"/>
    <n v="1"/>
    <n v="1"/>
    <n v="10"/>
    <n v="8"/>
    <n v="18"/>
    <n v="6"/>
    <n v="0"/>
    <n v="35"/>
    <n v="5"/>
    <n v="0"/>
    <n v="58"/>
    <n v="4"/>
    <n v="2"/>
    <n v="1"/>
    <n v="4"/>
    <n v="1"/>
    <n v="4"/>
    <n v="3"/>
    <n v="3"/>
    <n v="4"/>
    <n v="4"/>
    <n v="3"/>
    <n v="3"/>
    <n v="4"/>
    <n v="4"/>
    <n v="5"/>
    <n v="0"/>
    <n v="3.2"/>
    <n v="2"/>
    <n v="5"/>
    <n v="1"/>
    <n v="4"/>
    <n v="4"/>
    <n v="1"/>
    <n v="2"/>
    <n v="3"/>
    <n v="3"/>
    <n v="2"/>
    <n v="5"/>
    <n v="0"/>
    <n v="8"/>
    <n v="9"/>
    <n v="1"/>
    <n v="4"/>
    <n v="6"/>
    <n v="2"/>
    <n v="3"/>
    <n v="9"/>
    <n v="0"/>
    <n v="2"/>
    <n v="2.25"/>
    <n v="1"/>
    <n v="2"/>
    <n v="2"/>
    <n v="0.67"/>
    <n v="1.5"/>
    <n v="1.8"/>
    <n v="6"/>
    <n v="70.8"/>
    <n v="0.8"/>
  </r>
  <r>
    <s v="Q"/>
    <x v="9"/>
    <x v="7"/>
    <x v="1"/>
    <s v="C"/>
    <n v="1"/>
    <n v="0"/>
    <n v="2"/>
    <n v="4"/>
    <m/>
    <n v="1"/>
    <n v="1"/>
    <m/>
    <n v="1"/>
    <m/>
    <m/>
    <n v="1"/>
    <n v="1"/>
    <n v="0"/>
    <n v="0"/>
    <n v="0"/>
    <n v="0"/>
    <n v="0"/>
    <n v="0"/>
    <n v="0"/>
    <n v="0"/>
    <n v="0"/>
    <n v="0"/>
    <n v="0"/>
    <n v="3"/>
    <n v="1"/>
    <n v="0"/>
    <n v="2"/>
    <n v="0"/>
    <n v="0"/>
    <n v="3"/>
    <n v="1"/>
    <n v="15"/>
    <n v="5"/>
    <n v="0"/>
    <n v="10"/>
    <n v="0"/>
    <n v="0"/>
    <n v="15"/>
    <n v="5"/>
    <n v="10"/>
    <n v="0"/>
    <n v="0"/>
    <n v="1"/>
    <m/>
    <n v="0"/>
    <n v="0"/>
    <n v="0"/>
    <n v="20"/>
    <n v="8"/>
    <n v="28"/>
    <n v="6"/>
    <n v="10"/>
    <n v="50"/>
    <n v="0"/>
    <n v="0"/>
    <n v="88"/>
    <n v="4"/>
    <n v="9"/>
    <n v="1"/>
    <n v="4"/>
    <n v="1"/>
    <n v="4"/>
    <n v="3"/>
    <n v="3"/>
    <n v="4"/>
    <n v="4"/>
    <n v="3"/>
    <n v="3"/>
    <n v="4"/>
    <n v="4"/>
    <n v="5"/>
    <n v="0"/>
    <n v="3.2"/>
    <n v="2"/>
    <n v="5"/>
    <n v="1"/>
    <n v="4"/>
    <n v="4"/>
    <n v="1"/>
    <n v="2"/>
    <n v="3"/>
    <n v="3"/>
    <n v="2"/>
    <n v="5"/>
    <n v="0"/>
    <n v="8"/>
    <n v="9"/>
    <n v="1"/>
    <n v="4"/>
    <n v="6"/>
    <n v="2"/>
    <n v="3"/>
    <n v="9"/>
    <n v="0"/>
    <n v="2"/>
    <n v="2.25"/>
    <n v="1"/>
    <n v="2"/>
    <n v="2"/>
    <n v="0.67"/>
    <n v="1.5"/>
    <n v="1.8"/>
    <n v="6"/>
    <n v="70.8"/>
    <n v="0.8"/>
  </r>
  <r>
    <s v="Q"/>
    <x v="8"/>
    <x v="7"/>
    <x v="1"/>
    <s v="H"/>
    <n v="0"/>
    <n v="0"/>
    <n v="2"/>
    <n v="4"/>
    <m/>
    <n v="1"/>
    <n v="1"/>
    <m/>
    <m/>
    <n v="1"/>
    <n v="1"/>
    <m/>
    <n v="1"/>
    <n v="0"/>
    <n v="0"/>
    <n v="0"/>
    <n v="0"/>
    <n v="1"/>
    <n v="0"/>
    <n v="0"/>
    <n v="0"/>
    <n v="0"/>
    <n v="0"/>
    <n v="0"/>
    <n v="2"/>
    <n v="3"/>
    <n v="0"/>
    <n v="0"/>
    <n v="3"/>
    <n v="2"/>
    <n v="0"/>
    <n v="3"/>
    <n v="10"/>
    <n v="15"/>
    <n v="0"/>
    <n v="0"/>
    <n v="15"/>
    <n v="10"/>
    <n v="0"/>
    <n v="15"/>
    <n v="13"/>
    <n v="1"/>
    <n v="0"/>
    <n v="1"/>
    <m/>
    <n v="0"/>
    <n v="0"/>
    <n v="1"/>
    <n v="10"/>
    <n v="8"/>
    <n v="18"/>
    <n v="6"/>
    <n v="10"/>
    <n v="65"/>
    <n v="5"/>
    <n v="0"/>
    <n v="98"/>
    <n v="4"/>
    <n v="4"/>
    <n v="1"/>
    <n v="4"/>
    <n v="1"/>
    <n v="4"/>
    <n v="3"/>
    <n v="3"/>
    <n v="4"/>
    <n v="4"/>
    <n v="3"/>
    <n v="3"/>
    <n v="4"/>
    <n v="4"/>
    <n v="5"/>
    <n v="0"/>
    <n v="3.2"/>
    <n v="2"/>
    <n v="5"/>
    <n v="1"/>
    <n v="4"/>
    <n v="4"/>
    <n v="1"/>
    <n v="2"/>
    <n v="3"/>
    <n v="3"/>
    <n v="2"/>
    <n v="5"/>
    <n v="0"/>
    <n v="8"/>
    <n v="9"/>
    <n v="1"/>
    <n v="4"/>
    <n v="6"/>
    <n v="2"/>
    <n v="3"/>
    <n v="9"/>
    <n v="0"/>
    <n v="2"/>
    <n v="2.25"/>
    <n v="1"/>
    <n v="2"/>
    <n v="2"/>
    <n v="0.67"/>
    <n v="1.5"/>
    <n v="1.8"/>
    <n v="6"/>
    <n v="70.8"/>
    <n v="0.8"/>
  </r>
  <r>
    <s v="Q"/>
    <x v="5"/>
    <x v="7"/>
    <x v="0"/>
    <s v="E"/>
    <n v="1"/>
    <n v="0"/>
    <n v="3"/>
    <n v="3"/>
    <n v="1"/>
    <m/>
    <m/>
    <n v="1"/>
    <m/>
    <n v="1"/>
    <n v="1"/>
    <m/>
    <n v="1"/>
    <n v="0"/>
    <n v="0"/>
    <n v="0"/>
    <n v="0"/>
    <n v="0"/>
    <n v="0"/>
    <n v="0"/>
    <n v="0"/>
    <n v="0"/>
    <n v="0"/>
    <n v="0"/>
    <n v="0"/>
    <n v="0"/>
    <n v="1"/>
    <n v="0"/>
    <n v="1"/>
    <n v="0"/>
    <n v="0"/>
    <n v="2"/>
    <n v="0"/>
    <n v="0"/>
    <n v="5"/>
    <n v="0"/>
    <n v="5"/>
    <n v="0"/>
    <n v="0"/>
    <n v="10"/>
    <n v="4"/>
    <n v="1"/>
    <n v="0"/>
    <n v="0"/>
    <m/>
    <n v="0"/>
    <n v="0"/>
    <n v="1"/>
    <n v="25"/>
    <n v="6"/>
    <n v="31"/>
    <n v="6"/>
    <n v="10"/>
    <n v="20"/>
    <n v="5"/>
    <n v="0"/>
    <n v="66"/>
    <n v="4"/>
    <n v="4"/>
    <n v="1"/>
    <n v="4"/>
    <n v="1"/>
    <n v="4"/>
    <n v="3"/>
    <n v="3"/>
    <n v="4"/>
    <n v="4"/>
    <n v="3"/>
    <n v="3"/>
    <n v="4"/>
    <n v="4"/>
    <n v="5"/>
    <n v="0"/>
    <n v="3.2"/>
    <n v="2"/>
    <n v="5"/>
    <n v="1"/>
    <n v="4"/>
    <n v="4"/>
    <n v="1"/>
    <n v="2"/>
    <n v="3"/>
    <n v="3"/>
    <n v="2"/>
    <n v="5"/>
    <n v="0"/>
    <n v="8"/>
    <n v="9"/>
    <n v="1"/>
    <n v="4"/>
    <n v="6"/>
    <n v="2"/>
    <n v="3"/>
    <n v="9"/>
    <n v="0"/>
    <n v="2"/>
    <n v="2.25"/>
    <n v="1"/>
    <n v="2"/>
    <n v="2"/>
    <n v="0.67"/>
    <n v="1.5"/>
    <n v="1.8"/>
    <n v="6"/>
    <n v="70.8"/>
    <n v="0.8"/>
  </r>
  <r>
    <s v="Q"/>
    <x v="11"/>
    <x v="8"/>
    <x v="1"/>
    <s v="B"/>
    <n v="0"/>
    <n v="0"/>
    <n v="0"/>
    <n v="0"/>
    <m/>
    <n v="1"/>
    <n v="1"/>
    <m/>
    <n v="1"/>
    <m/>
    <m/>
    <n v="1"/>
    <n v="1"/>
    <n v="0"/>
    <n v="0"/>
    <n v="0"/>
    <n v="0"/>
    <n v="0"/>
    <n v="0"/>
    <n v="0"/>
    <n v="0"/>
    <n v="0"/>
    <n v="1"/>
    <n v="1"/>
    <n v="0"/>
    <n v="2"/>
    <n v="0"/>
    <n v="0"/>
    <n v="0"/>
    <n v="0"/>
    <n v="2"/>
    <n v="2"/>
    <n v="0"/>
    <n v="10"/>
    <n v="0"/>
    <n v="0"/>
    <n v="0"/>
    <n v="0"/>
    <n v="10"/>
    <n v="10"/>
    <n v="7"/>
    <n v="1"/>
    <n v="0"/>
    <n v="0"/>
    <m/>
    <n v="0"/>
    <n v="0"/>
    <n v="1"/>
    <n v="0"/>
    <n v="0"/>
    <n v="0"/>
    <n v="0"/>
    <n v="10"/>
    <n v="30"/>
    <n v="5"/>
    <n v="0"/>
    <n v="45"/>
    <n v="1"/>
    <n v="9"/>
    <n v="0"/>
    <n v="0"/>
    <n v="0"/>
    <n v="0"/>
    <n v="0"/>
    <n v="0"/>
    <n v="2"/>
    <n v="2"/>
    <n v="0"/>
    <n v="0"/>
    <n v="2"/>
    <n v="2"/>
    <n v="2"/>
    <n v="0"/>
    <n v="0"/>
    <n v="0"/>
    <n v="5"/>
    <n v="2"/>
    <n v="3"/>
    <n v="3"/>
    <n v="2"/>
    <n v="3"/>
    <n v="2"/>
    <n v="2"/>
    <n v="3"/>
    <n v="5"/>
    <n v="1"/>
    <n v="0"/>
    <n v="6"/>
    <n v="2"/>
    <n v="0"/>
    <n v="0"/>
    <n v="1"/>
    <n v="3"/>
    <n v="8"/>
    <n v="0.5"/>
    <n v="0"/>
    <n v="2"/>
    <n v="1"/>
    <n v="0"/>
    <n v="0"/>
    <n v="0.5"/>
    <n v="1"/>
    <n v="1.6"/>
    <n v="0"/>
    <n v="28.8"/>
    <n v="0.8"/>
  </r>
  <r>
    <s v="Q"/>
    <x v="10"/>
    <x v="8"/>
    <x v="1"/>
    <s v="G"/>
    <n v="0"/>
    <n v="0"/>
    <n v="0"/>
    <n v="0"/>
    <m/>
    <n v="1"/>
    <n v="1"/>
    <m/>
    <m/>
    <n v="1"/>
    <n v="1"/>
    <m/>
    <n v="1"/>
    <n v="1"/>
    <n v="0"/>
    <n v="0"/>
    <n v="0"/>
    <n v="0"/>
    <n v="0"/>
    <n v="0"/>
    <n v="0"/>
    <n v="0"/>
    <n v="0"/>
    <n v="0"/>
    <n v="0"/>
    <n v="2"/>
    <n v="0"/>
    <n v="0"/>
    <n v="0"/>
    <n v="1"/>
    <n v="0"/>
    <n v="0"/>
    <n v="0"/>
    <n v="10"/>
    <n v="0"/>
    <n v="0"/>
    <n v="0"/>
    <n v="5"/>
    <n v="0"/>
    <n v="0"/>
    <n v="3"/>
    <n v="0"/>
    <n v="0"/>
    <n v="0"/>
    <m/>
    <n v="0"/>
    <n v="0"/>
    <n v="0"/>
    <n v="0"/>
    <n v="0"/>
    <n v="0"/>
    <n v="0"/>
    <n v="2"/>
    <n v="15"/>
    <n v="0"/>
    <n v="0"/>
    <n v="17"/>
    <n v="1"/>
    <n v="0"/>
    <n v="0"/>
    <n v="0"/>
    <n v="0"/>
    <n v="0"/>
    <n v="0"/>
    <n v="0"/>
    <n v="2"/>
    <n v="2"/>
    <n v="0"/>
    <n v="0"/>
    <n v="2"/>
    <n v="2"/>
    <n v="2"/>
    <n v="0"/>
    <n v="0"/>
    <n v="0"/>
    <n v="5"/>
    <n v="2"/>
    <n v="3"/>
    <n v="3"/>
    <n v="2"/>
    <n v="3"/>
    <n v="2"/>
    <n v="2"/>
    <n v="3"/>
    <n v="5"/>
    <n v="1"/>
    <n v="0"/>
    <n v="6"/>
    <n v="2"/>
    <n v="0"/>
    <n v="0"/>
    <n v="1"/>
    <n v="3"/>
    <n v="8"/>
    <n v="0.5"/>
    <n v="0"/>
    <n v="2"/>
    <n v="1"/>
    <n v="0"/>
    <n v="0"/>
    <n v="0.5"/>
    <n v="1"/>
    <n v="1.6"/>
    <n v="0"/>
    <n v="28.8"/>
    <n v="0.8"/>
  </r>
  <r>
    <s v="Q"/>
    <x v="9"/>
    <x v="8"/>
    <x v="1"/>
    <s v="D"/>
    <n v="0"/>
    <n v="0"/>
    <n v="0"/>
    <n v="0"/>
    <m/>
    <n v="1"/>
    <n v="1"/>
    <m/>
    <n v="1"/>
    <m/>
    <m/>
    <n v="1"/>
    <n v="1"/>
    <n v="1"/>
    <n v="0"/>
    <n v="0"/>
    <n v="0"/>
    <n v="0"/>
    <n v="0"/>
    <n v="0"/>
    <n v="0"/>
    <n v="0"/>
    <n v="0"/>
    <n v="0"/>
    <n v="0"/>
    <n v="2"/>
    <n v="0"/>
    <n v="0"/>
    <n v="0"/>
    <n v="0"/>
    <n v="0"/>
    <n v="2"/>
    <n v="0"/>
    <n v="10"/>
    <n v="0"/>
    <n v="0"/>
    <n v="0"/>
    <n v="0"/>
    <n v="0"/>
    <n v="10"/>
    <n v="4"/>
    <n v="1"/>
    <n v="0"/>
    <n v="0"/>
    <m/>
    <n v="0"/>
    <n v="0"/>
    <n v="1"/>
    <n v="0"/>
    <n v="0"/>
    <n v="0"/>
    <n v="0"/>
    <n v="2"/>
    <n v="20"/>
    <n v="5"/>
    <n v="0"/>
    <n v="27"/>
    <n v="1"/>
    <n v="0"/>
    <n v="0"/>
    <n v="0"/>
    <n v="0"/>
    <n v="0"/>
    <n v="0"/>
    <n v="0"/>
    <n v="2"/>
    <n v="2"/>
    <n v="0"/>
    <n v="0"/>
    <n v="2"/>
    <n v="2"/>
    <n v="2"/>
    <n v="0"/>
    <n v="0"/>
    <n v="0"/>
    <n v="5"/>
    <n v="2"/>
    <n v="3"/>
    <n v="3"/>
    <n v="2"/>
    <n v="3"/>
    <n v="2"/>
    <n v="2"/>
    <n v="3"/>
    <n v="5"/>
    <n v="1"/>
    <n v="0"/>
    <n v="6"/>
    <n v="2"/>
    <n v="0"/>
    <n v="0"/>
    <n v="1"/>
    <n v="3"/>
    <n v="8"/>
    <n v="0.5"/>
    <n v="0"/>
    <n v="2"/>
    <n v="1"/>
    <n v="0"/>
    <n v="0"/>
    <n v="0.5"/>
    <n v="1"/>
    <n v="1.6"/>
    <n v="0"/>
    <n v="28.8"/>
    <n v="0.8"/>
  </r>
  <r>
    <s v="Q"/>
    <x v="4"/>
    <x v="8"/>
    <x v="0"/>
    <s v="A"/>
    <n v="0"/>
    <n v="0"/>
    <n v="0"/>
    <n v="0"/>
    <n v="1"/>
    <m/>
    <m/>
    <n v="1"/>
    <n v="1"/>
    <m/>
    <m/>
    <n v="1"/>
    <n v="1"/>
    <n v="0"/>
    <n v="0"/>
    <n v="0"/>
    <n v="0"/>
    <n v="0"/>
    <n v="1"/>
    <n v="0"/>
    <n v="0"/>
    <n v="0"/>
    <n v="0"/>
    <n v="0"/>
    <n v="0"/>
    <n v="0"/>
    <n v="2"/>
    <n v="0"/>
    <n v="0"/>
    <n v="0"/>
    <n v="1"/>
    <n v="2"/>
    <n v="0"/>
    <n v="0"/>
    <n v="10"/>
    <n v="0"/>
    <n v="0"/>
    <n v="0"/>
    <n v="5"/>
    <n v="10"/>
    <n v="5"/>
    <n v="1"/>
    <n v="0"/>
    <n v="0"/>
    <m/>
    <n v="0"/>
    <n v="0"/>
    <n v="1"/>
    <n v="0"/>
    <n v="0"/>
    <n v="0"/>
    <n v="0"/>
    <n v="10"/>
    <n v="25"/>
    <n v="5"/>
    <n v="0"/>
    <n v="40"/>
    <n v="1"/>
    <n v="5"/>
    <n v="0"/>
    <n v="0"/>
    <n v="0"/>
    <n v="0"/>
    <n v="0"/>
    <n v="0"/>
    <n v="2"/>
    <n v="2"/>
    <n v="0"/>
    <n v="0"/>
    <n v="2"/>
    <n v="2"/>
    <n v="2"/>
    <n v="0"/>
    <n v="0"/>
    <n v="0"/>
    <n v="5"/>
    <n v="2"/>
    <n v="3"/>
    <n v="3"/>
    <n v="2"/>
    <n v="3"/>
    <n v="2"/>
    <n v="2"/>
    <n v="3"/>
    <n v="5"/>
    <n v="1"/>
    <n v="0"/>
    <n v="6"/>
    <n v="2"/>
    <n v="0"/>
    <n v="0"/>
    <n v="1"/>
    <n v="3"/>
    <n v="8"/>
    <n v="0.5"/>
    <n v="0"/>
    <n v="2"/>
    <n v="1"/>
    <n v="0"/>
    <n v="0"/>
    <n v="0.5"/>
    <n v="1"/>
    <n v="1.6"/>
    <n v="0"/>
    <n v="28.8"/>
    <n v="0.8"/>
  </r>
  <r>
    <s v="Q"/>
    <x v="5"/>
    <x v="8"/>
    <x v="0"/>
    <s v="F"/>
    <n v="0"/>
    <n v="0"/>
    <n v="0"/>
    <n v="0"/>
    <n v="1"/>
    <m/>
    <m/>
    <n v="1"/>
    <m/>
    <n v="1"/>
    <n v="1"/>
    <m/>
    <n v="1"/>
    <n v="0"/>
    <n v="0"/>
    <n v="0"/>
    <n v="0"/>
    <n v="0"/>
    <n v="0"/>
    <n v="0"/>
    <n v="0"/>
    <n v="0"/>
    <n v="0"/>
    <n v="0"/>
    <n v="0"/>
    <n v="0"/>
    <n v="0"/>
    <n v="0"/>
    <n v="0"/>
    <n v="0"/>
    <n v="0"/>
    <n v="2"/>
    <n v="0"/>
    <n v="0"/>
    <n v="0"/>
    <n v="0"/>
    <n v="0"/>
    <n v="0"/>
    <n v="0"/>
    <n v="10"/>
    <n v="2"/>
    <n v="1"/>
    <n v="0"/>
    <n v="0"/>
    <m/>
    <n v="0"/>
    <n v="1"/>
    <n v="1"/>
    <n v="0"/>
    <n v="0"/>
    <n v="0"/>
    <n v="0"/>
    <n v="0"/>
    <n v="10"/>
    <n v="5"/>
    <n v="0"/>
    <n v="15"/>
    <n v="1"/>
    <n v="0"/>
    <n v="0"/>
    <n v="0"/>
    <n v="0"/>
    <n v="0"/>
    <n v="0"/>
    <n v="0"/>
    <n v="2"/>
    <n v="2"/>
    <n v="0"/>
    <n v="0"/>
    <n v="2"/>
    <n v="2"/>
    <n v="2"/>
    <n v="0"/>
    <n v="0"/>
    <n v="0"/>
    <n v="5"/>
    <n v="2"/>
    <n v="3"/>
    <n v="3"/>
    <n v="2"/>
    <n v="3"/>
    <n v="2"/>
    <n v="2"/>
    <n v="3"/>
    <n v="5"/>
    <n v="1"/>
    <n v="0"/>
    <n v="6"/>
    <n v="2"/>
    <n v="0"/>
    <n v="0"/>
    <n v="1"/>
    <n v="3"/>
    <n v="8"/>
    <n v="0.5"/>
    <n v="0"/>
    <n v="2"/>
    <n v="1"/>
    <n v="0"/>
    <n v="0"/>
    <n v="0.5"/>
    <n v="1"/>
    <n v="1.6"/>
    <n v="0"/>
    <n v="28.8"/>
    <n v="0.8"/>
  </r>
  <r>
    <s v="Q"/>
    <x v="11"/>
    <x v="9"/>
    <x v="1"/>
    <s v="C"/>
    <n v="0"/>
    <n v="0"/>
    <n v="0"/>
    <n v="1"/>
    <m/>
    <n v="1"/>
    <n v="1"/>
    <m/>
    <n v="1"/>
    <m/>
    <m/>
    <n v="1"/>
    <n v="1"/>
    <n v="1"/>
    <n v="0"/>
    <n v="0"/>
    <n v="0"/>
    <n v="0"/>
    <n v="0"/>
    <n v="0"/>
    <n v="0"/>
    <n v="0"/>
    <n v="0"/>
    <n v="0"/>
    <n v="0"/>
    <n v="1"/>
    <n v="0"/>
    <n v="0"/>
    <n v="0"/>
    <n v="0"/>
    <n v="1"/>
    <n v="1"/>
    <n v="0"/>
    <n v="5"/>
    <n v="0"/>
    <n v="0"/>
    <n v="0"/>
    <n v="0"/>
    <n v="5"/>
    <n v="5"/>
    <n v="3"/>
    <n v="1"/>
    <n v="0"/>
    <n v="0"/>
    <m/>
    <n v="0"/>
    <n v="1"/>
    <n v="1"/>
    <n v="0"/>
    <n v="2"/>
    <n v="2"/>
    <n v="1"/>
    <n v="2"/>
    <n v="15"/>
    <n v="5"/>
    <n v="0"/>
    <n v="24"/>
    <n v="2"/>
    <n v="0"/>
    <n v="1"/>
    <n v="4"/>
    <n v="0"/>
    <n v="0"/>
    <n v="0"/>
    <n v="0"/>
    <n v="2"/>
    <n v="2"/>
    <n v="0"/>
    <n v="0"/>
    <n v="2"/>
    <n v="2"/>
    <n v="2"/>
    <n v="1"/>
    <n v="2.6"/>
    <n v="0"/>
    <n v="5"/>
    <n v="3"/>
    <n v="2"/>
    <n v="2"/>
    <n v="3"/>
    <n v="2"/>
    <n v="3"/>
    <n v="3"/>
    <n v="2"/>
    <n v="5"/>
    <n v="0"/>
    <n v="0"/>
    <n v="2"/>
    <n v="3"/>
    <n v="0"/>
    <n v="0"/>
    <n v="3"/>
    <n v="3"/>
    <n v="3"/>
    <n v="0"/>
    <n v="0"/>
    <n v="1"/>
    <n v="1"/>
    <n v="0"/>
    <n v="0"/>
    <n v="1"/>
    <n v="1.5"/>
    <n v="0.6"/>
    <n v="4"/>
    <n v="27.2"/>
    <n v="0.8"/>
  </r>
  <r>
    <s v="Q"/>
    <x v="10"/>
    <x v="9"/>
    <x v="1"/>
    <s v="H"/>
    <n v="0"/>
    <n v="0"/>
    <n v="0"/>
    <n v="4"/>
    <m/>
    <n v="1"/>
    <n v="1"/>
    <m/>
    <m/>
    <n v="1"/>
    <n v="1"/>
    <m/>
    <n v="1"/>
    <n v="1"/>
    <n v="0"/>
    <n v="0"/>
    <n v="0"/>
    <n v="0"/>
    <n v="0"/>
    <n v="0"/>
    <n v="0"/>
    <n v="0"/>
    <n v="0"/>
    <n v="0"/>
    <n v="0"/>
    <n v="1"/>
    <n v="0"/>
    <n v="0"/>
    <n v="0"/>
    <n v="0"/>
    <n v="0"/>
    <n v="0"/>
    <n v="0"/>
    <n v="5"/>
    <n v="0"/>
    <n v="0"/>
    <n v="0"/>
    <n v="0"/>
    <n v="0"/>
    <n v="0"/>
    <n v="1"/>
    <n v="1"/>
    <n v="0"/>
    <n v="0"/>
    <m/>
    <n v="0"/>
    <n v="1"/>
    <n v="1"/>
    <n v="0"/>
    <n v="8"/>
    <n v="8"/>
    <n v="4"/>
    <n v="2"/>
    <n v="5"/>
    <n v="5"/>
    <n v="0"/>
    <n v="20"/>
    <n v="2"/>
    <n v="0"/>
    <n v="1"/>
    <n v="4"/>
    <n v="0"/>
    <n v="0"/>
    <n v="0"/>
    <n v="0"/>
    <n v="2"/>
    <n v="2"/>
    <n v="0"/>
    <n v="0"/>
    <n v="2"/>
    <n v="2"/>
    <n v="2"/>
    <n v="1"/>
    <n v="2.6"/>
    <n v="0"/>
    <n v="5"/>
    <n v="3"/>
    <n v="2"/>
    <n v="2"/>
    <n v="3"/>
    <n v="2"/>
    <n v="3"/>
    <n v="3"/>
    <n v="2"/>
    <n v="5"/>
    <n v="0"/>
    <n v="0"/>
    <n v="2"/>
    <n v="3"/>
    <n v="0"/>
    <n v="0"/>
    <n v="3"/>
    <n v="3"/>
    <n v="3"/>
    <n v="0"/>
    <n v="0"/>
    <n v="1"/>
    <n v="1"/>
    <n v="0"/>
    <n v="0"/>
    <n v="1"/>
    <n v="1.5"/>
    <n v="0.6"/>
    <n v="4"/>
    <n v="27.2"/>
    <n v="0.8"/>
  </r>
  <r>
    <s v="Q"/>
    <x v="3"/>
    <x v="9"/>
    <x v="0"/>
    <s v="E"/>
    <n v="0"/>
    <n v="0"/>
    <n v="0"/>
    <n v="3"/>
    <n v="1"/>
    <m/>
    <m/>
    <n v="1"/>
    <m/>
    <n v="1"/>
    <n v="1"/>
    <m/>
    <n v="1"/>
    <n v="1"/>
    <n v="0"/>
    <n v="0"/>
    <n v="0"/>
    <n v="0"/>
    <n v="0"/>
    <n v="0"/>
    <n v="0"/>
    <n v="0"/>
    <n v="0"/>
    <n v="0"/>
    <n v="0"/>
    <n v="0"/>
    <n v="1"/>
    <n v="0"/>
    <n v="0"/>
    <n v="2"/>
    <n v="0"/>
    <n v="2"/>
    <n v="0"/>
    <n v="0"/>
    <n v="5"/>
    <n v="0"/>
    <n v="0"/>
    <n v="10"/>
    <n v="0"/>
    <n v="10"/>
    <n v="5"/>
    <n v="0"/>
    <n v="1"/>
    <n v="0"/>
    <m/>
    <n v="0"/>
    <n v="0"/>
    <n v="1"/>
    <n v="0"/>
    <n v="6"/>
    <n v="6"/>
    <n v="3"/>
    <n v="2"/>
    <n v="25"/>
    <n v="0"/>
    <n v="15"/>
    <n v="48"/>
    <n v="2"/>
    <n v="0"/>
    <n v="1"/>
    <n v="4"/>
    <n v="0"/>
    <n v="0"/>
    <n v="0"/>
    <n v="0"/>
    <n v="2"/>
    <n v="2"/>
    <n v="0"/>
    <n v="0"/>
    <n v="2"/>
    <n v="2"/>
    <n v="2"/>
    <n v="1"/>
    <n v="2.6"/>
    <n v="0"/>
    <n v="5"/>
    <n v="3"/>
    <n v="2"/>
    <n v="2"/>
    <n v="3"/>
    <n v="2"/>
    <n v="3"/>
    <n v="3"/>
    <n v="2"/>
    <n v="5"/>
    <n v="0"/>
    <n v="0"/>
    <n v="2"/>
    <n v="3"/>
    <n v="0"/>
    <n v="0"/>
    <n v="3"/>
    <n v="3"/>
    <n v="3"/>
    <n v="0"/>
    <n v="0"/>
    <n v="1"/>
    <n v="1"/>
    <n v="0"/>
    <n v="0"/>
    <n v="1"/>
    <n v="1.5"/>
    <n v="0.6"/>
    <n v="4"/>
    <n v="27.2"/>
    <n v="0.8"/>
  </r>
  <r>
    <s v="Q"/>
    <x v="4"/>
    <x v="9"/>
    <x v="0"/>
    <s v="B"/>
    <n v="0"/>
    <n v="0"/>
    <n v="0"/>
    <n v="4"/>
    <n v="1"/>
    <m/>
    <m/>
    <n v="1"/>
    <n v="1"/>
    <m/>
    <m/>
    <n v="1"/>
    <n v="1"/>
    <n v="1"/>
    <n v="0"/>
    <n v="0"/>
    <n v="0"/>
    <n v="0"/>
    <n v="0"/>
    <n v="0"/>
    <n v="0"/>
    <n v="0"/>
    <n v="0"/>
    <n v="0"/>
    <n v="0"/>
    <n v="0"/>
    <n v="2"/>
    <n v="0"/>
    <n v="0"/>
    <n v="0"/>
    <n v="2"/>
    <n v="0"/>
    <n v="0"/>
    <n v="0"/>
    <n v="10"/>
    <n v="0"/>
    <n v="0"/>
    <n v="0"/>
    <n v="10"/>
    <n v="0"/>
    <n v="4"/>
    <n v="0"/>
    <n v="0"/>
    <n v="0"/>
    <m/>
    <n v="0"/>
    <n v="0"/>
    <n v="0"/>
    <n v="0"/>
    <n v="8"/>
    <n v="8"/>
    <n v="4"/>
    <n v="2"/>
    <n v="20"/>
    <n v="0"/>
    <n v="0"/>
    <n v="30"/>
    <n v="2"/>
    <n v="0"/>
    <n v="1"/>
    <n v="4"/>
    <n v="0"/>
    <n v="0"/>
    <n v="0"/>
    <n v="0"/>
    <n v="2"/>
    <n v="2"/>
    <n v="0"/>
    <n v="0"/>
    <n v="2"/>
    <n v="2"/>
    <n v="2"/>
    <n v="1"/>
    <n v="2.6"/>
    <n v="0"/>
    <n v="5"/>
    <n v="3"/>
    <n v="2"/>
    <n v="2"/>
    <n v="3"/>
    <n v="2"/>
    <n v="3"/>
    <n v="3"/>
    <n v="2"/>
    <n v="5"/>
    <n v="0"/>
    <n v="0"/>
    <n v="2"/>
    <n v="3"/>
    <n v="0"/>
    <n v="0"/>
    <n v="3"/>
    <n v="3"/>
    <n v="3"/>
    <n v="0"/>
    <n v="0"/>
    <n v="1"/>
    <n v="1"/>
    <n v="0"/>
    <n v="0"/>
    <n v="1"/>
    <n v="1.5"/>
    <n v="0.6"/>
    <n v="4"/>
    <n v="27.2"/>
    <n v="0.8"/>
  </r>
  <r>
    <s v="Q"/>
    <x v="5"/>
    <x v="9"/>
    <x v="0"/>
    <s v="G"/>
    <n v="0"/>
    <n v="0"/>
    <n v="0"/>
    <n v="1"/>
    <n v="1"/>
    <m/>
    <m/>
    <n v="1"/>
    <m/>
    <n v="1"/>
    <n v="1"/>
    <m/>
    <n v="1"/>
    <n v="1"/>
    <n v="0"/>
    <n v="0"/>
    <n v="0"/>
    <n v="0"/>
    <n v="0"/>
    <n v="0"/>
    <n v="0"/>
    <n v="0"/>
    <n v="0"/>
    <n v="0"/>
    <n v="0"/>
    <n v="0"/>
    <n v="0"/>
    <n v="0"/>
    <n v="0"/>
    <n v="1"/>
    <n v="0"/>
    <n v="0"/>
    <n v="0"/>
    <n v="0"/>
    <n v="0"/>
    <n v="0"/>
    <n v="0"/>
    <n v="5"/>
    <n v="0"/>
    <n v="0"/>
    <n v="1"/>
    <n v="1"/>
    <n v="0"/>
    <n v="0"/>
    <m/>
    <n v="0"/>
    <n v="0"/>
    <n v="1"/>
    <n v="0"/>
    <n v="2"/>
    <n v="2"/>
    <n v="1"/>
    <n v="2"/>
    <n v="5"/>
    <n v="5"/>
    <n v="0"/>
    <n v="14"/>
    <n v="2"/>
    <n v="0"/>
    <n v="1"/>
    <n v="4"/>
    <n v="0"/>
    <n v="0"/>
    <n v="0"/>
    <n v="0"/>
    <n v="2"/>
    <n v="2"/>
    <n v="0"/>
    <n v="0"/>
    <n v="2"/>
    <n v="2"/>
    <n v="2"/>
    <n v="1"/>
    <n v="2.6"/>
    <n v="0"/>
    <n v="5"/>
    <n v="3"/>
    <n v="2"/>
    <n v="2"/>
    <n v="3"/>
    <n v="2"/>
    <n v="3"/>
    <n v="3"/>
    <n v="2"/>
    <n v="5"/>
    <n v="0"/>
    <n v="0"/>
    <n v="2"/>
    <n v="3"/>
    <n v="0"/>
    <n v="0"/>
    <n v="3"/>
    <n v="3"/>
    <n v="3"/>
    <n v="0"/>
    <n v="0"/>
    <n v="1"/>
    <n v="1"/>
    <n v="0"/>
    <n v="0"/>
    <n v="1"/>
    <n v="1.5"/>
    <n v="0.6"/>
    <n v="4"/>
    <n v="27.2"/>
    <n v="0.8"/>
  </r>
  <r>
    <s v="Q"/>
    <x v="11"/>
    <x v="10"/>
    <x v="1"/>
    <s v="D"/>
    <n v="0"/>
    <n v="0"/>
    <n v="0"/>
    <n v="5"/>
    <m/>
    <n v="1"/>
    <n v="1"/>
    <m/>
    <n v="1"/>
    <m/>
    <m/>
    <n v="1"/>
    <n v="1"/>
    <n v="1"/>
    <n v="0"/>
    <n v="0"/>
    <n v="0"/>
    <n v="0"/>
    <n v="0"/>
    <n v="0"/>
    <n v="0"/>
    <n v="0"/>
    <n v="0"/>
    <n v="0"/>
    <n v="2"/>
    <n v="2"/>
    <n v="0"/>
    <n v="2"/>
    <n v="0"/>
    <n v="0"/>
    <n v="3"/>
    <n v="3"/>
    <n v="10"/>
    <n v="10"/>
    <n v="0"/>
    <n v="10"/>
    <n v="0"/>
    <n v="0"/>
    <n v="15"/>
    <n v="15"/>
    <n v="12"/>
    <n v="1"/>
    <n v="0"/>
    <n v="1"/>
    <m/>
    <n v="0"/>
    <n v="0"/>
    <n v="1"/>
    <n v="0"/>
    <n v="10"/>
    <n v="10"/>
    <n v="5"/>
    <n v="2"/>
    <n v="60"/>
    <n v="5"/>
    <n v="0"/>
    <n v="77"/>
    <n v="3"/>
    <n v="0"/>
    <n v="2"/>
    <n v="6"/>
    <n v="0"/>
    <n v="0"/>
    <n v="2"/>
    <n v="2"/>
    <n v="3"/>
    <n v="3"/>
    <n v="2"/>
    <n v="2"/>
    <n v="3"/>
    <n v="3"/>
    <n v="4"/>
    <n v="1"/>
    <n v="4.4000000000000004"/>
    <n v="0"/>
    <n v="5"/>
    <n v="4"/>
    <n v="1"/>
    <n v="1"/>
    <n v="4"/>
    <n v="3"/>
    <n v="2"/>
    <n v="2"/>
    <n v="3"/>
    <n v="5"/>
    <n v="0"/>
    <n v="2"/>
    <n v="2"/>
    <n v="8"/>
    <n v="4"/>
    <n v="4"/>
    <n v="4"/>
    <n v="4"/>
    <n v="11"/>
    <n v="0"/>
    <n v="2"/>
    <n v="2"/>
    <n v="2"/>
    <n v="1.33"/>
    <n v="2"/>
    <n v="2"/>
    <n v="1.33"/>
    <n v="2.2000000000000002"/>
    <n v="6"/>
    <n v="59.2"/>
    <n v="1"/>
  </r>
  <r>
    <s v="Q"/>
    <x v="2"/>
    <x v="10"/>
    <x v="0"/>
    <s v="A"/>
    <n v="0"/>
    <n v="0"/>
    <n v="0"/>
    <n v="6"/>
    <n v="1"/>
    <m/>
    <m/>
    <n v="1"/>
    <n v="1"/>
    <m/>
    <m/>
    <n v="1"/>
    <n v="1"/>
    <n v="0"/>
    <n v="0"/>
    <n v="0"/>
    <n v="0"/>
    <n v="0"/>
    <n v="0"/>
    <n v="0"/>
    <n v="0"/>
    <n v="0"/>
    <n v="0"/>
    <n v="0"/>
    <n v="0"/>
    <n v="0"/>
    <n v="0"/>
    <n v="0"/>
    <n v="0"/>
    <n v="0"/>
    <n v="1"/>
    <n v="2"/>
    <n v="0"/>
    <n v="0"/>
    <n v="0"/>
    <n v="0"/>
    <n v="0"/>
    <n v="0"/>
    <n v="5"/>
    <n v="10"/>
    <n v="3"/>
    <n v="1"/>
    <n v="0"/>
    <n v="0"/>
    <m/>
    <n v="0"/>
    <n v="0"/>
    <n v="1"/>
    <n v="0"/>
    <n v="12"/>
    <n v="12"/>
    <n v="6"/>
    <n v="0"/>
    <n v="15"/>
    <n v="5"/>
    <n v="0"/>
    <n v="32"/>
    <n v="3"/>
    <n v="0"/>
    <n v="2"/>
    <n v="6"/>
    <n v="0"/>
    <n v="0"/>
    <n v="2"/>
    <n v="2"/>
    <n v="3"/>
    <n v="3"/>
    <n v="2"/>
    <n v="2"/>
    <n v="3"/>
    <n v="3"/>
    <n v="4"/>
    <n v="1"/>
    <n v="4.4000000000000004"/>
    <n v="0"/>
    <n v="5"/>
    <n v="4"/>
    <n v="1"/>
    <n v="1"/>
    <n v="4"/>
    <n v="3"/>
    <n v="2"/>
    <n v="2"/>
    <n v="3"/>
    <n v="5"/>
    <n v="0"/>
    <n v="2"/>
    <n v="2"/>
    <n v="8"/>
    <n v="4"/>
    <n v="4"/>
    <n v="4"/>
    <n v="4"/>
    <n v="11"/>
    <n v="0"/>
    <n v="2"/>
    <n v="2"/>
    <n v="2"/>
    <n v="1.33"/>
    <n v="2"/>
    <n v="2"/>
    <n v="1.33"/>
    <n v="2.2000000000000002"/>
    <n v="6"/>
    <n v="59.2"/>
    <n v="1"/>
  </r>
  <r>
    <s v="Q"/>
    <x v="3"/>
    <x v="10"/>
    <x v="0"/>
    <s v="F"/>
    <n v="0"/>
    <n v="1"/>
    <n v="0"/>
    <n v="5"/>
    <n v="1"/>
    <m/>
    <m/>
    <n v="1"/>
    <m/>
    <n v="1"/>
    <n v="1"/>
    <m/>
    <n v="1"/>
    <n v="0"/>
    <n v="0"/>
    <n v="0"/>
    <n v="0"/>
    <n v="0"/>
    <n v="0"/>
    <n v="0"/>
    <n v="0"/>
    <n v="0"/>
    <n v="0"/>
    <n v="0"/>
    <n v="0"/>
    <n v="0"/>
    <n v="3"/>
    <n v="0"/>
    <n v="2"/>
    <n v="3"/>
    <n v="0"/>
    <n v="1"/>
    <n v="0"/>
    <n v="0"/>
    <n v="15"/>
    <n v="0"/>
    <n v="10"/>
    <n v="15"/>
    <n v="0"/>
    <n v="5"/>
    <n v="9"/>
    <n v="1"/>
    <n v="0"/>
    <n v="1"/>
    <m/>
    <n v="0"/>
    <n v="0"/>
    <n v="1"/>
    <n v="0"/>
    <n v="15"/>
    <n v="15"/>
    <n v="5"/>
    <n v="5"/>
    <n v="45"/>
    <n v="5"/>
    <n v="0"/>
    <n v="70"/>
    <n v="3"/>
    <n v="0"/>
    <n v="2"/>
    <n v="6"/>
    <n v="0"/>
    <n v="0"/>
    <n v="2"/>
    <n v="2"/>
    <n v="3"/>
    <n v="3"/>
    <n v="2"/>
    <n v="2"/>
    <n v="3"/>
    <n v="3"/>
    <n v="4"/>
    <n v="1"/>
    <n v="4.4000000000000004"/>
    <n v="0"/>
    <n v="5"/>
    <n v="4"/>
    <n v="1"/>
    <n v="1"/>
    <n v="4"/>
    <n v="3"/>
    <n v="2"/>
    <n v="2"/>
    <n v="3"/>
    <n v="5"/>
    <n v="0"/>
    <n v="2"/>
    <n v="2"/>
    <n v="8"/>
    <n v="4"/>
    <n v="4"/>
    <n v="4"/>
    <n v="4"/>
    <n v="11"/>
    <n v="0"/>
    <n v="2"/>
    <n v="2"/>
    <n v="2"/>
    <n v="1.33"/>
    <n v="2"/>
    <n v="2"/>
    <n v="1.33"/>
    <n v="2.2000000000000002"/>
    <n v="6"/>
    <n v="59.2"/>
    <n v="1"/>
  </r>
  <r>
    <s v="Q"/>
    <x v="4"/>
    <x v="10"/>
    <x v="0"/>
    <s v="C"/>
    <n v="0"/>
    <n v="1"/>
    <n v="0"/>
    <n v="4"/>
    <n v="1"/>
    <m/>
    <m/>
    <n v="1"/>
    <n v="1"/>
    <m/>
    <m/>
    <n v="1"/>
    <n v="1"/>
    <n v="0"/>
    <n v="0"/>
    <n v="0"/>
    <n v="0"/>
    <n v="0"/>
    <n v="0"/>
    <n v="0"/>
    <n v="0"/>
    <n v="0"/>
    <n v="0"/>
    <n v="0"/>
    <n v="0"/>
    <n v="0"/>
    <n v="3"/>
    <n v="2"/>
    <n v="0"/>
    <n v="0"/>
    <n v="0"/>
    <n v="2"/>
    <n v="0"/>
    <n v="0"/>
    <n v="15"/>
    <n v="10"/>
    <n v="0"/>
    <n v="0"/>
    <n v="0"/>
    <n v="10"/>
    <n v="7"/>
    <n v="1"/>
    <n v="0"/>
    <n v="0"/>
    <m/>
    <n v="0"/>
    <n v="0"/>
    <n v="1"/>
    <n v="0"/>
    <n v="13"/>
    <n v="13"/>
    <n v="4"/>
    <n v="5"/>
    <n v="35"/>
    <n v="5"/>
    <n v="0"/>
    <n v="58"/>
    <n v="3"/>
    <n v="4"/>
    <n v="2"/>
    <n v="6"/>
    <n v="0"/>
    <n v="0"/>
    <n v="2"/>
    <n v="2"/>
    <n v="3"/>
    <n v="3"/>
    <n v="2"/>
    <n v="2"/>
    <n v="3"/>
    <n v="3"/>
    <n v="4"/>
    <n v="1"/>
    <n v="4.4000000000000004"/>
    <n v="0"/>
    <n v="5"/>
    <n v="4"/>
    <n v="1"/>
    <n v="1"/>
    <n v="4"/>
    <n v="3"/>
    <n v="2"/>
    <n v="2"/>
    <n v="3"/>
    <n v="5"/>
    <n v="0"/>
    <n v="2"/>
    <n v="2"/>
    <n v="8"/>
    <n v="4"/>
    <n v="4"/>
    <n v="4"/>
    <n v="4"/>
    <n v="11"/>
    <n v="0"/>
    <n v="2"/>
    <n v="2"/>
    <n v="2"/>
    <n v="1.33"/>
    <n v="2"/>
    <n v="2"/>
    <n v="1.33"/>
    <n v="2.2000000000000002"/>
    <n v="6"/>
    <n v="59.2"/>
    <n v="1"/>
  </r>
  <r>
    <s v="Q"/>
    <x v="5"/>
    <x v="10"/>
    <x v="1"/>
    <s v="H"/>
    <n v="0"/>
    <n v="0"/>
    <n v="0"/>
    <n v="2"/>
    <n v="1"/>
    <m/>
    <m/>
    <n v="1"/>
    <m/>
    <n v="1"/>
    <n v="1"/>
    <m/>
    <n v="1"/>
    <n v="0"/>
    <n v="0"/>
    <n v="0"/>
    <n v="0"/>
    <n v="0"/>
    <n v="0"/>
    <n v="0"/>
    <n v="0"/>
    <n v="0"/>
    <n v="0"/>
    <n v="0"/>
    <n v="0"/>
    <n v="0"/>
    <n v="2"/>
    <n v="0"/>
    <n v="2"/>
    <n v="1"/>
    <n v="0"/>
    <n v="3"/>
    <n v="0"/>
    <n v="0"/>
    <n v="10"/>
    <n v="0"/>
    <n v="10"/>
    <n v="5"/>
    <n v="0"/>
    <n v="15"/>
    <n v="8"/>
    <n v="0"/>
    <n v="1"/>
    <n v="1"/>
    <m/>
    <n v="0"/>
    <n v="0"/>
    <n v="1"/>
    <n v="0"/>
    <n v="4"/>
    <n v="4"/>
    <n v="2"/>
    <n v="0"/>
    <n v="40"/>
    <n v="0"/>
    <n v="15"/>
    <n v="59"/>
    <n v="3"/>
    <n v="0"/>
    <n v="2"/>
    <n v="6"/>
    <n v="0"/>
    <n v="0"/>
    <n v="2"/>
    <n v="2"/>
    <n v="3"/>
    <n v="3"/>
    <n v="2"/>
    <n v="2"/>
    <n v="3"/>
    <n v="3"/>
    <n v="4"/>
    <n v="1"/>
    <n v="4.4000000000000004"/>
    <n v="0"/>
    <n v="5"/>
    <n v="4"/>
    <n v="1"/>
    <n v="1"/>
    <n v="4"/>
    <n v="3"/>
    <n v="2"/>
    <n v="2"/>
    <n v="3"/>
    <n v="5"/>
    <n v="0"/>
    <n v="2"/>
    <n v="2"/>
    <n v="8"/>
    <n v="4"/>
    <n v="4"/>
    <n v="4"/>
    <n v="4"/>
    <n v="11"/>
    <n v="0"/>
    <n v="2"/>
    <n v="2"/>
    <n v="2"/>
    <n v="1.33"/>
    <n v="2"/>
    <n v="2"/>
    <n v="1.33"/>
    <n v="2.2000000000000002"/>
    <n v="6"/>
    <n v="59.2"/>
    <n v="1"/>
  </r>
  <r>
    <s v="Q"/>
    <x v="1"/>
    <x v="11"/>
    <x v="0"/>
    <s v="E"/>
    <n v="0"/>
    <n v="0"/>
    <n v="4"/>
    <n v="3"/>
    <n v="1"/>
    <m/>
    <m/>
    <n v="1"/>
    <m/>
    <n v="1"/>
    <n v="1"/>
    <m/>
    <n v="1"/>
    <n v="0"/>
    <n v="0"/>
    <n v="0"/>
    <n v="0"/>
    <n v="0"/>
    <n v="0"/>
    <n v="0"/>
    <n v="0"/>
    <n v="0"/>
    <n v="0"/>
    <n v="0"/>
    <n v="0"/>
    <n v="0"/>
    <n v="4"/>
    <n v="0"/>
    <n v="3"/>
    <n v="4"/>
    <n v="0"/>
    <n v="2"/>
    <n v="0"/>
    <n v="0"/>
    <n v="10"/>
    <n v="0"/>
    <n v="15"/>
    <n v="10"/>
    <n v="0"/>
    <n v="10"/>
    <n v="13"/>
    <n v="1"/>
    <n v="0"/>
    <n v="1"/>
    <m/>
    <n v="0"/>
    <n v="0"/>
    <n v="1"/>
    <n v="20"/>
    <n v="6"/>
    <n v="26"/>
    <n v="7"/>
    <n v="0"/>
    <n v="45"/>
    <n v="5"/>
    <n v="0"/>
    <n v="76"/>
    <n v="4"/>
    <n v="0"/>
    <n v="1"/>
    <n v="4"/>
    <n v="1"/>
    <n v="4"/>
    <n v="3"/>
    <n v="3"/>
    <n v="4"/>
    <n v="4"/>
    <n v="3"/>
    <n v="3"/>
    <n v="4"/>
    <n v="4"/>
    <n v="5"/>
    <n v="0"/>
    <n v="1.6"/>
    <n v="2.8"/>
    <n v="5"/>
    <n v="5"/>
    <n v="0"/>
    <n v="0"/>
    <n v="5"/>
    <n v="2"/>
    <n v="3"/>
    <n v="3"/>
    <n v="2"/>
    <n v="5"/>
    <n v="0"/>
    <n v="0"/>
    <n v="0"/>
    <n v="6"/>
    <n v="3"/>
    <n v="9"/>
    <n v="7"/>
    <n v="4"/>
    <n v="12"/>
    <n v="0"/>
    <n v="0"/>
    <n v="0"/>
    <n v="1.2"/>
    <n v="1.5"/>
    <n v="3"/>
    <n v="2.33"/>
    <n v="2"/>
    <n v="2.4"/>
    <n v="7"/>
    <n v="57.6"/>
    <n v="0.8"/>
  </r>
  <r>
    <s v="Q"/>
    <x v="2"/>
    <x v="11"/>
    <x v="0"/>
    <s v="B"/>
    <n v="0"/>
    <n v="0"/>
    <n v="2"/>
    <n v="1"/>
    <n v="1"/>
    <m/>
    <m/>
    <n v="1"/>
    <n v="1"/>
    <m/>
    <m/>
    <n v="1"/>
    <n v="1"/>
    <n v="0"/>
    <n v="0"/>
    <n v="0"/>
    <n v="0"/>
    <n v="0"/>
    <n v="0"/>
    <n v="0"/>
    <n v="0"/>
    <n v="0"/>
    <n v="0"/>
    <n v="0"/>
    <n v="0"/>
    <n v="0"/>
    <n v="0"/>
    <n v="0"/>
    <n v="0"/>
    <n v="0"/>
    <n v="2"/>
    <n v="4"/>
    <n v="0"/>
    <n v="0"/>
    <n v="0"/>
    <n v="0"/>
    <n v="0"/>
    <n v="0"/>
    <n v="10"/>
    <n v="10"/>
    <n v="6"/>
    <n v="1"/>
    <n v="0"/>
    <n v="0"/>
    <m/>
    <n v="0"/>
    <n v="1"/>
    <n v="1"/>
    <n v="10"/>
    <n v="2"/>
    <n v="12"/>
    <n v="3"/>
    <n v="0"/>
    <n v="20"/>
    <n v="5"/>
    <n v="0"/>
    <n v="37"/>
    <n v="4"/>
    <n v="0"/>
    <n v="1"/>
    <n v="4"/>
    <n v="1"/>
    <n v="4"/>
    <n v="3"/>
    <n v="3"/>
    <n v="4"/>
    <n v="4"/>
    <n v="3"/>
    <n v="3"/>
    <n v="4"/>
    <n v="4"/>
    <n v="5"/>
    <n v="0"/>
    <n v="1.6"/>
    <n v="2.8"/>
    <n v="5"/>
    <n v="5"/>
    <n v="0"/>
    <n v="0"/>
    <n v="5"/>
    <n v="2"/>
    <n v="3"/>
    <n v="3"/>
    <n v="2"/>
    <n v="5"/>
    <n v="0"/>
    <n v="0"/>
    <n v="0"/>
    <n v="6"/>
    <n v="3"/>
    <n v="9"/>
    <n v="7"/>
    <n v="4"/>
    <n v="12"/>
    <n v="0"/>
    <n v="0"/>
    <n v="0"/>
    <n v="1.2"/>
    <n v="1.5"/>
    <n v="3"/>
    <n v="2.33"/>
    <n v="2"/>
    <n v="2.4"/>
    <n v="7"/>
    <n v="57.6"/>
    <n v="0.8"/>
  </r>
  <r>
    <s v="Q"/>
    <x v="3"/>
    <x v="11"/>
    <x v="0"/>
    <s v="G"/>
    <n v="0"/>
    <n v="0"/>
    <n v="1"/>
    <n v="1"/>
    <n v="1"/>
    <m/>
    <m/>
    <n v="1"/>
    <m/>
    <n v="1"/>
    <n v="1"/>
    <m/>
    <n v="1"/>
    <n v="0"/>
    <n v="0"/>
    <n v="0"/>
    <n v="0"/>
    <n v="0"/>
    <n v="0"/>
    <n v="0"/>
    <n v="0"/>
    <n v="0"/>
    <n v="0"/>
    <n v="0"/>
    <n v="0"/>
    <n v="0"/>
    <n v="0"/>
    <n v="0"/>
    <n v="3"/>
    <n v="2"/>
    <n v="0"/>
    <n v="1"/>
    <n v="0"/>
    <n v="0"/>
    <n v="0"/>
    <n v="0"/>
    <n v="15"/>
    <n v="10"/>
    <n v="0"/>
    <n v="5"/>
    <n v="6"/>
    <n v="0"/>
    <n v="0"/>
    <n v="0"/>
    <m/>
    <n v="0"/>
    <n v="0"/>
    <n v="0"/>
    <n v="5"/>
    <n v="2"/>
    <n v="7"/>
    <n v="2"/>
    <n v="0"/>
    <n v="30"/>
    <n v="0"/>
    <n v="0"/>
    <n v="37"/>
    <n v="4"/>
    <n v="0"/>
    <n v="1"/>
    <n v="4"/>
    <n v="1"/>
    <n v="4"/>
    <n v="3"/>
    <n v="3"/>
    <n v="4"/>
    <n v="4"/>
    <n v="3"/>
    <n v="3"/>
    <n v="4"/>
    <n v="4"/>
    <n v="5"/>
    <n v="0"/>
    <n v="1.6"/>
    <n v="2.8"/>
    <n v="5"/>
    <n v="5"/>
    <n v="0"/>
    <n v="0"/>
    <n v="5"/>
    <n v="2"/>
    <n v="3"/>
    <n v="3"/>
    <n v="2"/>
    <n v="5"/>
    <n v="0"/>
    <n v="0"/>
    <n v="0"/>
    <n v="6"/>
    <n v="3"/>
    <n v="9"/>
    <n v="7"/>
    <n v="4"/>
    <n v="12"/>
    <n v="0"/>
    <n v="0"/>
    <n v="0"/>
    <n v="1.2"/>
    <n v="1.5"/>
    <n v="3"/>
    <n v="2.33"/>
    <n v="2"/>
    <n v="2.4"/>
    <n v="7"/>
    <n v="57.6"/>
    <n v="0.8"/>
  </r>
  <r>
    <s v="Q"/>
    <x v="4"/>
    <x v="11"/>
    <x v="1"/>
    <s v="D"/>
    <n v="0"/>
    <n v="0"/>
    <n v="4"/>
    <n v="2"/>
    <n v="1"/>
    <m/>
    <m/>
    <n v="1"/>
    <n v="1"/>
    <m/>
    <m/>
    <n v="1"/>
    <n v="1"/>
    <n v="1"/>
    <n v="0"/>
    <n v="0"/>
    <n v="0"/>
    <n v="0"/>
    <n v="0"/>
    <n v="0"/>
    <n v="0"/>
    <n v="0"/>
    <n v="0"/>
    <n v="0"/>
    <n v="0"/>
    <n v="0"/>
    <n v="0"/>
    <n v="3"/>
    <n v="0"/>
    <n v="0"/>
    <n v="2"/>
    <n v="5"/>
    <n v="0"/>
    <n v="0"/>
    <n v="0"/>
    <n v="15"/>
    <n v="0"/>
    <n v="0"/>
    <n v="10"/>
    <n v="10"/>
    <n v="10"/>
    <n v="1"/>
    <n v="0"/>
    <n v="0"/>
    <m/>
    <n v="0"/>
    <n v="0"/>
    <n v="1"/>
    <n v="20"/>
    <n v="4"/>
    <n v="24"/>
    <n v="6"/>
    <n v="2"/>
    <n v="35"/>
    <n v="5"/>
    <n v="0"/>
    <n v="66"/>
    <n v="4"/>
    <n v="0"/>
    <n v="1"/>
    <n v="4"/>
    <n v="1"/>
    <n v="4"/>
    <n v="3"/>
    <n v="3"/>
    <n v="4"/>
    <n v="4"/>
    <n v="3"/>
    <n v="3"/>
    <n v="4"/>
    <n v="4"/>
    <n v="5"/>
    <n v="0"/>
    <n v="1.6"/>
    <n v="2.8"/>
    <n v="5"/>
    <n v="5"/>
    <n v="0"/>
    <n v="0"/>
    <n v="5"/>
    <n v="2"/>
    <n v="3"/>
    <n v="3"/>
    <n v="2"/>
    <n v="5"/>
    <n v="0"/>
    <n v="0"/>
    <n v="0"/>
    <n v="6"/>
    <n v="3"/>
    <n v="9"/>
    <n v="7"/>
    <n v="4"/>
    <n v="12"/>
    <n v="0"/>
    <n v="0"/>
    <n v="0"/>
    <n v="1.2"/>
    <n v="1.5"/>
    <n v="3"/>
    <n v="2.33"/>
    <n v="2"/>
    <n v="2.4"/>
    <n v="7"/>
    <n v="57.6"/>
    <n v="0.8"/>
  </r>
  <r>
    <s v="Q"/>
    <x v="5"/>
    <x v="11"/>
    <x v="1"/>
    <s v="A"/>
    <n v="1"/>
    <n v="0"/>
    <n v="3"/>
    <n v="1"/>
    <n v="1"/>
    <m/>
    <m/>
    <n v="1"/>
    <m/>
    <n v="1"/>
    <n v="1"/>
    <m/>
    <n v="1"/>
    <n v="0"/>
    <n v="0"/>
    <n v="0"/>
    <n v="0"/>
    <n v="0"/>
    <n v="0"/>
    <n v="0"/>
    <n v="0"/>
    <n v="0"/>
    <n v="0"/>
    <n v="0"/>
    <n v="0"/>
    <n v="0"/>
    <n v="2"/>
    <n v="0"/>
    <n v="3"/>
    <n v="1"/>
    <n v="0"/>
    <n v="0"/>
    <n v="0"/>
    <n v="0"/>
    <n v="10"/>
    <n v="0"/>
    <n v="15"/>
    <n v="5"/>
    <n v="0"/>
    <n v="0"/>
    <n v="6"/>
    <n v="1"/>
    <n v="0"/>
    <n v="0"/>
    <m/>
    <n v="0"/>
    <n v="0"/>
    <n v="1"/>
    <n v="25"/>
    <n v="2"/>
    <n v="27"/>
    <n v="4"/>
    <n v="10"/>
    <n v="30"/>
    <n v="5"/>
    <n v="0"/>
    <n v="72"/>
    <n v="4"/>
    <n v="0"/>
    <n v="1"/>
    <n v="4"/>
    <n v="1"/>
    <n v="4"/>
    <n v="3"/>
    <n v="3"/>
    <n v="4"/>
    <n v="4"/>
    <n v="3"/>
    <n v="3"/>
    <n v="4"/>
    <n v="4"/>
    <n v="5"/>
    <n v="0"/>
    <n v="1.6"/>
    <n v="2.8"/>
    <n v="5"/>
    <n v="5"/>
    <n v="0"/>
    <n v="0"/>
    <n v="5"/>
    <n v="2"/>
    <n v="3"/>
    <n v="3"/>
    <n v="2"/>
    <n v="5"/>
    <n v="0"/>
    <n v="0"/>
    <n v="0"/>
    <n v="6"/>
    <n v="3"/>
    <n v="9"/>
    <n v="7"/>
    <n v="4"/>
    <n v="12"/>
    <n v="0"/>
    <n v="0"/>
    <n v="0"/>
    <n v="1.2"/>
    <n v="1.5"/>
    <n v="3"/>
    <n v="2.33"/>
    <n v="2"/>
    <n v="2.4"/>
    <n v="7"/>
    <n v="57.6"/>
    <n v="0.8"/>
  </r>
  <r>
    <s v="Q"/>
    <x v="11"/>
    <x v="12"/>
    <x v="0"/>
    <s v="G"/>
    <n v="0"/>
    <n v="1"/>
    <n v="0"/>
    <n v="2"/>
    <m/>
    <n v="1"/>
    <n v="1"/>
    <m/>
    <n v="1"/>
    <m/>
    <m/>
    <n v="1"/>
    <n v="1"/>
    <n v="0"/>
    <n v="0"/>
    <n v="0"/>
    <n v="0"/>
    <n v="0"/>
    <n v="0"/>
    <n v="0"/>
    <n v="0"/>
    <n v="0"/>
    <n v="0"/>
    <n v="0"/>
    <n v="0"/>
    <n v="3"/>
    <n v="0"/>
    <n v="0"/>
    <n v="0"/>
    <n v="0"/>
    <n v="0"/>
    <n v="2"/>
    <n v="0"/>
    <n v="15"/>
    <n v="0"/>
    <n v="0"/>
    <n v="0"/>
    <n v="0"/>
    <n v="0"/>
    <n v="10"/>
    <n v="5"/>
    <n v="0"/>
    <n v="0"/>
    <n v="0"/>
    <m/>
    <n v="1"/>
    <n v="0"/>
    <n v="0"/>
    <n v="0"/>
    <n v="9"/>
    <n v="9"/>
    <n v="2"/>
    <n v="5"/>
    <n v="25"/>
    <n v="0"/>
    <n v="0"/>
    <n v="39"/>
    <n v="3"/>
    <n v="0"/>
    <n v="2"/>
    <n v="6"/>
    <n v="0"/>
    <n v="0"/>
    <n v="2"/>
    <n v="2"/>
    <n v="3"/>
    <n v="3"/>
    <n v="2"/>
    <n v="2"/>
    <n v="3"/>
    <n v="3"/>
    <n v="4"/>
    <n v="1"/>
    <n v="3.83"/>
    <n v="0"/>
    <n v="6"/>
    <n v="0"/>
    <n v="6"/>
    <n v="6"/>
    <n v="0"/>
    <n v="3"/>
    <n v="3"/>
    <n v="3"/>
    <n v="3"/>
    <n v="6"/>
    <n v="0"/>
    <n v="8"/>
    <n v="6"/>
    <n v="0"/>
    <n v="3"/>
    <n v="6"/>
    <n v="4"/>
    <n v="3"/>
    <n v="15"/>
    <n v="0"/>
    <n v="1.33"/>
    <n v="1"/>
    <n v="0"/>
    <n v="1"/>
    <n v="2"/>
    <n v="1.33"/>
    <n v="1"/>
    <n v="2.5"/>
    <n v="6"/>
    <n v="53.833333333333336"/>
    <n v="0.67"/>
  </r>
  <r>
    <s v="Q"/>
    <x v="10"/>
    <x v="12"/>
    <x v="0"/>
    <s v="D"/>
    <n v="0"/>
    <n v="0"/>
    <n v="0"/>
    <n v="4"/>
    <m/>
    <n v="1"/>
    <n v="1"/>
    <m/>
    <m/>
    <n v="1"/>
    <n v="1"/>
    <m/>
    <n v="1"/>
    <n v="0"/>
    <n v="0"/>
    <n v="0"/>
    <n v="0"/>
    <n v="0"/>
    <n v="0"/>
    <n v="0"/>
    <n v="0"/>
    <n v="0"/>
    <n v="0"/>
    <n v="0"/>
    <n v="2"/>
    <n v="0"/>
    <n v="0"/>
    <n v="0"/>
    <n v="2"/>
    <n v="3"/>
    <n v="0"/>
    <n v="1"/>
    <n v="10"/>
    <n v="0"/>
    <n v="0"/>
    <n v="0"/>
    <n v="10"/>
    <n v="15"/>
    <n v="0"/>
    <n v="5"/>
    <n v="8"/>
    <n v="1"/>
    <n v="0"/>
    <n v="1"/>
    <m/>
    <n v="0"/>
    <n v="1"/>
    <n v="1"/>
    <n v="0"/>
    <n v="8"/>
    <n v="8"/>
    <n v="4"/>
    <n v="0"/>
    <n v="40"/>
    <n v="5"/>
    <n v="0"/>
    <n v="53"/>
    <n v="3"/>
    <n v="0"/>
    <n v="2"/>
    <n v="6"/>
    <n v="0"/>
    <n v="0"/>
    <n v="2"/>
    <n v="2"/>
    <n v="3"/>
    <n v="3"/>
    <n v="2"/>
    <n v="2"/>
    <n v="3"/>
    <n v="3"/>
    <n v="4"/>
    <n v="1"/>
    <n v="3.83"/>
    <n v="0"/>
    <n v="6"/>
    <n v="0"/>
    <n v="6"/>
    <n v="6"/>
    <n v="0"/>
    <n v="3"/>
    <n v="3"/>
    <n v="3"/>
    <n v="3"/>
    <n v="6"/>
    <n v="0"/>
    <n v="8"/>
    <n v="6"/>
    <n v="0"/>
    <n v="3"/>
    <n v="6"/>
    <n v="4"/>
    <n v="3"/>
    <n v="15"/>
    <n v="0"/>
    <n v="1.33"/>
    <n v="1"/>
    <n v="0"/>
    <n v="1"/>
    <n v="2"/>
    <n v="1.33"/>
    <n v="1"/>
    <n v="2.5"/>
    <n v="6"/>
    <n v="53.833333333333336"/>
    <n v="0.67"/>
  </r>
  <r>
    <s v="Q"/>
    <x v="9"/>
    <x v="12"/>
    <x v="0"/>
    <s v="A"/>
    <n v="0"/>
    <n v="1"/>
    <n v="0"/>
    <n v="3"/>
    <m/>
    <n v="1"/>
    <n v="1"/>
    <m/>
    <n v="1"/>
    <m/>
    <m/>
    <n v="1"/>
    <n v="1"/>
    <n v="0"/>
    <n v="0"/>
    <n v="0"/>
    <n v="0"/>
    <n v="0"/>
    <n v="0"/>
    <n v="0"/>
    <n v="0"/>
    <n v="0"/>
    <n v="0"/>
    <n v="0"/>
    <n v="1"/>
    <n v="0"/>
    <n v="0"/>
    <n v="1"/>
    <n v="0"/>
    <n v="0"/>
    <n v="3"/>
    <n v="1"/>
    <n v="5"/>
    <n v="0"/>
    <n v="0"/>
    <n v="5"/>
    <n v="0"/>
    <n v="0"/>
    <n v="15"/>
    <n v="5"/>
    <n v="6"/>
    <n v="0"/>
    <n v="0"/>
    <n v="0"/>
    <m/>
    <n v="0"/>
    <n v="0"/>
    <n v="0"/>
    <n v="0"/>
    <n v="11"/>
    <n v="11"/>
    <n v="3"/>
    <n v="5"/>
    <n v="30"/>
    <n v="0"/>
    <n v="0"/>
    <n v="46"/>
    <n v="3"/>
    <n v="2"/>
    <n v="2"/>
    <n v="6"/>
    <n v="0"/>
    <n v="0"/>
    <n v="2"/>
    <n v="2"/>
    <n v="3"/>
    <n v="3"/>
    <n v="2"/>
    <n v="2"/>
    <n v="3"/>
    <n v="3"/>
    <n v="4"/>
    <n v="1"/>
    <n v="3.83"/>
    <n v="0"/>
    <n v="6"/>
    <n v="0"/>
    <n v="6"/>
    <n v="6"/>
    <n v="0"/>
    <n v="3"/>
    <n v="3"/>
    <n v="3"/>
    <n v="3"/>
    <n v="6"/>
    <n v="0"/>
    <n v="8"/>
    <n v="6"/>
    <n v="0"/>
    <n v="3"/>
    <n v="6"/>
    <n v="4"/>
    <n v="3"/>
    <n v="15"/>
    <n v="0"/>
    <n v="1.33"/>
    <n v="1"/>
    <n v="0"/>
    <n v="1"/>
    <n v="2"/>
    <n v="1.33"/>
    <n v="1"/>
    <n v="2.5"/>
    <n v="6"/>
    <n v="53.833333333333336"/>
    <n v="0.67"/>
  </r>
  <r>
    <s v="Q"/>
    <x v="8"/>
    <x v="12"/>
    <x v="1"/>
    <s v="F"/>
    <n v="0"/>
    <n v="1"/>
    <n v="0"/>
    <n v="3"/>
    <m/>
    <n v="1"/>
    <n v="1"/>
    <m/>
    <m/>
    <n v="1"/>
    <n v="1"/>
    <m/>
    <n v="1"/>
    <n v="0"/>
    <n v="0"/>
    <n v="0"/>
    <n v="0"/>
    <n v="0"/>
    <n v="0"/>
    <n v="0"/>
    <n v="0"/>
    <n v="0"/>
    <n v="0"/>
    <n v="0"/>
    <n v="2"/>
    <n v="0"/>
    <n v="0"/>
    <n v="0"/>
    <n v="2"/>
    <n v="0"/>
    <n v="0"/>
    <n v="4"/>
    <n v="10"/>
    <n v="0"/>
    <n v="0"/>
    <n v="0"/>
    <n v="10"/>
    <n v="0"/>
    <n v="0"/>
    <n v="10"/>
    <n v="8"/>
    <n v="1"/>
    <n v="0"/>
    <n v="0"/>
    <m/>
    <n v="0"/>
    <n v="0"/>
    <n v="1"/>
    <n v="0"/>
    <n v="11"/>
    <n v="11"/>
    <n v="3"/>
    <n v="5"/>
    <n v="30"/>
    <n v="5"/>
    <n v="0"/>
    <n v="51"/>
    <n v="3"/>
    <n v="6"/>
    <n v="2"/>
    <n v="6"/>
    <n v="0"/>
    <n v="0"/>
    <n v="2"/>
    <n v="2"/>
    <n v="3"/>
    <n v="3"/>
    <n v="2"/>
    <n v="2"/>
    <n v="3"/>
    <n v="3"/>
    <n v="4"/>
    <n v="1"/>
    <n v="3.83"/>
    <n v="0"/>
    <n v="6"/>
    <n v="0"/>
    <n v="6"/>
    <n v="6"/>
    <n v="0"/>
    <n v="3"/>
    <n v="3"/>
    <n v="3"/>
    <n v="3"/>
    <n v="6"/>
    <n v="0"/>
    <n v="8"/>
    <n v="6"/>
    <n v="0"/>
    <n v="3"/>
    <n v="6"/>
    <n v="4"/>
    <n v="3"/>
    <n v="15"/>
    <n v="0"/>
    <n v="1.33"/>
    <n v="1"/>
    <n v="0"/>
    <n v="1"/>
    <n v="2"/>
    <n v="1.33"/>
    <n v="1"/>
    <n v="2.5"/>
    <n v="6"/>
    <n v="53.833333333333336"/>
    <n v="0.67"/>
  </r>
  <r>
    <s v="Q"/>
    <x v="7"/>
    <x v="12"/>
    <x v="1"/>
    <s v="C"/>
    <n v="0"/>
    <n v="1"/>
    <n v="0"/>
    <n v="5"/>
    <m/>
    <n v="1"/>
    <n v="1"/>
    <m/>
    <n v="1"/>
    <m/>
    <m/>
    <n v="1"/>
    <n v="1"/>
    <n v="0"/>
    <n v="0"/>
    <n v="0"/>
    <n v="0"/>
    <n v="0"/>
    <n v="0"/>
    <n v="0"/>
    <n v="0"/>
    <n v="0"/>
    <n v="0"/>
    <n v="0"/>
    <n v="2"/>
    <n v="1"/>
    <n v="0"/>
    <n v="2"/>
    <n v="0"/>
    <n v="0"/>
    <n v="0"/>
    <n v="4"/>
    <n v="10"/>
    <n v="5"/>
    <n v="0"/>
    <n v="10"/>
    <n v="0"/>
    <n v="0"/>
    <n v="0"/>
    <n v="10"/>
    <n v="9"/>
    <n v="1"/>
    <n v="0"/>
    <n v="0"/>
    <m/>
    <n v="0"/>
    <n v="1"/>
    <n v="1"/>
    <n v="0"/>
    <n v="15"/>
    <n v="15"/>
    <n v="5"/>
    <n v="5"/>
    <n v="35"/>
    <n v="5"/>
    <n v="0"/>
    <n v="60"/>
    <n v="3"/>
    <n v="0"/>
    <n v="2"/>
    <n v="6"/>
    <n v="0"/>
    <n v="0"/>
    <n v="2"/>
    <n v="2"/>
    <n v="3"/>
    <n v="3"/>
    <n v="2"/>
    <n v="2"/>
    <n v="3"/>
    <n v="3"/>
    <n v="4"/>
    <n v="1"/>
    <n v="3.83"/>
    <n v="0"/>
    <n v="6"/>
    <n v="0"/>
    <n v="6"/>
    <n v="6"/>
    <n v="0"/>
    <n v="3"/>
    <n v="3"/>
    <n v="3"/>
    <n v="3"/>
    <n v="6"/>
    <n v="0"/>
    <n v="8"/>
    <n v="6"/>
    <n v="0"/>
    <n v="3"/>
    <n v="6"/>
    <n v="4"/>
    <n v="3"/>
    <n v="15"/>
    <n v="0"/>
    <n v="1.33"/>
    <n v="1"/>
    <n v="0"/>
    <n v="1"/>
    <n v="2"/>
    <n v="1.33"/>
    <n v="1"/>
    <n v="2.5"/>
    <n v="6"/>
    <n v="53.833333333333336"/>
    <n v="0.67"/>
  </r>
  <r>
    <s v="Q"/>
    <x v="6"/>
    <x v="12"/>
    <x v="1"/>
    <s v="H"/>
    <n v="0"/>
    <n v="1"/>
    <n v="0"/>
    <n v="6"/>
    <m/>
    <n v="1"/>
    <n v="1"/>
    <m/>
    <m/>
    <n v="1"/>
    <n v="1"/>
    <m/>
    <n v="1"/>
    <n v="1"/>
    <n v="0"/>
    <n v="0"/>
    <n v="0"/>
    <n v="0"/>
    <n v="0"/>
    <n v="0"/>
    <n v="0"/>
    <n v="0"/>
    <n v="0"/>
    <n v="0"/>
    <n v="1"/>
    <n v="2"/>
    <n v="0"/>
    <n v="0"/>
    <n v="2"/>
    <n v="1"/>
    <n v="0"/>
    <n v="3"/>
    <n v="5"/>
    <n v="10"/>
    <n v="0"/>
    <n v="0"/>
    <n v="10"/>
    <n v="5"/>
    <n v="0"/>
    <n v="15"/>
    <n v="9"/>
    <n v="1"/>
    <n v="0"/>
    <n v="1"/>
    <m/>
    <n v="0"/>
    <n v="0"/>
    <n v="1"/>
    <n v="0"/>
    <n v="17"/>
    <n v="17"/>
    <n v="6"/>
    <n v="7"/>
    <n v="45"/>
    <n v="5"/>
    <n v="0"/>
    <n v="74"/>
    <n v="3"/>
    <n v="0"/>
    <n v="2"/>
    <n v="6"/>
    <n v="0"/>
    <n v="0"/>
    <n v="2"/>
    <n v="2"/>
    <n v="3"/>
    <n v="3"/>
    <n v="2"/>
    <n v="2"/>
    <n v="3"/>
    <n v="3"/>
    <n v="4"/>
    <n v="1"/>
    <n v="3.83"/>
    <n v="0"/>
    <n v="6"/>
    <n v="0"/>
    <n v="6"/>
    <n v="6"/>
    <n v="0"/>
    <n v="3"/>
    <n v="3"/>
    <n v="3"/>
    <n v="3"/>
    <n v="6"/>
    <n v="0"/>
    <n v="8"/>
    <n v="6"/>
    <n v="0"/>
    <n v="3"/>
    <n v="6"/>
    <n v="4"/>
    <n v="3"/>
    <n v="15"/>
    <n v="0"/>
    <n v="1.33"/>
    <n v="1"/>
    <n v="0"/>
    <n v="1"/>
    <n v="2"/>
    <n v="1.33"/>
    <n v="1"/>
    <n v="2.5"/>
    <n v="6"/>
    <n v="53.833333333333336"/>
    <n v="0.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re-Match Report" cacheId="79" dataOnRows="1" applyNumberFormats="0" applyBorderFormats="0" applyFontFormats="0" applyPatternFormats="0" applyAlignmentFormats="0" applyWidthHeightFormats="1" dataCaption="Values" updatedVersion="5" minRefreshableVersion="3" useAutoFormatting="1" rowGrandTotals="0" colGrandTotals="0" itemPrintTitles="1" createdVersion="5" indent="0" showHeaders="0" outline="1" outlineData="1" multipleFieldFilters="0">
  <location ref="B4:J21" firstHeaderRow="0" firstDataRow="2" firstDataCol="1" rowPageCount="1" colPageCount="1"/>
  <pivotFields count="111">
    <pivotField showAll="0"/>
    <pivotField axis="axisPage" showAll="0">
      <items count="13">
        <item x="0"/>
        <item x="11"/>
        <item x="1"/>
        <item x="10"/>
        <item x="2"/>
        <item x="9"/>
        <item x="3"/>
        <item x="8"/>
        <item x="4"/>
        <item x="7"/>
        <item x="5"/>
        <item n="12" x="6"/>
        <item t="default"/>
      </items>
    </pivotField>
    <pivotField axis="axisCol" showAll="0">
      <items count="15">
        <item x="0"/>
        <item x="1"/>
        <item x="2"/>
        <item x="3"/>
        <item x="4"/>
        <item x="5"/>
        <item m="1" x="13"/>
        <item x="6"/>
        <item x="7"/>
        <item x="8"/>
        <item x="9"/>
        <item x="10"/>
        <item x="11"/>
        <item x="12"/>
        <item t="default"/>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defaultSubtotal="0"/>
    <pivotField showAll="0"/>
    <pivotField showAll="0"/>
    <pivotField showAll="0"/>
    <pivotField showAll="0"/>
    <pivotField showAll="0"/>
    <pivotField showAll="0"/>
    <pivotField showAll="0" defaultSubtotal="0"/>
    <pivotField showAll="0"/>
    <pivotField showAll="0"/>
    <pivotField showAll="0"/>
    <pivotField showAll="0" defaultSubtotal="0"/>
    <pivotField dataField="1" showAll="0" defaultSubtotal="0"/>
    <pivotField showAll="0"/>
    <pivotField showAll="0"/>
    <pivotField showAl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defaultSubtota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defaultSubtotal="0"/>
    <pivotField dataField="1" showAll="0" defaultSubtotal="0"/>
  </pivotFields>
  <rowFields count="1">
    <field x="-2"/>
  </rowFields>
  <rowItems count="16">
    <i>
      <x/>
    </i>
    <i i="1">
      <x v="1"/>
    </i>
    <i i="2">
      <x v="2"/>
    </i>
    <i i="3">
      <x v="3"/>
    </i>
    <i i="4">
      <x v="4"/>
    </i>
    <i i="5">
      <x v="5"/>
    </i>
    <i i="6">
      <x v="6"/>
    </i>
    <i i="7">
      <x v="7"/>
    </i>
    <i i="8">
      <x v="8"/>
    </i>
    <i i="9">
      <x v="9"/>
    </i>
    <i i="10">
      <x v="10"/>
    </i>
    <i i="11">
      <x v="11"/>
    </i>
    <i i="12">
      <x v="12"/>
    </i>
    <i i="13">
      <x v="13"/>
    </i>
    <i i="14">
      <x v="14"/>
    </i>
    <i i="15">
      <x v="15"/>
    </i>
  </rowItems>
  <colFields count="2">
    <field x="3"/>
    <field x="2"/>
  </colFields>
  <colItems count="8">
    <i>
      <x/>
      <x v="7"/>
    </i>
    <i r="1">
      <x v="8"/>
    </i>
    <i r="1">
      <x v="9"/>
    </i>
    <i t="default">
      <x/>
    </i>
    <i>
      <x v="1"/>
      <x v="4"/>
    </i>
    <i r="1">
      <x v="5"/>
    </i>
    <i r="1">
      <x v="13"/>
    </i>
    <i t="default">
      <x v="1"/>
    </i>
  </colItems>
  <pageFields count="1">
    <pageField fld="1" item="5" hier="-1"/>
  </pageFields>
  <dataFields count="16">
    <dataField name=" Points Average" fld="109" baseField="2" baseItem="4" numFmtId="2"/>
    <dataField name=" Average Auto Score" fld="57" baseField="2" baseItem="7" numFmtId="2"/>
    <dataField name=" Low Goal Team Average" fld="78" baseField="2" baseItem="7"/>
    <dataField name=" High Goal Team Average" fld="79" baseField="0" baseItem="0"/>
    <dataField name=" Average of Total Crossings" fld="45" subtotal="average" baseField="2" baseItem="7" numFmtId="2"/>
    <dataField name=" Max Goal Score" fld="108" baseField="0" baseItem="0"/>
    <dataField name=" % Climb or Challenge" fld="110" subtotal="average" baseField="2" baseItem="7" numFmtId="9"/>
    <dataField name=" Portcullis Average" fld="99" baseField="0" baseItem="0"/>
    <dataField name=" Cheval Average" fld="100" baseField="0" baseItem="0"/>
    <dataField name=" Moat Average" fld="101" baseField="0" baseItem="0"/>
    <dataField name=" Ramparts Average" fld="102" baseField="0" baseItem="0"/>
    <dataField name=" Drawbridge Average" fld="103" baseField="0" baseItem="0"/>
    <dataField name=" Sally Port Average" fld="104" baseField="0" baseItem="0"/>
    <dataField name=" Rock Wall Average" fld="105" baseField="0" baseItem="0"/>
    <dataField name=" Rough Terrain Crossing Average" fld="106" baseField="0" baseItem="0"/>
    <dataField name=" Low Bar Average" fld="107" baseField="0" baseItem="0"/>
  </dataFields>
  <formats count="6">
    <format dxfId="140">
      <pivotArea type="all" dataOnly="0" outline="0" fieldPosition="0"/>
    </format>
    <format dxfId="139">
      <pivotArea outline="0" collapsedLevelsAreSubtotals="1" fieldPosition="0"/>
    </format>
    <format dxfId="138">
      <pivotArea dataOnly="0" labelOnly="1" outline="0" fieldPosition="0">
        <references count="1">
          <reference field="4294967294" count="15">
            <x v="0"/>
            <x v="2"/>
            <x v="3"/>
            <x v="4"/>
            <x v="5"/>
            <x v="6"/>
            <x v="7"/>
            <x v="8"/>
            <x v="9"/>
            <x v="10"/>
            <x v="11"/>
            <x v="12"/>
            <x v="13"/>
            <x v="14"/>
            <x v="15"/>
          </reference>
        </references>
      </pivotArea>
    </format>
    <format dxfId="137">
      <pivotArea dataOnly="0" labelOnly="1" fieldPosition="0">
        <references count="1">
          <reference field="3" count="0"/>
        </references>
      </pivotArea>
    </format>
    <format dxfId="136">
      <pivotArea dataOnly="0" labelOnly="1" fieldPosition="0">
        <references count="1">
          <reference field="3" count="0" defaultSubtotal="1"/>
        </references>
      </pivotArea>
    </format>
    <format dxfId="135">
      <pivotArea outline="0" fieldPosition="0">
        <references count="1">
          <reference field="4294967294" count="1">
            <x v="1"/>
          </reference>
        </references>
      </pivotArea>
    </format>
  </formats>
  <conditionalFormats count="8">
    <conditionalFormat priority="4">
      <pivotAreas count="1">
        <pivotArea type="data" collapsedLevelsAreSubtotals="1" fieldPosition="0">
          <references count="2">
            <reference field="4294967294" count="2">
              <x v="13"/>
              <x v="14"/>
            </reference>
            <reference field="3" count="1" selected="0" defaultSubtotal="1">
              <x v="1"/>
            </reference>
          </references>
        </pivotArea>
      </pivotAreas>
    </conditionalFormat>
    <conditionalFormat priority="5">
      <pivotAreas count="1">
        <pivotArea type="data" collapsedLevelsAreSubtotals="1" fieldPosition="0">
          <references count="2">
            <reference field="4294967294" count="2">
              <x v="11"/>
              <x v="12"/>
            </reference>
            <reference field="3" count="1" selected="0" defaultSubtotal="1">
              <x v="1"/>
            </reference>
          </references>
        </pivotArea>
      </pivotAreas>
    </conditionalFormat>
    <conditionalFormat priority="6">
      <pivotAreas count="1">
        <pivotArea type="data" collapsedLevelsAreSubtotals="1" fieldPosition="0">
          <references count="2">
            <reference field="4294967294" count="2">
              <x v="9"/>
              <x v="10"/>
            </reference>
            <reference field="3" count="1" selected="0" defaultSubtotal="1">
              <x v="1"/>
            </reference>
          </references>
        </pivotArea>
      </pivotAreas>
    </conditionalFormat>
    <conditionalFormat priority="7">
      <pivotAreas count="1">
        <pivotArea type="data" collapsedLevelsAreSubtotals="1" fieldPosition="0">
          <references count="2">
            <reference field="4294967294" count="2">
              <x v="7"/>
              <x v="8"/>
            </reference>
            <reference field="3" count="1" selected="0" defaultSubtotal="1">
              <x v="1"/>
            </reference>
          </references>
        </pivotArea>
      </pivotAreas>
    </conditionalFormat>
    <conditionalFormat priority="8">
      <pivotAreas count="1">
        <pivotArea type="data" collapsedLevelsAreSubtotals="1" fieldPosition="0">
          <references count="2">
            <reference field="4294967294" count="2">
              <x v="13"/>
              <x v="14"/>
            </reference>
            <reference field="3" count="1" selected="0" defaultSubtotal="1">
              <x v="0"/>
            </reference>
          </references>
        </pivotArea>
      </pivotAreas>
    </conditionalFormat>
    <conditionalFormat priority="9">
      <pivotAreas count="1">
        <pivotArea type="data" collapsedLevelsAreSubtotals="1" fieldPosition="0">
          <references count="2">
            <reference field="4294967294" count="2">
              <x v="11"/>
              <x v="12"/>
            </reference>
            <reference field="3" count="1" selected="0" defaultSubtotal="1">
              <x v="0"/>
            </reference>
          </references>
        </pivotArea>
      </pivotAreas>
    </conditionalFormat>
    <conditionalFormat priority="10">
      <pivotAreas count="1">
        <pivotArea type="data" collapsedLevelsAreSubtotals="1" fieldPosition="0">
          <references count="2">
            <reference field="4294967294" count="2">
              <x v="9"/>
              <x v="10"/>
            </reference>
            <reference field="3" count="1" selected="0" defaultSubtotal="1">
              <x v="0"/>
            </reference>
          </references>
        </pivotArea>
      </pivotAreas>
    </conditionalFormat>
    <conditionalFormat priority="11">
      <pivotAreas count="1">
        <pivotArea type="data" collapsedLevelsAreSubtotals="1" fieldPosition="0">
          <references count="2">
            <reference field="4294967294" count="2">
              <x v="7"/>
              <x v="8"/>
            </reference>
            <reference field="3" count="1" selected="0" defaultSubtotal="1">
              <x v="0"/>
            </reference>
          </references>
        </pivotArea>
      </pivotAreas>
    </conditionalFormat>
  </conditionalFormats>
  <pivotTableStyleInfo name="PivotStyleLight2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AlllianceAnalyzer" cacheId="54" applyNumberFormats="0" applyBorderFormats="0" applyFontFormats="0" applyPatternFormats="0" applyAlignmentFormats="0" applyWidthHeightFormats="1" dataCaption="Values" tag="45bbd1fe-1dac-4776-8ae2-5e96c3824a62" updatedVersion="5" minRefreshableVersion="3" useAutoFormatting="1" rowGrandTotals="0" colGrandTotals="0" itemPrintTitles="1" createdVersion="5" indent="0" outline="1" outlineData="1" multipleFieldFilters="0">
  <location ref="B2:U15" firstHeaderRow="0" firstDataRow="1" firstDataCol="1"/>
  <pivotFields count="20">
    <pivotField dataField="1" showAll="0"/>
    <pivotField dataField="1" showAll="0"/>
    <pivotField dataField="1" showAll="0"/>
    <pivotField axis="axisRow" allDrilled="1" showAll="0" sortType="descending" defaultAttributeDrillState="1">
      <items count="14">
        <item x="0"/>
        <item x="1"/>
        <item x="2"/>
        <item x="3"/>
        <item x="4"/>
        <item x="5"/>
        <item x="6"/>
        <item x="7"/>
        <item x="8"/>
        <item x="9"/>
        <item x="10"/>
        <item x="11"/>
        <item x="12"/>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3"/>
  </rowFields>
  <rowItems count="13">
    <i>
      <x v="7"/>
    </i>
    <i>
      <x v="10"/>
    </i>
    <i>
      <x v="3"/>
    </i>
    <i>
      <x v="11"/>
    </i>
    <i>
      <x v="12"/>
    </i>
    <i>
      <x v="6"/>
    </i>
    <i>
      <x v="2"/>
    </i>
    <i>
      <x v="1"/>
    </i>
    <i>
      <x v="8"/>
    </i>
    <i>
      <x v="9"/>
    </i>
    <i>
      <x v="5"/>
    </i>
    <i>
      <x v="4"/>
    </i>
    <i>
      <x/>
    </i>
  </rowItems>
  <colFields count="1">
    <field x="-2"/>
  </colFields>
  <colItems count="19">
    <i>
      <x/>
    </i>
    <i i="1">
      <x v="1"/>
    </i>
    <i i="2">
      <x v="2"/>
    </i>
    <i i="3">
      <x v="3"/>
    </i>
    <i i="4">
      <x v="4"/>
    </i>
    <i i="5">
      <x v="5"/>
    </i>
    <i i="6">
      <x v="6"/>
    </i>
    <i i="7">
      <x v="7"/>
    </i>
    <i i="8">
      <x v="8"/>
    </i>
    <i i="9">
      <x v="9"/>
    </i>
    <i i="10">
      <x v="10"/>
    </i>
    <i i="11">
      <x v="11"/>
    </i>
    <i i="12">
      <x v="12"/>
    </i>
    <i i="13">
      <x v="13"/>
    </i>
    <i i="14">
      <x v="14"/>
    </i>
    <i i="15">
      <x v="15"/>
    </i>
    <i i="16">
      <x v="16"/>
    </i>
    <i i="17">
      <x v="17"/>
    </i>
    <i i="18">
      <x v="18"/>
    </i>
  </colItems>
  <dataFields count="19">
    <dataField name="Alliance Captain Rank" fld="18" baseField="0" baseItem="0"/>
    <dataField name="Average of Total Score" fld="1" subtotal="average" baseField="0" baseItem="0"/>
    <dataField name="Max of Total Score" fld="0" subtotal="max" baseField="0" baseItem="0"/>
    <dataField name="Average of Crossing Score" fld="4" subtotal="average" baseField="3" baseItem="8" numFmtId="2"/>
    <dataField name="Average of Total Goal Score" fld="5" subtotal="average" baseField="3" baseItem="8" numFmtId="2"/>
    <dataField name="Average of Challenge Score" fld="7" subtotal="average" baseField="3" baseItem="8" numFmtId="2"/>
    <dataField name="Average of Climb Score" fld="6" subtotal="average" baseField="3" baseItem="8" numFmtId="2"/>
    <dataField name="Average of Teleop High Goals" fld="19" subtotal="average" baseField="3" baseItem="12" numFmtId="164"/>
    <dataField name="Average of Climb Flag" fld="17" subtotal="average" baseField="3" baseItem="7" numFmtId="9"/>
    <dataField name="Operational Rating" fld="2" baseField="0" baseItem="0" numFmtId="1"/>
    <dataField name="Average of Portcullis Teleop Crossings" fld="8" subtotal="average" baseField="3" baseItem="8" numFmtId="2"/>
    <dataField name="Average of Cheval Teleop Crossings" fld="9" subtotal="average" baseField="3" baseItem="7" numFmtId="2"/>
    <dataField name="Average of Moat Teleop Crossings" fld="16" subtotal="average" baseField="3" baseItem="7" numFmtId="2"/>
    <dataField name="Average of Ramparts Teleop Crossings" fld="15" subtotal="average" baseField="3" baseItem="7" numFmtId="2"/>
    <dataField name="Average of Drawbridge Teleop Crossings" fld="14" subtotal="average" baseField="3" baseItem="7" numFmtId="2"/>
    <dataField name="Average of Sally Port Teleop Crossings" fld="13" subtotal="average" baseField="3" baseItem="7" numFmtId="2"/>
    <dataField name="Average of Rock Wall Teleop Crossings" fld="12" subtotal="average" baseField="3" baseItem="7" numFmtId="2"/>
    <dataField name="Average of Rough Terrain Teleop Crossings" fld="11" subtotal="average" baseField="3" baseItem="7" numFmtId="2"/>
    <dataField name="Average of Low Bar Teleop Crossings" fld="10" subtotal="average" baseField="3" baseItem="7" numFmtId="2"/>
  </dataFields>
  <formats count="24">
    <format dxfId="134">
      <pivotArea collapsedLevelsAreSubtotals="1" fieldPosition="0">
        <references count="2">
          <reference field="4294967294" count="2" selected="0">
            <x v="1"/>
            <x v="2"/>
          </reference>
          <reference field="3" count="0"/>
        </references>
      </pivotArea>
    </format>
    <format dxfId="133">
      <pivotArea outline="0" collapsedLevelsAreSubtotals="1" fieldPosition="0">
        <references count="1">
          <reference field="4294967294" count="4" selected="0">
            <x v="3"/>
            <x v="4"/>
            <x v="5"/>
            <x v="6"/>
          </reference>
        </references>
      </pivotArea>
    </format>
    <format dxfId="132">
      <pivotArea outline="0" collapsedLevelsAreSubtotals="1" fieldPosition="0">
        <references count="1">
          <reference field="4294967294" count="1" selected="0">
            <x v="9"/>
          </reference>
        </references>
      </pivotArea>
    </format>
    <format dxfId="131">
      <pivotArea outline="0" collapsedLevelsAreSubtotals="1" fieldPosition="0">
        <references count="1">
          <reference field="4294967294" count="9" selected="0">
            <x v="10"/>
            <x v="11"/>
            <x v="12"/>
            <x v="13"/>
            <x v="14"/>
            <x v="15"/>
            <x v="16"/>
            <x v="17"/>
            <x v="18"/>
          </reference>
        </references>
      </pivotArea>
    </format>
    <format dxfId="130">
      <pivotArea dataOnly="0" labelOnly="1" outline="0" fieldPosition="0">
        <references count="1">
          <reference field="4294967294" count="16">
            <x v="1"/>
            <x v="2"/>
            <x v="3"/>
            <x v="4"/>
            <x v="5"/>
            <x v="6"/>
            <x v="9"/>
            <x v="10"/>
            <x v="11"/>
            <x v="12"/>
            <x v="13"/>
            <x v="14"/>
            <x v="15"/>
            <x v="16"/>
            <x v="17"/>
            <x v="18"/>
          </reference>
        </references>
      </pivotArea>
    </format>
    <format dxfId="129">
      <pivotArea dataOnly="0" labelOnly="1" outline="0" fieldPosition="0">
        <references count="1">
          <reference field="4294967294" count="16">
            <x v="1"/>
            <x v="2"/>
            <x v="3"/>
            <x v="4"/>
            <x v="5"/>
            <x v="6"/>
            <x v="9"/>
            <x v="10"/>
            <x v="11"/>
            <x v="12"/>
            <x v="13"/>
            <x v="14"/>
            <x v="15"/>
            <x v="16"/>
            <x v="17"/>
            <x v="18"/>
          </reference>
        </references>
      </pivotArea>
    </format>
    <format dxfId="128">
      <pivotArea dataOnly="0" labelOnly="1" outline="0" fieldPosition="0">
        <references count="1">
          <reference field="4294967294" count="16">
            <x v="1"/>
            <x v="2"/>
            <x v="3"/>
            <x v="4"/>
            <x v="5"/>
            <x v="6"/>
            <x v="9"/>
            <x v="10"/>
            <x v="11"/>
            <x v="12"/>
            <x v="13"/>
            <x v="14"/>
            <x v="15"/>
            <x v="16"/>
            <x v="17"/>
            <x v="18"/>
          </reference>
        </references>
      </pivotArea>
    </format>
    <format dxfId="127">
      <pivotArea type="all" dataOnly="0" outline="0" fieldPosition="0"/>
    </format>
    <format dxfId="126">
      <pivotArea dataOnly="0" labelOnly="1" outline="0" fieldPosition="0">
        <references count="1">
          <reference field="4294967294" count="16">
            <x v="1"/>
            <x v="2"/>
            <x v="3"/>
            <x v="4"/>
            <x v="5"/>
            <x v="6"/>
            <x v="9"/>
            <x v="10"/>
            <x v="11"/>
            <x v="12"/>
            <x v="13"/>
            <x v="14"/>
            <x v="15"/>
            <x v="16"/>
            <x v="17"/>
            <x v="18"/>
          </reference>
        </references>
      </pivotArea>
    </format>
    <format dxfId="125">
      <pivotArea dataOnly="0" labelOnly="1" outline="0" fieldPosition="0">
        <references count="1">
          <reference field="4294967294" count="16">
            <x v="1"/>
            <x v="2"/>
            <x v="3"/>
            <x v="4"/>
            <x v="5"/>
            <x v="6"/>
            <x v="9"/>
            <x v="10"/>
            <x v="11"/>
            <x v="12"/>
            <x v="13"/>
            <x v="14"/>
            <x v="15"/>
            <x v="16"/>
            <x v="17"/>
            <x v="18"/>
          </reference>
        </references>
      </pivotArea>
    </format>
    <format dxfId="124">
      <pivotArea dataOnly="0" labelOnly="1" outline="0" fieldPosition="0">
        <references count="1">
          <reference field="4294967294" count="16">
            <x v="1"/>
            <x v="2"/>
            <x v="3"/>
            <x v="4"/>
            <x v="5"/>
            <x v="6"/>
            <x v="9"/>
            <x v="10"/>
            <x v="11"/>
            <x v="12"/>
            <x v="13"/>
            <x v="14"/>
            <x v="15"/>
            <x v="16"/>
            <x v="17"/>
            <x v="18"/>
          </reference>
        </references>
      </pivotArea>
    </format>
    <format dxfId="123">
      <pivotArea type="all" dataOnly="0" outline="0" fieldPosition="0"/>
    </format>
    <format dxfId="122">
      <pivotArea outline="0" collapsedLevelsAreSubtotals="1" fieldPosition="0"/>
    </format>
    <format dxfId="121">
      <pivotArea field="3" type="button" dataOnly="0" labelOnly="1" outline="0" axis="axisRow" fieldPosition="0"/>
    </format>
    <format dxfId="120">
      <pivotArea dataOnly="0" labelOnly="1" fieldPosition="0">
        <references count="1">
          <reference field="3" count="0"/>
        </references>
      </pivotArea>
    </format>
    <format dxfId="119">
      <pivotArea dataOnly="0" labelOnly="1" outline="0" fieldPosition="0">
        <references count="1">
          <reference field="4294967294" count="16">
            <x v="1"/>
            <x v="2"/>
            <x v="3"/>
            <x v="4"/>
            <x v="5"/>
            <x v="6"/>
            <x v="9"/>
            <x v="10"/>
            <x v="11"/>
            <x v="12"/>
            <x v="13"/>
            <x v="14"/>
            <x v="15"/>
            <x v="16"/>
            <x v="17"/>
            <x v="18"/>
          </reference>
        </references>
      </pivotArea>
    </format>
    <format dxfId="118">
      <pivotArea dataOnly="0" labelOnly="1" outline="0" fieldPosition="0">
        <references count="1">
          <reference field="4294967294" count="1">
            <x v="8"/>
          </reference>
        </references>
      </pivotArea>
    </format>
    <format dxfId="117">
      <pivotArea outline="0" fieldPosition="0">
        <references count="1">
          <reference field="4294967294" count="1">
            <x v="8"/>
          </reference>
        </references>
      </pivotArea>
    </format>
    <format dxfId="116">
      <pivotArea dataOnly="0" labelOnly="1" outline="0" fieldPosition="0">
        <references count="1">
          <reference field="4294967294" count="1">
            <x v="0"/>
          </reference>
        </references>
      </pivotArea>
    </format>
    <format dxfId="113">
      <pivotArea dataOnly="0" labelOnly="1" outline="0" fieldPosition="0">
        <references count="1">
          <reference field="4294967294" count="1">
            <x v="7"/>
          </reference>
        </references>
      </pivotArea>
    </format>
    <format dxfId="112">
      <pivotArea dataOnly="0" labelOnly="1" outline="0" fieldPosition="0">
        <references count="1">
          <reference field="4294967294" count="1">
            <x v="7"/>
          </reference>
        </references>
      </pivotArea>
    </format>
    <format dxfId="20">
      <pivotArea outline="0" fieldPosition="0">
        <references count="1">
          <reference field="4294967294" count="1">
            <x v="7"/>
          </reference>
        </references>
      </pivotArea>
    </format>
    <format dxfId="19">
      <pivotArea dataOnly="0" labelOnly="1" outline="0" fieldPosition="0">
        <references count="1">
          <reference field="4294967294" count="1">
            <x v="7"/>
          </reference>
        </references>
      </pivotArea>
    </format>
    <format dxfId="18">
      <pivotArea dataOnly="0" labelOnly="1" outline="0" fieldPosition="0">
        <references count="1">
          <reference field="4294967294" count="1">
            <x v="8"/>
          </reference>
        </references>
      </pivotArea>
    </format>
  </formats>
  <conditionalFormats count="19">
    <conditionalFormat priority="39">
      <pivotAreas count="1">
        <pivotArea type="data" outline="0" collapsedLevelsAreSubtotals="1" fieldPosition="0">
          <references count="1">
            <reference field="4294967294" count="1" selected="0">
              <x v="1"/>
            </reference>
          </references>
        </pivotArea>
      </pivotAreas>
    </conditionalFormat>
    <conditionalFormat priority="38">
      <pivotAreas count="1">
        <pivotArea type="data" outline="0" collapsedLevelsAreSubtotals="1" fieldPosition="0">
          <references count="1">
            <reference field="4294967294" count="1" selected="0">
              <x v="2"/>
            </reference>
          </references>
        </pivotArea>
      </pivotAreas>
    </conditionalFormat>
    <conditionalFormat priority="35">
      <pivotAreas count="1">
        <pivotArea type="data" outline="0" collapsedLevelsAreSubtotals="1" fieldPosition="0">
          <references count="1">
            <reference field="4294967294" count="1" selected="0">
              <x v="3"/>
            </reference>
          </references>
        </pivotArea>
      </pivotAreas>
    </conditionalFormat>
    <conditionalFormat priority="34">
      <pivotAreas count="1">
        <pivotArea type="data" outline="0" collapsedLevelsAreSubtotals="1" fieldPosition="0">
          <references count="1">
            <reference field="4294967294" count="1" selected="0">
              <x v="4"/>
            </reference>
          </references>
        </pivotArea>
      </pivotAreas>
    </conditionalFormat>
    <conditionalFormat priority="33">
      <pivotAreas count="1">
        <pivotArea type="data" outline="0" collapsedLevelsAreSubtotals="1" fieldPosition="0">
          <references count="1">
            <reference field="4294967294" count="1" selected="0">
              <x v="5"/>
            </reference>
          </references>
        </pivotArea>
      </pivotAreas>
    </conditionalFormat>
    <conditionalFormat priority="32">
      <pivotAreas count="1">
        <pivotArea type="data" outline="0" collapsedLevelsAreSubtotals="1" fieldPosition="0">
          <references count="1">
            <reference field="4294967294" count="1" selected="0">
              <x v="6"/>
            </reference>
          </references>
        </pivotArea>
      </pivotAreas>
    </conditionalFormat>
    <conditionalFormat priority="18">
      <pivotAreas count="1">
        <pivotArea type="data" outline="0" collapsedLevelsAreSubtotals="1" fieldPosition="0">
          <references count="1">
            <reference field="4294967294" count="1" selected="0">
              <x v="9"/>
            </reference>
          </references>
        </pivotArea>
      </pivotAreas>
    </conditionalFormat>
    <conditionalFormat priority="16">
      <pivotAreas count="1">
        <pivotArea type="data" outline="0" collapsedLevelsAreSubtotals="1" fieldPosition="0">
          <references count="1">
            <reference field="4294967294" count="1" selected="0">
              <x v="11"/>
            </reference>
          </references>
        </pivotArea>
      </pivotAreas>
    </conditionalFormat>
    <conditionalFormat priority="15">
      <pivotAreas count="1">
        <pivotArea type="data" outline="0" collapsedLevelsAreSubtotals="1" fieldPosition="0">
          <references count="1">
            <reference field="4294967294" count="1" selected="0">
              <x v="12"/>
            </reference>
          </references>
        </pivotArea>
      </pivotAreas>
    </conditionalFormat>
    <conditionalFormat priority="14">
      <pivotAreas count="1">
        <pivotArea type="data" outline="0" collapsedLevelsAreSubtotals="1" fieldPosition="0">
          <references count="1">
            <reference field="4294967294" count="1" selected="0">
              <x v="13"/>
            </reference>
          </references>
        </pivotArea>
      </pivotAreas>
    </conditionalFormat>
    <conditionalFormat priority="13">
      <pivotAreas count="1">
        <pivotArea type="data" outline="0" collapsedLevelsAreSubtotals="1" fieldPosition="0">
          <references count="1">
            <reference field="4294967294" count="1" selected="0">
              <x v="14"/>
            </reference>
          </references>
        </pivotArea>
      </pivotAreas>
    </conditionalFormat>
    <conditionalFormat priority="12">
      <pivotAreas count="1">
        <pivotArea type="data" outline="0" collapsedLevelsAreSubtotals="1" fieldPosition="0">
          <references count="1">
            <reference field="4294967294" count="1" selected="0">
              <x v="15"/>
            </reference>
          </references>
        </pivotArea>
      </pivotAreas>
    </conditionalFormat>
    <conditionalFormat priority="11">
      <pivotAreas count="1">
        <pivotArea type="data" outline="0" collapsedLevelsAreSubtotals="1" fieldPosition="0">
          <references count="1">
            <reference field="4294967294" count="1" selected="0">
              <x v="16"/>
            </reference>
          </references>
        </pivotArea>
      </pivotAreas>
    </conditionalFormat>
    <conditionalFormat priority="10">
      <pivotAreas count="1">
        <pivotArea type="data" outline="0" collapsedLevelsAreSubtotals="1" fieldPosition="0">
          <references count="1">
            <reference field="4294967294" count="1" selected="0">
              <x v="17"/>
            </reference>
          </references>
        </pivotArea>
      </pivotAreas>
    </conditionalFormat>
    <conditionalFormat priority="9">
      <pivotAreas count="1">
        <pivotArea type="data" outline="0" collapsedLevelsAreSubtotals="1" fieldPosition="0">
          <references count="1">
            <reference field="4294967294" count="1" selected="0">
              <x v="18"/>
            </reference>
          </references>
        </pivotArea>
      </pivotAreas>
    </conditionalFormat>
    <conditionalFormat priority="5">
      <pivotAreas count="1">
        <pivotArea type="data" outline="0" collapsedLevelsAreSubtotals="1" fieldPosition="0">
          <references count="1">
            <reference field="4294967294" count="1" selected="0">
              <x v="10"/>
            </reference>
          </references>
        </pivotArea>
      </pivotAreas>
    </conditionalFormat>
    <conditionalFormat priority="4">
      <pivotAreas count="1">
        <pivotArea type="data" outline="0" collapsedLevelsAreSubtotals="1" fieldPosition="0">
          <references count="1">
            <reference field="4294967294" count="9" selected="0">
              <x v="10"/>
              <x v="11"/>
              <x v="12"/>
              <x v="13"/>
              <x v="14"/>
              <x v="15"/>
              <x v="16"/>
              <x v="17"/>
              <x v="18"/>
            </reference>
          </references>
        </pivotArea>
      </pivotAreas>
    </conditionalFormat>
    <conditionalFormat priority="1">
      <pivotAreas count="1">
        <pivotArea type="data" outline="0" collapsedLevelsAreSubtotals="1" fieldPosition="0">
          <references count="1">
            <reference field="4294967294" count="1" selected="0">
              <x v="8"/>
            </reference>
          </references>
        </pivotArea>
      </pivotAreas>
    </conditionalFormat>
    <conditionalFormat priority="2">
      <pivotAreas count="1">
        <pivotArea type="data" outline="0" collapsedLevelsAreSubtotals="1" fieldPosition="0">
          <references count="1">
            <reference field="4294967294" count="1" selected="0">
              <x v="7"/>
            </reference>
          </references>
        </pivotArea>
      </pivotAreas>
    </conditionalFormat>
  </conditionalFormats>
  <pivotHierarchies count="1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Total Score"/>
    <pivotHierarchy dragToData="1"/>
    <pivotHierarchy dragToData="1" caption="Operational Rating"/>
    <pivotHierarchy dragToData="1"/>
    <pivotHierarchy dragToData="1"/>
    <pivotHierarchy dragToData="1"/>
    <pivotHierarchy dragToData="1" caption="High Goal Shooter Flag"/>
    <pivotHierarchy dragToData="1" caption="High Goal Shooter Fla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limb Flag"/>
    <pivotHierarchy dragToData="1"/>
    <pivotHierarchy dragToData="1" caption="Alliance Captain Rank"/>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0" showColStripes="1" showLastColumn="1"/>
  <rowHierarchiesUsage count="1">
    <rowHierarchyUsage hierarchyUsage="1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tchData]"/>
        <x15:activeTabTopLevelEntity name="[PitData]"/>
      </x15:pivotTableUISettings>
    </ext>
  </extLst>
</pivotTableDefinition>
</file>

<file path=xl/pivotTables/pivotTable3.xml><?xml version="1.0" encoding="utf-8"?>
<pivotTableDefinition xmlns="http://schemas.openxmlformats.org/spreadsheetml/2006/main" name="TeamTrend" cacheId="79" dataPosition="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2">
  <location ref="G3:L10" firstHeaderRow="0" firstDataRow="1" firstDataCol="1" rowPageCount="1" colPageCount="1"/>
  <pivotFields count="111">
    <pivotField showAll="0"/>
    <pivotField axis="axisRow" showAll="0">
      <items count="13">
        <item x="0"/>
        <item x="11"/>
        <item x="1"/>
        <item x="10"/>
        <item x="2"/>
        <item x="9"/>
        <item x="3"/>
        <item x="8"/>
        <item x="4"/>
        <item x="7"/>
        <item x="5"/>
        <item x="6"/>
        <item t="default"/>
      </items>
    </pivotField>
    <pivotField axis="axisPage" showAll="0">
      <items count="15">
        <item x="0"/>
        <item x="1"/>
        <item x="2"/>
        <item x="3"/>
        <item x="4"/>
        <item x="5"/>
        <item m="1" x="13"/>
        <item x="6"/>
        <item x="7"/>
        <item x="8"/>
        <item x="9"/>
        <item x="10"/>
        <item x="11"/>
        <item x="12"/>
        <item t="default"/>
      </items>
    </pivotField>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pivotField showAll="0"/>
    <pivotField showAll="0"/>
    <pivotField showAll="0"/>
    <pivotField showAll="0" defaultSubtotal="0"/>
    <pivotField showAll="0"/>
    <pivotField showAll="0"/>
    <pivotField showAl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7">
    <i>
      <x v="1"/>
    </i>
    <i>
      <x v="3"/>
    </i>
    <i>
      <x v="5"/>
    </i>
    <i>
      <x v="7"/>
    </i>
    <i>
      <x v="9"/>
    </i>
    <i>
      <x v="11"/>
    </i>
    <i t="grand">
      <x/>
    </i>
  </rowItems>
  <colFields count="1">
    <field x="-2"/>
  </colFields>
  <colItems count="5">
    <i>
      <x/>
    </i>
    <i i="1">
      <x v="1"/>
    </i>
    <i i="2">
      <x v="2"/>
    </i>
    <i i="3">
      <x v="3"/>
    </i>
    <i i="4">
      <x v="4"/>
    </i>
  </colItems>
  <pageFields count="1">
    <pageField fld="2" item="13" hier="-1"/>
  </pageFields>
  <dataFields count="5">
    <dataField name="Sum of Auto Low Goals" fld="6" baseField="0" baseItem="0"/>
    <dataField name="Sum of Auto High Goals" fld="5" baseField="0" baseItem="0"/>
    <dataField name="Sum of Teleop Low Goals" fld="8" baseField="0" baseItem="0"/>
    <dataField name="Sum of Teleop High Goals" fld="7" baseField="0" baseItem="0"/>
    <dataField name="Sum of Total Crossings" fld="45" baseField="0" baseItem="0"/>
  </dataFields>
  <formats count="2">
    <format dxfId="115">
      <pivotArea dataOnly="0" labelOnly="1" outline="0" fieldPosition="0">
        <references count="1">
          <reference field="4294967294" count="5">
            <x v="0"/>
            <x v="1"/>
            <x v="2"/>
            <x v="3"/>
            <x v="4"/>
          </reference>
        </references>
      </pivotArea>
    </format>
    <format dxfId="114">
      <pivotArea dataOnly="0" labelOnly="1" outline="0" fieldPosition="0">
        <references count="1">
          <reference field="4294967294" count="5">
            <x v="0"/>
            <x v="1"/>
            <x v="2"/>
            <x v="3"/>
            <x v="4"/>
          </reference>
        </references>
      </pivotArea>
    </format>
  </formats>
  <chartFormats count="17">
    <chartFormat chart="0" format="0" series="1">
      <pivotArea type="data" outline="0" fieldPosition="0">
        <references count="2">
          <reference field="4294967294" count="1" selected="0">
            <x v="1"/>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1"/>
          </reference>
        </references>
      </pivotArea>
    </chartFormat>
    <chartFormat chart="0" format="2" series="1">
      <pivotArea type="data" outline="0" fieldPosition="0">
        <references count="2">
          <reference field="4294967294" count="1" selected="0">
            <x v="1"/>
          </reference>
          <reference field="1" count="1" selected="0">
            <x v="2"/>
          </reference>
        </references>
      </pivotArea>
    </chartFormat>
    <chartFormat chart="0" format="3" series="1">
      <pivotArea type="data" outline="0" fieldPosition="0">
        <references count="2">
          <reference field="4294967294" count="1" selected="0">
            <x v="1"/>
          </reference>
          <reference field="1" count="1" selected="0">
            <x v="3"/>
          </reference>
        </references>
      </pivotArea>
    </chartFormat>
    <chartFormat chart="0" format="4" series="1">
      <pivotArea type="data" outline="0" fieldPosition="0">
        <references count="2">
          <reference field="4294967294" count="1" selected="0">
            <x v="1"/>
          </reference>
          <reference field="1" count="1" selected="0">
            <x v="4"/>
          </reference>
        </references>
      </pivotArea>
    </chartFormat>
    <chartFormat chart="0" format="5" series="1">
      <pivotArea type="data" outline="0" fieldPosition="0">
        <references count="2">
          <reference field="4294967294" count="1" selected="0">
            <x v="1"/>
          </reference>
          <reference field="1" count="1" selected="0">
            <x v="5"/>
          </reference>
        </references>
      </pivotArea>
    </chartFormat>
    <chartFormat chart="0" format="6" series="1">
      <pivotArea type="data" outline="0" fieldPosition="0">
        <references count="2">
          <reference field="4294967294" count="1" selected="0">
            <x v="1"/>
          </reference>
          <reference field="1" count="1" selected="0">
            <x v="6"/>
          </reference>
        </references>
      </pivotArea>
    </chartFormat>
    <chartFormat chart="0" format="7" series="1">
      <pivotArea type="data" outline="0" fieldPosition="0">
        <references count="2">
          <reference field="4294967294" count="1" selected="0">
            <x v="1"/>
          </reference>
          <reference field="1" count="1" selected="0">
            <x v="7"/>
          </reference>
        </references>
      </pivotArea>
    </chartFormat>
    <chartFormat chart="0" format="8" series="1">
      <pivotArea type="data" outline="0" fieldPosition="0">
        <references count="2">
          <reference field="4294967294" count="1" selected="0">
            <x v="1"/>
          </reference>
          <reference field="1" count="1" selected="0">
            <x v="8"/>
          </reference>
        </references>
      </pivotArea>
    </chartFormat>
    <chartFormat chart="0" format="9" series="1">
      <pivotArea type="data" outline="0" fieldPosition="0">
        <references count="2">
          <reference field="4294967294" count="1" selected="0">
            <x v="1"/>
          </reference>
          <reference field="1" count="1" selected="0">
            <x v="9"/>
          </reference>
        </references>
      </pivotArea>
    </chartFormat>
    <chartFormat chart="0" format="10" series="1">
      <pivotArea type="data" outline="0" fieldPosition="0">
        <references count="2">
          <reference field="4294967294" count="1" selected="0">
            <x v="1"/>
          </reference>
          <reference field="1" count="1" selected="0">
            <x v="10"/>
          </reference>
        </references>
      </pivotArea>
    </chartFormat>
    <chartFormat chart="0" format="11" series="1">
      <pivotArea type="data" outline="0" fieldPosition="0">
        <references count="2">
          <reference field="4294967294" count="1" selected="0">
            <x v="1"/>
          </reference>
          <reference field="1" count="1" selected="0">
            <x v="11"/>
          </reference>
        </references>
      </pivotArea>
    </chartFormat>
    <chartFormat chart="0" format="12" series="1">
      <pivotArea type="data" outline="0" fieldPosition="0">
        <references count="1">
          <reference field="4294967294" count="1" selected="0">
            <x v="1"/>
          </reference>
        </references>
      </pivotArea>
    </chartFormat>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1">
          <reference field="4294967294" count="1" selected="0">
            <x v="3"/>
          </reference>
        </references>
      </pivotArea>
    </chartFormat>
    <chartFormat chart="0" format="15" series="1">
      <pivotArea type="data" outline="0" fieldPosition="0">
        <references count="1">
          <reference field="4294967294" count="1" selected="0">
            <x v="2"/>
          </reference>
        </references>
      </pivotArea>
    </chartFormat>
    <chartFormat chart="0" format="18"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7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A3:C10" firstHeaderRow="0" firstDataRow="1" firstDataCol="1" rowPageCount="1" colPageCount="1"/>
  <pivotFields count="111">
    <pivotField showAll="0"/>
    <pivotField axis="axisRow" showAll="0">
      <items count="13">
        <item x="0"/>
        <item x="11"/>
        <item x="1"/>
        <item x="10"/>
        <item x="2"/>
        <item x="9"/>
        <item x="3"/>
        <item x="8"/>
        <item x="4"/>
        <item x="7"/>
        <item x="5"/>
        <item x="6"/>
        <item t="default"/>
      </items>
    </pivotField>
    <pivotField axis="axisPage" multipleItemSelectionAllowed="1" showAll="0">
      <items count="15">
        <item x="0"/>
        <item h="1" x="1"/>
        <item h="1" x="2"/>
        <item h="1" x="3"/>
        <item h="1" x="4"/>
        <item h="1" x="5"/>
        <item h="1" m="1" x="13"/>
        <item h="1" x="6"/>
        <item h="1" x="7"/>
        <item h="1" x="8"/>
        <item h="1" x="9"/>
        <item h="1" x="10"/>
        <item h="1" x="11"/>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pivotField showAll="0"/>
    <pivotField showAll="0"/>
    <pivotField showAll="0"/>
    <pivotField dataField="1" showAll="0"/>
    <pivotField showAll="0" defaultSubtotal="0"/>
    <pivotField showAll="0"/>
    <pivotField showAll="0"/>
    <pivotField showAl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7">
    <i>
      <x/>
    </i>
    <i>
      <x v="2"/>
    </i>
    <i>
      <x v="4"/>
    </i>
    <i>
      <x v="6"/>
    </i>
    <i>
      <x v="8"/>
    </i>
    <i>
      <x v="10"/>
    </i>
    <i t="grand">
      <x/>
    </i>
  </rowItems>
  <colFields count="1">
    <field x="-2"/>
  </colFields>
  <colItems count="2">
    <i>
      <x/>
    </i>
    <i i="1">
      <x v="1"/>
    </i>
  </colItems>
  <pageFields count="1">
    <pageField fld="2" hier="-1"/>
  </pageFields>
  <dataFields count="2">
    <dataField name="Sum of Total Goals" fld="56" baseField="0" baseItem="0"/>
    <dataField name="Sum of Total Crossings" fld="45" baseField="0" baseItem="0"/>
  </dataFields>
  <chartFormats count="2">
    <chartFormat chart="0" format="27" series="1">
      <pivotArea type="data" outline="0" fieldPosition="0">
        <references count="1">
          <reference field="4294967294" count="1" selected="0">
            <x v="0"/>
          </reference>
        </references>
      </pivotArea>
    </chartFormat>
    <chartFormat chart="0" format="2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5" name="MatchData" displayName="MatchData" ref="A3:DG75" totalsRowShown="0" headerRowDxfId="111">
  <autoFilter ref="A3:DG75"/>
  <sortState ref="A3:DF74">
    <sortCondition ref="C2:C74"/>
  </sortState>
  <tableColumns count="111">
    <tableColumn id="1" name="Match Type (Q or B)"/>
    <tableColumn id="2" name="Match" dataDxfId="110"/>
    <tableColumn id="3" name="Team"/>
    <tableColumn id="4" name="Alliance"/>
    <tableColumn id="5" name="Scouter"/>
    <tableColumn id="6" name="Auto High Goals"/>
    <tableColumn id="7" name="Auto Low Goals"/>
    <tableColumn id="8" name="Teleop High Goals" dataDxfId="109">
      <calculatedColumnFormula>RANDBETWEEN(MatchData[[#This Row],[High Goal Low]],MatchData[[#This Row],[High Goal High]])</calculatedColumnFormula>
    </tableColumn>
    <tableColumn id="9" name="Teleop Low Goals" dataDxfId="108">
      <calculatedColumnFormula>RANDBETWEEN(MatchData[[#This Row],[Low Goal Low]],MatchData[[#This Row],[Low Goal High]])</calculatedColumnFormula>
    </tableColumn>
    <tableColumn id="10" name="Portcullis Available" dataDxfId="107"/>
    <tableColumn id="11" name="Cheval Available" dataDxfId="106"/>
    <tableColumn id="12" name="Moat Available" dataDxfId="105"/>
    <tableColumn id="13" name="Ramparts Available" dataDxfId="104"/>
    <tableColumn id="14" name="Drawbridge Available" dataDxfId="103"/>
    <tableColumn id="15" name="Sally Port Available" dataDxfId="102"/>
    <tableColumn id="16" name="Rock Wall Available" dataDxfId="101"/>
    <tableColumn id="17" name="Rough Terrain Available" dataDxfId="100"/>
    <tableColumn id="18" name="Low Bar Available" dataDxfId="99"/>
    <tableColumn id="111" name="Auto Reach Flag" dataDxfId="98">
      <calculatedColumnFormula>IF(MatchData[[#This Row],[Auto Crossing Test Generator]]=0,RANDBETWEEN(0,1),0)</calculatedColumnFormula>
    </tableColumn>
    <tableColumn id="89" name="Portcullis Auto Crossings" dataDxfId="97"/>
    <tableColumn id="19" name="Cheval Auto Crossings" dataDxfId="96">
      <calculatedColumnFormula>IF(MatchData[[#This Row],[Auto Crossing Test Generator]]=2,RANDBETWEEN(0,1),0)</calculatedColumnFormula>
    </tableColumn>
    <tableColumn id="20" name="Moat Auto Crossings" dataDxfId="95">
      <calculatedColumnFormula>IF(MatchData[[#This Row],[Auto Crossing Test Generator]]=3,RANDBETWEEN(0,1),0)</calculatedColumnFormula>
    </tableColumn>
    <tableColumn id="21" name="Ramparts Auto Crossings" dataDxfId="94">
      <calculatedColumnFormula>IF(MatchData[[#This Row],[Auto Crossing Test Generator]]=4,RANDBETWEEN(0,1),0)</calculatedColumnFormula>
    </tableColumn>
    <tableColumn id="22" name="Drawbridge Auto Crossings" dataDxfId="93">
      <calculatedColumnFormula>IF(MatchData[[#This Row],[Auto Crossing Test Generator]]=5,RANDBETWEEN(0,1),0)</calculatedColumnFormula>
    </tableColumn>
    <tableColumn id="23" name="Sally Port Auto Crossings" dataDxfId="92">
      <calculatedColumnFormula>IF(MatchData[[#This Row],[Auto Crossing Test Generator]]=6,RANDBETWEEN(0,1),0)</calculatedColumnFormula>
    </tableColumn>
    <tableColumn id="24" name="Rock Wall Auto Crossings" dataDxfId="91">
      <calculatedColumnFormula>IF(MatchData[[#This Row],[Auto Crossing Test Generator]]=7,RANDBETWEEN(0,1),0)</calculatedColumnFormula>
    </tableColumn>
    <tableColumn id="25" name="Rough Terrain Auto Crossings" dataDxfId="90">
      <calculatedColumnFormula>IF(MatchData[[#This Row],[Auto Crossing Test Generator]]=8,RANDBETWEEN(0,1),0)</calculatedColumnFormula>
    </tableColumn>
    <tableColumn id="26" name="Low Bar Auto Crossings" dataDxfId="89">
      <calculatedColumnFormula>IF(MatchData[[#This Row],[Auto Crossing Test Generator]]&gt;8,RANDBETWEEN(0,1),0)</calculatedColumnFormula>
    </tableColumn>
    <tableColumn id="90" name="Portcullis Teleop Crossings" dataDxfId="88">
      <calculatedColumnFormula>IF(MatchData[[#This Row],[Auto Crossing Test Generator]]=9,RANDBETWEEN(0,1),0)</calculatedColumnFormula>
    </tableColumn>
    <tableColumn id="27" name="Cheval Teleop Crossings" dataDxfId="87">
      <calculatedColumnFormula>IF(MatchData[[#This Row],[Cheval Available]]=1,RANDBETWEEN(0,MatchData[[#This Row],[Cheval High]]),0)</calculatedColumnFormula>
    </tableColumn>
    <tableColumn id="28" name="Moat Teleop Crossings" dataDxfId="86">
      <calculatedColumnFormula>IF(MatchData[[#This Row],[Moat Available]]=1,RANDBETWEEN(0,MatchData[[#This Row],[Moat High]]),0)</calculatedColumnFormula>
    </tableColumn>
    <tableColumn id="29" name="Ramparts Teleop Crossings" dataDxfId="85">
      <calculatedColumnFormula>IF(MatchData[[#This Row],[Ramparts Available]]=1,RANDBETWEEN(0,MatchData[[#This Row],[Ramparts High]]),0)</calculatedColumnFormula>
    </tableColumn>
    <tableColumn id="30" name="Drawbridge Teleop Crossings" dataDxfId="84">
      <calculatedColumnFormula>IF(MatchData[[#This Row],[Drawbridge Available]]=1,RANDBETWEEN(0,MatchData[[#This Row],[Drawbridge High]]),0)</calculatedColumnFormula>
    </tableColumn>
    <tableColumn id="31" name="Sally Port Teleop Crossings" dataDxfId="83">
      <calculatedColumnFormula>IF(MatchData[[#This Row],[Sally Port Available]]=1,RANDBETWEEN(0,MatchData[[#This Row],[Sally Port High]]),0)</calculatedColumnFormula>
    </tableColumn>
    <tableColumn id="32" name="Rock Wall Teleop Crossings" dataDxfId="82">
      <calculatedColumnFormula>IF(MatchData[[#This Row],[Rock Wall Available]]=1,RANDBETWEEN(0,MatchData[[#This Row],[Rock Wall High]]),0)</calculatedColumnFormula>
    </tableColumn>
    <tableColumn id="33" name="Rough Terrain Teleop Crossings" dataDxfId="81">
      <calculatedColumnFormula>IF(MatchData[[#This Row],[Rough Terrain Available]]=1,RANDBETWEEN(0,MatchData[[#This Row],[Rough Terrain High]]),0)</calculatedColumnFormula>
    </tableColumn>
    <tableColumn id="34" name="Low Bar Teleop Crossings" dataDxfId="80">
      <calculatedColumnFormula>IF(MatchData[[#This Row],[Low Bar Available]]=1,RANDBETWEEN(0,MatchData[[#This Row],[Low Bar High]]),0)</calculatedColumnFormula>
    </tableColumn>
    <tableColumn id="35" name="Cheval Scored Teleop Crossings" dataDxfId="79">
      <calculatedColumnFormula>IF(MatchData[Cheval Teleop Crossings]&gt;3,10, MatchData[Cheval Teleop Crossings]*5)</calculatedColumnFormula>
    </tableColumn>
    <tableColumn id="36" name="Moat Scored Teleop Crossings" dataDxfId="78">
      <calculatedColumnFormula>IF(MatchData[Moat Teleop Crossings]&gt;3,10, MatchData[Moat Teleop Crossings]*5)</calculatedColumnFormula>
    </tableColumn>
    <tableColumn id="37" name="Ramparts Scored Teleop Crossings" dataDxfId="77">
      <calculatedColumnFormula>IF(MatchData[Ramparts Teleop Crossings]&gt;3,10, MatchData[Ramparts Teleop Crossings]*5)</calculatedColumnFormula>
    </tableColumn>
    <tableColumn id="38" name="Drawbridge Scored Teleop Crossings" dataDxfId="76">
      <calculatedColumnFormula>IF(MatchData[Drawbridge Teleop Crossings]&gt;3,10, MatchData[Drawbridge Teleop Crossings]*5)</calculatedColumnFormula>
    </tableColumn>
    <tableColumn id="39" name="Sally Port Scored Teleop Crossings" dataDxfId="75">
      <calculatedColumnFormula>IF(MatchData[Sally Port Teleop Crossings]&gt;3,10, MatchData[Sally Port Teleop Crossings]*5)</calculatedColumnFormula>
    </tableColumn>
    <tableColumn id="40" name="Rock Wall Scored Teleop Crossings" dataDxfId="74">
      <calculatedColumnFormula>IF(MatchData[Rock Wall Teleop Crossings]&gt;3,10, MatchData[Rock Wall Teleop Crossings]*5)</calculatedColumnFormula>
    </tableColumn>
    <tableColumn id="41" name="Rough Terrain Scored Teleop Crossings" dataDxfId="73">
      <calculatedColumnFormula>IF(MatchData[Rough Terrain Teleop Crossings]&gt;3,10, MatchData[Rough Terrain Teleop Crossings]*5)</calculatedColumnFormula>
    </tableColumn>
    <tableColumn id="42" name="Low Bar Scored Teleop Crossings" dataDxfId="72">
      <calculatedColumnFormula>IF(MatchData[Low Bar Teleop Crossings]&gt;3,10, MatchData[Low Bar Teleop Crossings]*5)</calculatedColumnFormula>
    </tableColumn>
    <tableColumn id="101" name="Total Crossings" dataDxfId="71">
      <calculatedColumnFormula>SUM(MatchData[[#This Row],[Portcullis Teleop Crossings]:[Low Bar Teleop Crossings]])</calculatedColumnFormula>
    </tableColumn>
    <tableColumn id="43" name="Challenge Flag" dataDxfId="70">
      <calculatedColumnFormula>IF(RANDBETWEEN(1,4)&gt;1,1,0)</calculatedColumnFormula>
    </tableColumn>
    <tableColumn id="44" name="Climb Flag" dataDxfId="4">
      <calculatedColumnFormula>IF(MatchData[[#This Row],[Challenge Flag]]=1,0,IF(MatchData[[#This Row],[Climber]]=1,RANDBETWEEN(0,1),0))</calculatedColumnFormula>
    </tableColumn>
    <tableColumn id="45" name="Breach Flag" dataDxfId="69">
      <calculatedColumnFormula>IF(MatchData[[#This Row],[Crossing Score]]&gt;=40,1,0)</calculatedColumnFormula>
    </tableColumn>
    <tableColumn id="46" name="Capture Tower Flag" dataDxfId="68"/>
    <tableColumn id="48" name="Breakdown Flag" dataDxfId="67">
      <calculatedColumnFormula>IF(RANDBETWEEN(1,100)&gt;95,1,0)</calculatedColumnFormula>
    </tableColumn>
    <tableColumn id="47" name="Defense Flag" dataDxfId="66">
      <calculatedColumnFormula>IF(RANDBETWEEN(1,100)&gt;80,1,0)</calculatedColumnFormula>
    </tableColumn>
    <tableColumn id="107" name="Climb or Challenge Flag" dataDxfId="65">
      <calculatedColumnFormula>IF(OR(MatchData[[#This Row],[Challenge Flag]],MatchData[[#This Row],[Climb Flag]]),1,0)</calculatedColumnFormula>
    </tableColumn>
    <tableColumn id="49" name="High Goal Score" dataDxfId="64">
      <calculatedColumnFormula>MatchData[Auto High Goals]*10+MatchData[Teleop High Goals]*5</calculatedColumnFormula>
    </tableColumn>
    <tableColumn id="50" name="Low Goal Score" dataDxfId="63">
      <calculatedColumnFormula>MatchData[Auto Low Goals]*5+MatchData[Teleop Low Goals]*2</calculatedColumnFormula>
    </tableColumn>
    <tableColumn id="106" name="Total Goal Score" dataDxfId="62">
      <calculatedColumnFormula>MatchData[High Goal Score]+MatchData[Low Goal Score]</calculatedColumnFormula>
    </tableColumn>
    <tableColumn id="100" name="Total Goals" dataDxfId="61">
      <calculatedColumnFormula>MatchData[Teleop High Goals]+MatchData[Teleop Low Goals]</calculatedColumnFormula>
    </tableColumn>
    <tableColumn id="110" name="Total Auto Score" dataDxfId="60">
      <calculatedColumnFormula>MatchData[[#This Row],[Auto Reach Flag]]*2+SUM(MatchData[[#This Row],[Portcullis Auto Crossings]:[Low Bar Auto Crossings]])*10+MatchData[[#This Row],[Auto Low Goals]]*5+MatchData[Auto High Goals]*10</calculatedColumnFormula>
    </tableColumn>
    <tableColumn id="51" name="Crossing Score" dataDxfId="59">
      <calculatedColumnFormula>SUM(MatchData[[#This Row],[Cheval Scored Teleop Crossings]:[Low Bar Scored Teleop Crossings]])</calculatedColumnFormula>
    </tableColumn>
    <tableColumn id="52" name="Challenge Score" dataDxfId="58">
      <calculatedColumnFormula>MatchData[Challenge Flag]*5</calculatedColumnFormula>
    </tableColumn>
    <tableColumn id="53" name="Climb Score" dataDxfId="57">
      <calculatedColumnFormula>MatchData[Climb Flag]*15</calculatedColumnFormula>
    </tableColumn>
    <tableColumn id="102" name="Total Score" dataDxfId="56">
      <calculatedColumnFormula>SUM(MatchData[[#This Row],[Total Goal Score]],MatchData[[#This Row],[Crossing Score]],MatchData[[#This Row],[Challenge Score]],MatchData[[#This Row],[Climb Score]],MatchData[[#This Row],[Total Auto Score]])</calculatedColumnFormula>
    </tableColumn>
    <tableColumn id="54" name="Persona" dataDxfId="55"/>
    <tableColumn id="109" name="Auto Crossing Test Generator" dataDxfId="3">
      <calculatedColumnFormula>IF(RANDBETWEEN(0,10)&gt;=9,RANDBETWEEN(1,9),0)</calculatedColumnFormula>
    </tableColumn>
    <tableColumn id="55" name="Low Goal Low" dataDxfId="54">
      <calculatedColumnFormula>VLOOKUP(MatchData[[#This Row],[Persona]],Personas!$A$2:$O$5,3)</calculatedColumnFormula>
    </tableColumn>
    <tableColumn id="56" name="Low Goal High" dataDxfId="5">
      <calculatedColumnFormula>VLOOKUP(MatchData[[#This Row],[Persona]],Personas!$A$2:$P$5,4)</calculatedColumnFormula>
    </tableColumn>
    <tableColumn id="57" name="High Goal Low" dataDxfId="6">
      <calculatedColumnFormula>VLOOKUP(MatchData[[#This Row],[Persona]],Personas!$A$2:$P$5,5)</calculatedColumnFormula>
    </tableColumn>
    <tableColumn id="58" name="High Goal High" dataDxfId="7">
      <calculatedColumnFormula>VLOOKUP(MatchData[[#This Row],[Persona]],Personas!$A$2:$P$5,6)</calculatedColumnFormula>
    </tableColumn>
    <tableColumn id="59" name="Portcullis High" dataDxfId="8">
      <calculatedColumnFormula>VLOOKUP(MatchData[[#This Row],[Persona]],Personas!$A$2:$P$5,7)</calculatedColumnFormula>
    </tableColumn>
    <tableColumn id="60" name="Cheval High" dataDxfId="9">
      <calculatedColumnFormula>VLOOKUP(MatchData[[#This Row],[Persona]],Personas!$A$2:$P$5,8)</calculatedColumnFormula>
    </tableColumn>
    <tableColumn id="61" name="Moat High" dataDxfId="10">
      <calculatedColumnFormula>VLOOKUP(MatchData[[#This Row],[Persona]],Personas!$A$2:$P$5,9)</calculatedColumnFormula>
    </tableColumn>
    <tableColumn id="62" name="Ramparts High" dataDxfId="11">
      <calculatedColumnFormula>VLOOKUP(MatchData[[#This Row],[Persona]],Personas!$A$2:$P$5,10)</calculatedColumnFormula>
    </tableColumn>
    <tableColumn id="63" name="Drawbridge High" dataDxfId="12">
      <calculatedColumnFormula>VLOOKUP(MatchData[[#This Row],[Persona]],Personas!$A$2:$P$5,11)</calculatedColumnFormula>
    </tableColumn>
    <tableColumn id="64" name="Sally Port High" dataDxfId="13">
      <calculatedColumnFormula>VLOOKUP(MatchData[[#This Row],[Persona]],Personas!$A$2:$P$5,12)</calculatedColumnFormula>
    </tableColumn>
    <tableColumn id="65" name="Rock Wall High" dataDxfId="14">
      <calculatedColumnFormula>VLOOKUP(MatchData[[#This Row],[Persona]],Personas!$A$2:$P$5,13)</calculatedColumnFormula>
    </tableColumn>
    <tableColumn id="66" name="Rough Terrain High" dataDxfId="15">
      <calculatedColumnFormula>VLOOKUP(MatchData[[#This Row],[Persona]],Personas!$A$2:$P$5,14)</calculatedColumnFormula>
    </tableColumn>
    <tableColumn id="67" name="Low Bar High" dataDxfId="16">
      <calculatedColumnFormula>VLOOKUP(MatchData[[#This Row],[Persona]],Personas!$A$2:$P$5,15)</calculatedColumnFormula>
    </tableColumn>
    <tableColumn id="103" name="Climber" dataDxfId="17">
      <calculatedColumnFormula>VLOOKUP(MatchData[[#This Row],[Persona]],Personas!$A$2:$P$5,16)</calculatedColumnFormula>
    </tableColumn>
    <tableColumn id="68" name="Low Goal Team Average" dataDxfId="53">
      <calculatedColumnFormula>ROUND(SUMIF(MatchData[Team],MatchData[[#This Row],[Team]],MatchData[Teleop Low Goals])/COUNTIF(MatchData[Team],MatchData[[#This Row],[Team]]),2)</calculatedColumnFormula>
    </tableColumn>
    <tableColumn id="69" name="High Goal Team Average" dataDxfId="52">
      <calculatedColumnFormula>ROUND(SUMIF(MatchData[Team],MatchData[[#This Row],[Team]],MatchData[Teleop High Goals])/COUNTIF(MatchData[Team],MatchData[[#This Row],[Team]]),2)</calculatedColumnFormula>
    </tableColumn>
    <tableColumn id="70" name="Match Count" dataDxfId="51">
      <calculatedColumnFormula>COUNTIF(MatchData[Team],MatchData[[#This Row],[Team]])</calculatedColumnFormula>
    </tableColumn>
    <tableColumn id="71" name="Portcullis Avail Count" dataDxfId="50">
      <calculatedColumnFormula>SUMIF(MatchData[Team],MatchData[[#This Row],[Team]],MatchData[Portcullis Available])</calculatedColumnFormula>
    </tableColumn>
    <tableColumn id="72" name="Cheval Avail Count" dataDxfId="49">
      <calculatedColumnFormula>SUMIF(MatchData[Team],MatchData[[#This Row],[Team]],MatchData[Cheval Available])</calculatedColumnFormula>
    </tableColumn>
    <tableColumn id="73" name="Moat Avail Count" dataDxfId="48">
      <calculatedColumnFormula>SUMIF(MatchData[Team],MatchData[[#This Row],[Team]],MatchData[Moat Available])</calculatedColumnFormula>
    </tableColumn>
    <tableColumn id="74" name="Ramparts Avail Count" dataDxfId="47">
      <calculatedColumnFormula>SUMIF(MatchData[Team],MatchData[[#This Row],[Team]],MatchData[Ramparts Available])</calculatedColumnFormula>
    </tableColumn>
    <tableColumn id="75" name="Drawbridge HAvail Countigh6" dataDxfId="46">
      <calculatedColumnFormula>SUMIF(MatchData[Team],MatchData[[#This Row],[Team]],MatchData[Drawbridge Available])</calculatedColumnFormula>
    </tableColumn>
    <tableColumn id="76" name="Sally Port Avail Count" dataDxfId="45">
      <calculatedColumnFormula>SUMIF(MatchData[Team],MatchData[[#This Row],[Team]],MatchData[Sally Port Available])</calculatedColumnFormula>
    </tableColumn>
    <tableColumn id="77" name="Rock Wall Avail Count" dataDxfId="44">
      <calculatedColumnFormula>SUMIF(MatchData[Team],MatchData[[#This Row],[Team]],MatchData[Rock Wall Available])</calculatedColumnFormula>
    </tableColumn>
    <tableColumn id="78" name="Rough Terrain Avail Count" dataDxfId="43">
      <calculatedColumnFormula>SUMIF(MatchData[Team],MatchData[[#This Row],[Team]],MatchData[Rough Terrain Available])</calculatedColumnFormula>
    </tableColumn>
    <tableColumn id="79" name="Low Bar Avail Count" dataDxfId="42">
      <calculatedColumnFormula>SUMIF(MatchData[Team],MatchData[[#This Row],[Team]],MatchData[Low Bar Available])</calculatedColumnFormula>
    </tableColumn>
    <tableColumn id="80" name="Portcullis Sum" dataDxfId="41">
      <calculatedColumnFormula>SUMIF(MatchData[Team],MatchData[[#This Row],[Team]],MatchData[Portcullis Teleop Crossings])</calculatedColumnFormula>
    </tableColumn>
    <tableColumn id="81" name="Cheval Sum" dataDxfId="40">
      <calculatedColumnFormula>SUMIF(MatchData[Team],MatchData[[#This Row],[Team]],MatchData[Cheval Teleop Crossings])</calculatedColumnFormula>
    </tableColumn>
    <tableColumn id="82" name="Moat Sum" dataDxfId="39">
      <calculatedColumnFormula>SUMIF(MatchData[Team],MatchData[[#This Row],[Team]],MatchData[Moat Teleop Crossings])</calculatedColumnFormula>
    </tableColumn>
    <tableColumn id="83" name="Ramparts Sum" dataDxfId="38">
      <calculatedColumnFormula>SUMIF(MatchData[Team],MatchData[[#This Row],[Team]],MatchData[Ramparts Teleop Crossings])</calculatedColumnFormula>
    </tableColumn>
    <tableColumn id="84" name="Drawbridge Sum" dataDxfId="37">
      <calculatedColumnFormula>SUMIF(MatchData[Team],MatchData[[#This Row],[Team]],MatchData[Drawbridge Teleop Crossings])</calculatedColumnFormula>
    </tableColumn>
    <tableColumn id="85" name="Sally Port Sum" dataDxfId="36">
      <calculatedColumnFormula>SUMIF(MatchData[Team],MatchData[[#This Row],[Team]],MatchData[Sally Port Teleop Crossings])</calculatedColumnFormula>
    </tableColumn>
    <tableColumn id="86" name="Rock Wall Sum" dataDxfId="35">
      <calculatedColumnFormula>SUMIF(MatchData[Team],MatchData[[#This Row],[Team]],MatchData[Rock Wall Teleop Crossings])</calculatedColumnFormula>
    </tableColumn>
    <tableColumn id="87" name="Rough Terrain Sum" dataDxfId="34">
      <calculatedColumnFormula>SUMIF(MatchData[Team],MatchData[[#This Row],[Team]],MatchData[Rough Terrain Teleop Crossings])</calculatedColumnFormula>
    </tableColumn>
    <tableColumn id="88" name="Low Bar Sum" dataDxfId="33">
      <calculatedColumnFormula>SUMIF(MatchData[Team],MatchData[[#This Row],[Team]],MatchData[Low Bar Teleop Crossings])</calculatedColumnFormula>
    </tableColumn>
    <tableColumn id="91" name="Portcullis Average" dataDxfId="32">
      <calculatedColumnFormula>IFERROR(ROUND(MatchData[[#This Row],[Portcullis Sum]]/MatchData[[#This Row],[Portcullis Avail Count]],2),0)</calculatedColumnFormula>
    </tableColumn>
    <tableColumn id="92" name="Cheval Average" dataDxfId="31">
      <calculatedColumnFormula>IFERROR(ROUND(MatchData[[#This Row],[Cheval Sum]]/MatchData[[#This Row],[Cheval Avail Count]],2),0)</calculatedColumnFormula>
    </tableColumn>
    <tableColumn id="93" name="Moat Average" dataDxfId="30">
      <calculatedColumnFormula>IFERROR(ROUND(MatchData[[#This Row],[Moat Sum]]/MatchData[[#This Row],[Moat Avail Count]],2),0)</calculatedColumnFormula>
    </tableColumn>
    <tableColumn id="94" name="Ramparts Average" dataDxfId="29">
      <calculatedColumnFormula>IFERROR(ROUND(MatchData[[#This Row],[Ramparts Sum]]/MatchData[[#This Row],[Ramparts Avail Count]],2),0)</calculatedColumnFormula>
    </tableColumn>
    <tableColumn id="95" name="Drawbridge Average" dataDxfId="28">
      <calculatedColumnFormula>IFERROR(ROUND(MatchData[[#This Row],[Drawbridge Sum]]/MatchData[[#This Row],[Drawbridge HAvail Countigh6]],2),0)</calculatedColumnFormula>
    </tableColumn>
    <tableColumn id="96" name="Sally Port Average" dataDxfId="27">
      <calculatedColumnFormula>IFERROR(ROUND(MatchData[[#This Row],[Sally Port Sum]]/MatchData[[#This Row],[Sally Port Avail Count]],2),0)</calculatedColumnFormula>
    </tableColumn>
    <tableColumn id="97" name="Rock Wall Average" dataDxfId="26"/>
    <tableColumn id="98" name="Rough Terrain Crossing Average" dataDxfId="25"/>
    <tableColumn id="99" name="Low Bar Average" dataDxfId="24"/>
    <tableColumn id="105" name="Max Goal Score" dataDxfId="23">
      <calculatedColumnFormula array="1">MAX(IF(C$4:C$75=C4,BE$4:BE$75))</calculatedColumnFormula>
    </tableColumn>
    <tableColumn id="104" name="Average Team Score" dataDxfId="22">
      <calculatedColumnFormula>AVERAGEIF(MatchData[Team],MatchData[Team],MatchData[Total Score])</calculatedColumnFormula>
    </tableColumn>
    <tableColumn id="108" name="Average Climb or Challenge" dataDxfId="21">
      <calculatedColumnFormula>ROUND(AVERAGEIF(MatchData[Team],MatchData[Team],MatchData[Climb or Challenge Flag]),2)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2" name="PitData" displayName="PitData" ref="A1:G14" totalsRowShown="0">
  <autoFilter ref="A1:G14"/>
  <tableColumns count="7">
    <tableColumn id="1" name="Team" dataDxfId="142"/>
    <tableColumn id="2" name="DriveBase"/>
    <tableColumn id="3" name="Operational Rating"/>
    <tableColumn id="4" name="High Goal Shooter"/>
    <tableColumn id="5" name="Climber"/>
    <tableColumn id="6" name="Persona" dataDxfId="141"/>
    <tableColumn id="7" name="Team Captain Ra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75"/>
  <sheetViews>
    <sheetView topLeftCell="A2" zoomScale="120" zoomScaleNormal="120" workbookViewId="0">
      <pane xSplit="5" ySplit="3" topLeftCell="F5" activePane="bottomRight" state="frozen"/>
      <selection activeCell="A2" sqref="A2"/>
      <selection pane="topRight" activeCell="F2" sqref="F2"/>
      <selection pane="bottomLeft" activeCell="A3" sqref="A3"/>
      <selection pane="bottomRight" activeCell="T2" sqref="T2"/>
    </sheetView>
  </sheetViews>
  <sheetFormatPr defaultRowHeight="14.5"/>
  <cols>
    <col min="1" max="1" width="3.36328125" bestFit="1" customWidth="1"/>
    <col min="2" max="2" width="5.7265625" customWidth="1"/>
    <col min="3" max="3" width="7.7265625" bestFit="1" customWidth="1"/>
    <col min="5" max="5" width="9.26953125" customWidth="1"/>
    <col min="6" max="6" width="5.453125" customWidth="1"/>
    <col min="7" max="7" width="3.6328125" customWidth="1"/>
    <col min="8" max="8" width="7.90625" bestFit="1" customWidth="1"/>
    <col min="9" max="11" width="5.08984375" customWidth="1"/>
    <col min="12" max="18" width="5.08984375" style="1" customWidth="1"/>
    <col min="20" max="22" width="5.08984375" style="1" customWidth="1"/>
    <col min="23" max="49" width="5.08984375" customWidth="1"/>
    <col min="51" max="52" width="5.08984375" customWidth="1"/>
    <col min="54" max="54" width="5.08984375" style="1" customWidth="1"/>
    <col min="55" max="55" width="4.90625" customWidth="1"/>
    <col min="56" max="56" width="5" customWidth="1"/>
    <col min="57" max="78" width="5.08984375" customWidth="1"/>
    <col min="79" max="79" width="9.08984375" bestFit="1" customWidth="1"/>
    <col min="80" max="116" width="5.08984375" customWidth="1"/>
  </cols>
  <sheetData>
    <row r="1" spans="1:111">
      <c r="K1" s="1"/>
      <c r="S1" s="1"/>
      <c r="U1"/>
      <c r="V1"/>
      <c r="BB1" s="47" t="s">
        <v>52</v>
      </c>
      <c r="BC1" s="47"/>
      <c r="BD1" s="47"/>
      <c r="BE1" s="47"/>
      <c r="BF1" s="47"/>
      <c r="BG1" s="47"/>
      <c r="BH1" s="47"/>
      <c r="BI1" s="47"/>
      <c r="BL1" s="1"/>
    </row>
    <row r="2" spans="1:111" ht="86.5" customHeight="1">
      <c r="K2" s="1"/>
      <c r="S2" s="1"/>
      <c r="U2"/>
      <c r="V2"/>
      <c r="BB2" s="42"/>
      <c r="BC2" s="42"/>
      <c r="BD2" s="42"/>
      <c r="BE2" s="42"/>
      <c r="BF2" s="42"/>
      <c r="BG2" s="42"/>
      <c r="BH2" s="42"/>
      <c r="BI2" s="42"/>
      <c r="BL2" s="1"/>
    </row>
    <row r="3" spans="1:111" s="36" customFormat="1" ht="139" thickBot="1">
      <c r="A3" s="7" t="s">
        <v>53</v>
      </c>
      <c r="B3" s="9" t="s">
        <v>0</v>
      </c>
      <c r="C3" s="8" t="s">
        <v>1</v>
      </c>
      <c r="D3" s="8" t="s">
        <v>2</v>
      </c>
      <c r="E3" s="8" t="s">
        <v>3</v>
      </c>
      <c r="F3" s="36" t="s">
        <v>4</v>
      </c>
      <c r="G3" s="36" t="s">
        <v>5</v>
      </c>
      <c r="H3" s="36" t="s">
        <v>39</v>
      </c>
      <c r="I3" s="36" t="s">
        <v>40</v>
      </c>
      <c r="J3" s="36" t="s">
        <v>6</v>
      </c>
      <c r="K3" s="36" t="s">
        <v>7</v>
      </c>
      <c r="L3" s="36" t="s">
        <v>8</v>
      </c>
      <c r="M3" s="36" t="s">
        <v>9</v>
      </c>
      <c r="N3" s="36" t="s">
        <v>10</v>
      </c>
      <c r="O3" s="36" t="s">
        <v>11</v>
      </c>
      <c r="P3" s="36" t="s">
        <v>12</v>
      </c>
      <c r="Q3" s="36" t="s">
        <v>13</v>
      </c>
      <c r="R3" s="36" t="s">
        <v>14</v>
      </c>
      <c r="S3" s="39" t="s">
        <v>177</v>
      </c>
      <c r="T3" s="36" t="s">
        <v>107</v>
      </c>
      <c r="U3" s="36" t="s">
        <v>15</v>
      </c>
      <c r="V3" s="36" t="s">
        <v>16</v>
      </c>
      <c r="W3" s="36" t="s">
        <v>17</v>
      </c>
      <c r="X3" s="36" t="s">
        <v>18</v>
      </c>
      <c r="Y3" s="36" t="s">
        <v>19</v>
      </c>
      <c r="Z3" s="36" t="s">
        <v>20</v>
      </c>
      <c r="AA3" s="36" t="s">
        <v>21</v>
      </c>
      <c r="AB3" s="36" t="s">
        <v>22</v>
      </c>
      <c r="AC3" s="36" t="s">
        <v>108</v>
      </c>
      <c r="AD3" s="36" t="s">
        <v>23</v>
      </c>
      <c r="AE3" s="36" t="s">
        <v>24</v>
      </c>
      <c r="AF3" s="36" t="s">
        <v>25</v>
      </c>
      <c r="AG3" s="36" t="s">
        <v>26</v>
      </c>
      <c r="AH3" s="36" t="s">
        <v>27</v>
      </c>
      <c r="AI3" s="36" t="s">
        <v>28</v>
      </c>
      <c r="AJ3" s="36" t="s">
        <v>29</v>
      </c>
      <c r="AK3" s="36" t="s">
        <v>30</v>
      </c>
      <c r="AL3" s="36" t="s">
        <v>31</v>
      </c>
      <c r="AM3" s="36" t="s">
        <v>32</v>
      </c>
      <c r="AN3" s="36" t="s">
        <v>33</v>
      </c>
      <c r="AO3" s="36" t="s">
        <v>34</v>
      </c>
      <c r="AP3" s="36" t="s">
        <v>35</v>
      </c>
      <c r="AQ3" s="36" t="s">
        <v>36</v>
      </c>
      <c r="AR3" s="36" t="s">
        <v>37</v>
      </c>
      <c r="AS3" s="36" t="s">
        <v>38</v>
      </c>
      <c r="AT3" s="36" t="s">
        <v>123</v>
      </c>
      <c r="AU3" s="36" t="s">
        <v>44</v>
      </c>
      <c r="AV3" s="36" t="s">
        <v>45</v>
      </c>
      <c r="AW3" s="36" t="s">
        <v>46</v>
      </c>
      <c r="AX3" s="36" t="s">
        <v>47</v>
      </c>
      <c r="AY3" s="36" t="s">
        <v>49</v>
      </c>
      <c r="AZ3" s="36" t="s">
        <v>48</v>
      </c>
      <c r="BA3" s="37" t="s">
        <v>170</v>
      </c>
      <c r="BB3" s="37" t="s">
        <v>41</v>
      </c>
      <c r="BC3" s="37" t="s">
        <v>42</v>
      </c>
      <c r="BD3" s="37" t="s">
        <v>120</v>
      </c>
      <c r="BE3" s="37" t="s">
        <v>122</v>
      </c>
      <c r="BF3" s="37" t="s">
        <v>176</v>
      </c>
      <c r="BG3" s="37" t="s">
        <v>43</v>
      </c>
      <c r="BH3" s="37" t="s">
        <v>50</v>
      </c>
      <c r="BI3" s="37" t="s">
        <v>51</v>
      </c>
      <c r="BJ3" s="37" t="s">
        <v>135</v>
      </c>
      <c r="BK3" s="37" t="s">
        <v>65</v>
      </c>
      <c r="BL3" s="44" t="s">
        <v>175</v>
      </c>
      <c r="BM3" s="44" t="s">
        <v>70</v>
      </c>
      <c r="BN3" s="44" t="s">
        <v>71</v>
      </c>
      <c r="BO3" s="44" t="s">
        <v>72</v>
      </c>
      <c r="BP3" s="44" t="s">
        <v>73</v>
      </c>
      <c r="BQ3" s="45" t="s">
        <v>75</v>
      </c>
      <c r="BR3" s="45" t="s">
        <v>74</v>
      </c>
      <c r="BS3" s="45" t="s">
        <v>76</v>
      </c>
      <c r="BT3" s="45" t="s">
        <v>77</v>
      </c>
      <c r="BU3" s="45" t="s">
        <v>78</v>
      </c>
      <c r="BV3" s="45" t="s">
        <v>79</v>
      </c>
      <c r="BW3" s="45" t="s">
        <v>80</v>
      </c>
      <c r="BX3" s="45" t="s">
        <v>81</v>
      </c>
      <c r="BY3" s="45" t="s">
        <v>82</v>
      </c>
      <c r="BZ3" s="52" t="s">
        <v>147</v>
      </c>
      <c r="CA3" s="37" t="s">
        <v>87</v>
      </c>
      <c r="CB3" s="37" t="s">
        <v>88</v>
      </c>
      <c r="CC3" s="37" t="s">
        <v>89</v>
      </c>
      <c r="CD3" s="38" t="s">
        <v>90</v>
      </c>
      <c r="CE3" s="38" t="s">
        <v>91</v>
      </c>
      <c r="CF3" s="38" t="s">
        <v>92</v>
      </c>
      <c r="CG3" s="38" t="s">
        <v>93</v>
      </c>
      <c r="CH3" s="38" t="s">
        <v>94</v>
      </c>
      <c r="CI3" s="38" t="s">
        <v>95</v>
      </c>
      <c r="CJ3" s="38" t="s">
        <v>96</v>
      </c>
      <c r="CK3" s="38" t="s">
        <v>97</v>
      </c>
      <c r="CL3" s="38" t="s">
        <v>98</v>
      </c>
      <c r="CM3" s="38" t="s">
        <v>102</v>
      </c>
      <c r="CN3" s="38" t="s">
        <v>103</v>
      </c>
      <c r="CO3" s="38" t="s">
        <v>104</v>
      </c>
      <c r="CP3" s="38" t="s">
        <v>105</v>
      </c>
      <c r="CQ3" s="38" t="s">
        <v>106</v>
      </c>
      <c r="CR3" s="38" t="s">
        <v>99</v>
      </c>
      <c r="CS3" s="38" t="s">
        <v>100</v>
      </c>
      <c r="CT3" s="38" t="s">
        <v>118</v>
      </c>
      <c r="CU3" s="38" t="s">
        <v>101</v>
      </c>
      <c r="CV3" s="37" t="s">
        <v>109</v>
      </c>
      <c r="CW3" s="38" t="s">
        <v>110</v>
      </c>
      <c r="CX3" s="38" t="s">
        <v>111</v>
      </c>
      <c r="CY3" s="38" t="s">
        <v>112</v>
      </c>
      <c r="CZ3" s="38" t="s">
        <v>113</v>
      </c>
      <c r="DA3" s="38" t="s">
        <v>114</v>
      </c>
      <c r="DB3" s="38" t="s">
        <v>115</v>
      </c>
      <c r="DC3" s="38" t="s">
        <v>116</v>
      </c>
      <c r="DD3" s="38" t="s">
        <v>117</v>
      </c>
      <c r="DE3" s="37" t="s">
        <v>119</v>
      </c>
      <c r="DF3" s="37" t="s">
        <v>168</v>
      </c>
      <c r="DG3" s="37" t="s">
        <v>171</v>
      </c>
    </row>
    <row r="4" spans="1:111" ht="15" thickTop="1">
      <c r="A4" t="s">
        <v>54</v>
      </c>
      <c r="B4" s="4">
        <v>1</v>
      </c>
      <c r="C4">
        <v>1001</v>
      </c>
      <c r="D4" t="s">
        <v>55</v>
      </c>
      <c r="E4" t="s">
        <v>57</v>
      </c>
      <c r="F4">
        <f ca="1">IF(AND(MatchData[[#This Row],[Persona]] = 4,MatchData[Auto Crossing Test Generator]&gt;0),RANDBETWEEN(0,1),0)</f>
        <v>0</v>
      </c>
      <c r="G4">
        <f ca="1">IF(AND(MatchData[[#This Row],[Persona]] = 3,MatchData[Auto Crossing Test Generator]&gt;0),RANDBETWEEN(0,1),0)</f>
        <v>0</v>
      </c>
      <c r="H4">
        <f ca="1">RANDBETWEEN(MatchData[[#This Row],[High Goal Low]],MatchData[[#This Row],[High Goal High]])</f>
        <v>0</v>
      </c>
      <c r="I4">
        <f ca="1">RANDBETWEEN(MatchData[[#This Row],[Low Goal Low]],MatchData[[#This Row],[Low Goal High]])</f>
        <v>0</v>
      </c>
      <c r="J4" s="6">
        <v>1</v>
      </c>
      <c r="K4" s="6"/>
      <c r="L4" s="6"/>
      <c r="M4" s="6">
        <v>1</v>
      </c>
      <c r="N4" s="6">
        <v>1</v>
      </c>
      <c r="O4" s="6"/>
      <c r="P4" s="6"/>
      <c r="Q4" s="5">
        <v>1</v>
      </c>
      <c r="R4" s="5">
        <v>1</v>
      </c>
      <c r="S4" s="5">
        <f ca="1">IF(MatchData[[#This Row],[Auto Crossing Test Generator]]=0,RANDBETWEEN(0,1),0)</f>
        <v>1</v>
      </c>
      <c r="T4" s="5">
        <f ca="1">IF(MatchData[[#This Row],[Auto Crossing Test Generator]]=1,RANDBETWEEN(0,1),0)</f>
        <v>0</v>
      </c>
      <c r="U4" s="5">
        <f ca="1">IF(MatchData[[#This Row],[Auto Crossing Test Generator]]=2,RANDBETWEEN(0,1),0)</f>
        <v>0</v>
      </c>
      <c r="V4" s="5">
        <f ca="1">IF(MatchData[[#This Row],[Auto Crossing Test Generator]]=3,RANDBETWEEN(0,1),0)</f>
        <v>0</v>
      </c>
      <c r="W4" s="5">
        <f ca="1">IF(MatchData[[#This Row],[Auto Crossing Test Generator]]=4,RANDBETWEEN(0,1),0)</f>
        <v>0</v>
      </c>
      <c r="X4" s="5">
        <f ca="1">IF(MatchData[[#This Row],[Auto Crossing Test Generator]]=5,RANDBETWEEN(0,1),0)</f>
        <v>0</v>
      </c>
      <c r="Y4" s="5">
        <f ca="1">IF(MatchData[[#This Row],[Auto Crossing Test Generator]]=6,RANDBETWEEN(0,1),0)</f>
        <v>0</v>
      </c>
      <c r="Z4" s="5">
        <f ca="1">IF(MatchData[[#This Row],[Auto Crossing Test Generator]]=7,RANDBETWEEN(0,1),0)</f>
        <v>0</v>
      </c>
      <c r="AA4" s="5">
        <f ca="1">IF(MatchData[[#This Row],[Auto Crossing Test Generator]]=8,RANDBETWEEN(0,1),0)</f>
        <v>0</v>
      </c>
      <c r="AB4" s="5">
        <f ca="1">IF(MatchData[[#This Row],[Auto Crossing Test Generator]]&gt;8,RANDBETWEEN(0,1),0)</f>
        <v>0</v>
      </c>
      <c r="AC4" s="5">
        <f ca="1">IF(MatchData[[#This Row],[Auto Crossing Test Generator]]=9,RANDBETWEEN(0,1),0)</f>
        <v>0</v>
      </c>
      <c r="AD4" s="5">
        <f ca="1">IF(MatchData[[#This Row],[Cheval Available]]=1,RANDBETWEEN(0,MatchData[[#This Row],[Cheval High]]),0)</f>
        <v>0</v>
      </c>
      <c r="AE4" s="5">
        <f ca="1">IF(MatchData[[#This Row],[Moat Available]]=1,RANDBETWEEN(0,MatchData[[#This Row],[Moat High]]),0)</f>
        <v>0</v>
      </c>
      <c r="AF4" s="5">
        <f ca="1">IF(MatchData[[#This Row],[Ramparts Available]]=1,RANDBETWEEN(0,MatchData[[#This Row],[Ramparts High]]),0)</f>
        <v>2</v>
      </c>
      <c r="AG4" s="5">
        <f ca="1">IF(MatchData[[#This Row],[Drawbridge Available]]=1,RANDBETWEEN(0,MatchData[[#This Row],[Drawbridge High]]),0)</f>
        <v>0</v>
      </c>
      <c r="AH4" s="5">
        <f ca="1">IF(MatchData[[#This Row],[Sally Port Available]]=1,RANDBETWEEN(0,MatchData[[#This Row],[Sally Port High]]),0)</f>
        <v>0</v>
      </c>
      <c r="AI4" s="5">
        <f ca="1">IF(MatchData[[#This Row],[Rock Wall Available]]=1,RANDBETWEEN(0,MatchData[[#This Row],[Rock Wall High]]),0)</f>
        <v>0</v>
      </c>
      <c r="AJ4" s="5">
        <f ca="1">IF(MatchData[[#This Row],[Rough Terrain Available]]=1,RANDBETWEEN(0,MatchData[[#This Row],[Rough Terrain High]]),0)</f>
        <v>0</v>
      </c>
      <c r="AK4" s="5">
        <f ca="1">IF(MatchData[[#This Row],[Low Bar Available]]=1,RANDBETWEEN(0,MatchData[[#This Row],[Low Bar High]]),0)</f>
        <v>2</v>
      </c>
      <c r="AL4" s="5">
        <f ca="1">IF(MatchData[Cheval Teleop Crossings]&gt;3,10, MatchData[Cheval Teleop Crossings]*5)</f>
        <v>0</v>
      </c>
      <c r="AM4" s="5">
        <f ca="1">IF(MatchData[Moat Teleop Crossings]&gt;3,10, MatchData[Moat Teleop Crossings]*5)</f>
        <v>0</v>
      </c>
      <c r="AN4" s="5">
        <f ca="1">IF(MatchData[Ramparts Teleop Crossings]&gt;3,10, MatchData[Ramparts Teleop Crossings]*5)</f>
        <v>10</v>
      </c>
      <c r="AO4" s="5">
        <f ca="1">IF(MatchData[Drawbridge Teleop Crossings]&gt;3,10, MatchData[Drawbridge Teleop Crossings]*5)</f>
        <v>0</v>
      </c>
      <c r="AP4" s="5">
        <f ca="1">IF(MatchData[Sally Port Teleop Crossings]&gt;3,10, MatchData[Sally Port Teleop Crossings]*5)</f>
        <v>0</v>
      </c>
      <c r="AQ4" s="5">
        <f ca="1">IF(MatchData[Rock Wall Teleop Crossings]&gt;3,10, MatchData[Rock Wall Teleop Crossings]*5)</f>
        <v>0</v>
      </c>
      <c r="AR4" s="5">
        <f ca="1">IF(MatchData[Rough Terrain Teleop Crossings]&gt;3,10, MatchData[Rough Terrain Teleop Crossings]*5)</f>
        <v>0</v>
      </c>
      <c r="AS4" s="5">
        <f ca="1">IF(MatchData[Low Bar Teleop Crossings]&gt;3,10, MatchData[Low Bar Teleop Crossings]*5)</f>
        <v>10</v>
      </c>
      <c r="AT4" s="5">
        <f ca="1">SUM(MatchData[[#This Row],[Portcullis Teleop Crossings]:[Low Bar Teleop Crossings]])</f>
        <v>4</v>
      </c>
      <c r="AU4" s="5">
        <f ca="1">IF(RANDBETWEEN(1,4)&gt;1,1,0)</f>
        <v>1</v>
      </c>
      <c r="AV4" s="5">
        <f ca="1">IF(MatchData[[#This Row],[Challenge Flag]]=1,0,IF(MatchData[[#This Row],[Climber]]=1,RANDBETWEEN(0,1),0))</f>
        <v>0</v>
      </c>
      <c r="AW4" s="5">
        <f ca="1">IF(MatchData[[#This Row],[Crossing Score]]&gt;=40,1,0)</f>
        <v>0</v>
      </c>
      <c r="AX4" s="5"/>
      <c r="AY4" s="5">
        <f ca="1">IF(RANDBETWEEN(1,100)&gt;95,1,0)</f>
        <v>0</v>
      </c>
      <c r="AZ4" s="5">
        <f ca="1">IF(RANDBETWEEN(1,100)&gt;80,1,0)</f>
        <v>0</v>
      </c>
      <c r="BA4" s="5">
        <f ca="1">IF(OR(MatchData[[#This Row],[Challenge Flag]],MatchData[[#This Row],[Climb Flag]]),1,0)</f>
        <v>1</v>
      </c>
      <c r="BB4" s="5">
        <f ca="1">MatchData[Auto High Goals]*10+MatchData[Teleop High Goals]*5</f>
        <v>0</v>
      </c>
      <c r="BC4" s="5">
        <f ca="1">MatchData[Auto Low Goals]*5+MatchData[Teleop Low Goals]*2</f>
        <v>0</v>
      </c>
      <c r="BD4" s="5">
        <f ca="1">MatchData[High Goal Score]+MatchData[Low Goal Score]</f>
        <v>0</v>
      </c>
      <c r="BE4" s="5">
        <f ca="1">MatchData[Teleop High Goals]+MatchData[Teleop Low Goals]</f>
        <v>0</v>
      </c>
      <c r="BF4" s="5">
        <f ca="1">MatchData[[#This Row],[Auto Reach Flag]]*2+SUM(MatchData[[#This Row],[Portcullis Auto Crossings]:[Low Bar Auto Crossings]])*10+MatchData[[#This Row],[Auto Low Goals]]*5+MatchData[Auto High Goals]*10</f>
        <v>2</v>
      </c>
      <c r="BG4" s="5">
        <f ca="1">SUM(MatchData[[#This Row],[Cheval Scored Teleop Crossings]:[Low Bar Scored Teleop Crossings]])</f>
        <v>20</v>
      </c>
      <c r="BH4" s="5">
        <f ca="1">MatchData[Challenge Flag]*5</f>
        <v>5</v>
      </c>
      <c r="BI4" s="5">
        <f ca="1">MatchData[Climb Flag]*15</f>
        <v>0</v>
      </c>
      <c r="BJ4" s="5">
        <f ca="1">SUM(MatchData[[#This Row],[Total Goal Score]],MatchData[[#This Row],[Crossing Score]],MatchData[[#This Row],[Challenge Score]],MatchData[[#This Row],[Climb Score]],MatchData[[#This Row],[Total Auto Score]])</f>
        <v>27</v>
      </c>
      <c r="BK4" s="12">
        <v>1</v>
      </c>
      <c r="BL4" s="5">
        <f ca="1">IF(RANDBETWEEN(0,10)&gt;=9,RANDBETWEEN(1,9),0)</f>
        <v>0</v>
      </c>
      <c r="BM4" s="5">
        <f>VLOOKUP(MatchData[[#This Row],[Persona]],Personas!$A$2:$P$5,3)</f>
        <v>0</v>
      </c>
      <c r="BN4" s="13">
        <f>VLOOKUP(MatchData[[#This Row],[Persona]],Personas!$A$2:$P$5,4)</f>
        <v>0</v>
      </c>
      <c r="BO4" s="13">
        <f>VLOOKUP(MatchData[[#This Row],[Persona]],Personas!$A$2:$P$5,5)</f>
        <v>0</v>
      </c>
      <c r="BP4" s="13">
        <f>VLOOKUP(MatchData[[#This Row],[Persona]],Personas!$A$2:$P$5,6)</f>
        <v>0</v>
      </c>
      <c r="BQ4" s="13">
        <f>VLOOKUP(MatchData[[#This Row],[Persona]],Personas!$A$2:$P$5,7)</f>
        <v>0</v>
      </c>
      <c r="BR4" s="13">
        <f>VLOOKUP(MatchData[[#This Row],[Persona]],Personas!$A$2:$P$5,8)</f>
        <v>0</v>
      </c>
      <c r="BS4" s="13">
        <f>VLOOKUP(MatchData[[#This Row],[Persona]],Personas!$A$2:$P$5,9)</f>
        <v>2</v>
      </c>
      <c r="BT4" s="13">
        <f>VLOOKUP(MatchData[[#This Row],[Persona]],Personas!$A$2:$P$5,10)</f>
        <v>2</v>
      </c>
      <c r="BU4" s="13">
        <f>VLOOKUP(MatchData[[#This Row],[Persona]],Personas!$A$2:$P$5,11)</f>
        <v>0</v>
      </c>
      <c r="BV4" s="13">
        <f>VLOOKUP(MatchData[[#This Row],[Persona]],Personas!$A$2:$P$5,12)</f>
        <v>0</v>
      </c>
      <c r="BW4" s="13">
        <f>VLOOKUP(MatchData[[#This Row],[Persona]],Personas!$A$2:$P$5,13)</f>
        <v>2</v>
      </c>
      <c r="BX4" s="13">
        <f>VLOOKUP(MatchData[[#This Row],[Persona]],Personas!$A$2:$P$5,14)</f>
        <v>2</v>
      </c>
      <c r="BY4" s="13">
        <f>VLOOKUP(MatchData[[#This Row],[Persona]],Personas!$A$2:$P$5,15)</f>
        <v>2</v>
      </c>
      <c r="BZ4" s="13">
        <f>VLOOKUP(MatchData[[#This Row],[Persona]],Personas!$A$2:$P$5,16)</f>
        <v>0</v>
      </c>
      <c r="CA4" s="14">
        <f ca="1">ROUND(SUMIF(MatchData[Team],MatchData[[#This Row],[Team]],MatchData[Teleop Low Goals])/COUNTIF(MatchData[Team],MatchData[[#This Row],[Team]]),2)</f>
        <v>0</v>
      </c>
      <c r="CB4" s="14">
        <f ca="1">ROUND(SUMIF(MatchData[Team],MatchData[[#This Row],[Team]],MatchData[Teleop High Goals])/COUNTIF(MatchData[Team],MatchData[[#This Row],[Team]]),2)</f>
        <v>0</v>
      </c>
      <c r="CC4" s="14">
        <f>COUNTIF(MatchData[Team],MatchData[[#This Row],[Team]])</f>
        <v>6</v>
      </c>
      <c r="CD4" s="14">
        <f>SUMIF(MatchData[Team],MatchData[[#This Row],[Team]],MatchData[Portcullis Available])</f>
        <v>6</v>
      </c>
      <c r="CE4" s="14">
        <f>SUMIF(MatchData[Team],MatchData[[#This Row],[Team]],MatchData[Cheval Available])</f>
        <v>0</v>
      </c>
      <c r="CF4" s="14">
        <f>SUMIF(MatchData[Team],MatchData[[#This Row],[Team]],MatchData[Moat Available])</f>
        <v>0</v>
      </c>
      <c r="CG4" s="14">
        <f>SUMIF(MatchData[Team],MatchData[[#This Row],[Team]],MatchData[Ramparts Available])</f>
        <v>6</v>
      </c>
      <c r="CH4" s="14">
        <f>SUMIF(MatchData[Team],MatchData[[#This Row],[Team]],MatchData[Drawbridge Available])</f>
        <v>3</v>
      </c>
      <c r="CI4" s="14">
        <f>SUMIF(MatchData[Team],MatchData[[#This Row],[Team]],MatchData[Sally Port Available])</f>
        <v>3</v>
      </c>
      <c r="CJ4" s="14">
        <f>SUMIF(MatchData[Team],MatchData[[#This Row],[Team]],MatchData[Rock Wall Available])</f>
        <v>3</v>
      </c>
      <c r="CK4" s="14">
        <f>SUMIF(MatchData[Team],MatchData[[#This Row],[Team]],MatchData[Rough Terrain Available])</f>
        <v>3</v>
      </c>
      <c r="CL4" s="14">
        <f>SUMIF(MatchData[Team],MatchData[[#This Row],[Team]],MatchData[Low Bar Available])</f>
        <v>6</v>
      </c>
      <c r="CM4" s="14">
        <f ca="1">SUMIF(MatchData[Team],MatchData[[#This Row],[Team]],MatchData[Portcullis Teleop Crossings])</f>
        <v>0</v>
      </c>
      <c r="CN4" s="14">
        <f ca="1">SUMIF(MatchData[Team],MatchData[[#This Row],[Team]],MatchData[Cheval Teleop Crossings])</f>
        <v>0</v>
      </c>
      <c r="CO4" s="14">
        <f ca="1">SUMIF(MatchData[Team],MatchData[[#This Row],[Team]],MatchData[Moat Teleop Crossings])</f>
        <v>0</v>
      </c>
      <c r="CP4" s="14">
        <f ca="1">SUMIF(MatchData[Team],MatchData[[#This Row],[Team]],MatchData[Ramparts Teleop Crossings])</f>
        <v>5</v>
      </c>
      <c r="CQ4" s="14">
        <f ca="1">SUMIF(MatchData[Team],MatchData[[#This Row],[Team]],MatchData[Drawbridge Teleop Crossings])</f>
        <v>0</v>
      </c>
      <c r="CR4" s="14">
        <f ca="1">SUMIF(MatchData[Team],MatchData[[#This Row],[Team]],MatchData[Sally Port Teleop Crossings])</f>
        <v>0</v>
      </c>
      <c r="CS4" s="14">
        <f ca="1">SUMIF(MatchData[Team],MatchData[[#This Row],[Team]],MatchData[Rock Wall Teleop Crossings])</f>
        <v>4</v>
      </c>
      <c r="CT4" s="14">
        <f ca="1">SUMIF(MatchData[Team],MatchData[[#This Row],[Team]],MatchData[Rough Terrain Teleop Crossings])</f>
        <v>1</v>
      </c>
      <c r="CU4" s="14">
        <f ca="1">SUMIF(MatchData[Team],MatchData[[#This Row],[Team]],MatchData[Low Bar Teleop Crossings])</f>
        <v>4</v>
      </c>
      <c r="CV4">
        <f ca="1">IFERROR(ROUND(MatchData[[#This Row],[Portcullis Sum]]/MatchData[[#This Row],[Portcullis Avail Count]],2),0)</f>
        <v>0</v>
      </c>
      <c r="CW4">
        <f ca="1">IFERROR(ROUND(MatchData[[#This Row],[Cheval Sum]]/MatchData[[#This Row],[Cheval Avail Count]],2),0)</f>
        <v>0</v>
      </c>
      <c r="CX4">
        <f ca="1">IFERROR(ROUND(MatchData[[#This Row],[Moat Sum]]/MatchData[[#This Row],[Moat Avail Count]],2),0)</f>
        <v>0</v>
      </c>
      <c r="CY4">
        <f ca="1">IFERROR(ROUND(MatchData[[#This Row],[Ramparts Sum]]/MatchData[[#This Row],[Ramparts Avail Count]],2),0)</f>
        <v>0.83</v>
      </c>
      <c r="CZ4">
        <f ca="1">IFERROR(ROUND(MatchData[[#This Row],[Drawbridge Sum]]/MatchData[[#This Row],[Drawbridge HAvail Countigh6]],2),0)</f>
        <v>0</v>
      </c>
      <c r="DA4">
        <f ca="1">IFERROR(ROUND(MatchData[[#This Row],[Sally Port Sum]]/MatchData[[#This Row],[Sally Port Avail Count]],2),0)</f>
        <v>0</v>
      </c>
      <c r="DB4">
        <f ca="1">IFERROR(ROUND(MatchData[[#This Row],[Rock Wall Sum]]/MatchData[[#This Row],[Rock Wall Avail Count]],2),0)</f>
        <v>1.33</v>
      </c>
      <c r="DC4">
        <f ca="1">IFERROR(ROUND(MatchData[[#This Row],[Rough Terrain Sum]]/MatchData[[#This Row],[Rough Terrain Avail Count]],2),0)</f>
        <v>0.33</v>
      </c>
      <c r="DD4">
        <f ca="1">IFERROR(ROUND(MatchData[[#This Row],[Low Bar Sum]]/MatchData[[#This Row],[Low Bar Avail Count]],2),0)</f>
        <v>0.67</v>
      </c>
      <c r="DE4" s="14">
        <f t="array" aca="1" ref="DE4" ca="1">MAX(IF(C$4:C$75=C4,BE$4:BE$75))</f>
        <v>0</v>
      </c>
      <c r="DF4" s="14">
        <f ca="1">AVERAGEIF(MatchData[Team],MatchData[Team],MatchData[Total Score])</f>
        <v>15.166666666666666</v>
      </c>
      <c r="DG4" s="14">
        <f ca="1">ROUND(AVERAGEIF(MatchData[Team],MatchData[Team],MatchData[Climb or Challenge Flag]),2)</f>
        <v>0.5</v>
      </c>
    </row>
    <row r="5" spans="1:111">
      <c r="A5" t="s">
        <v>54</v>
      </c>
      <c r="B5" s="4">
        <v>3</v>
      </c>
      <c r="C5">
        <v>1001</v>
      </c>
      <c r="D5" t="s">
        <v>55</v>
      </c>
      <c r="E5" t="s">
        <v>62</v>
      </c>
      <c r="F5">
        <f ca="1">IF(MatchData[[#This Row],[Persona]] = 4,RANDBETWEEN(0,1),0)</f>
        <v>0</v>
      </c>
      <c r="G5">
        <f ca="1">IF(MatchData[[#This Row],[Persona]] = 3,RANDBETWEEN(0,1),0)</f>
        <v>0</v>
      </c>
      <c r="H5">
        <f ca="1">RANDBETWEEN(MatchData[[#This Row],[High Goal Low]],MatchData[[#This Row],[High Goal High]])</f>
        <v>0</v>
      </c>
      <c r="I5">
        <f ca="1">RANDBETWEEN(MatchData[[#This Row],[Low Goal Low]],MatchData[[#This Row],[Low Goal High]])</f>
        <v>0</v>
      </c>
      <c r="J5" s="6">
        <v>1</v>
      </c>
      <c r="K5" s="6"/>
      <c r="L5" s="6"/>
      <c r="M5" s="6">
        <v>1</v>
      </c>
      <c r="N5" s="6"/>
      <c r="O5" s="6">
        <v>1</v>
      </c>
      <c r="P5" s="6">
        <v>1</v>
      </c>
      <c r="Q5" s="5"/>
      <c r="R5" s="5">
        <v>1</v>
      </c>
      <c r="S5" s="5">
        <f ca="1">IF(MatchData[[#This Row],[Auto Crossing Test Generator]]=0,RANDBETWEEN(0,1),0)</f>
        <v>1</v>
      </c>
      <c r="T5" s="5">
        <f ca="1">IF(MatchData[Auto Crossing Test Generator]=1,1,0)</f>
        <v>0</v>
      </c>
      <c r="U5" s="5">
        <f ca="1">IF(MatchData[[#This Row],[Auto Crossing Test Generator]]=2,RANDBETWEEN(0,1),0)</f>
        <v>0</v>
      </c>
      <c r="V5" s="5">
        <f ca="1">IF(MatchData[[#This Row],[Auto Crossing Test Generator]]=3,RANDBETWEEN(0,1),0)</f>
        <v>0</v>
      </c>
      <c r="W5" s="5">
        <f ca="1">IF(MatchData[[#This Row],[Auto Crossing Test Generator]]=4,RANDBETWEEN(0,1),0)</f>
        <v>0</v>
      </c>
      <c r="X5" s="5">
        <f ca="1">IF(MatchData[[#This Row],[Auto Crossing Test Generator]]=5,RANDBETWEEN(0,1),0)</f>
        <v>0</v>
      </c>
      <c r="Y5" s="5">
        <f ca="1">IF(MatchData[[#This Row],[Auto Crossing Test Generator]]=6,RANDBETWEEN(0,1),0)</f>
        <v>0</v>
      </c>
      <c r="Z5" s="5">
        <f ca="1">IF(MatchData[[#This Row],[Auto Crossing Test Generator]]=7,RANDBETWEEN(0,1),0)</f>
        <v>0</v>
      </c>
      <c r="AA5" s="5">
        <f ca="1">IF(MatchData[[#This Row],[Auto Crossing Test Generator]]=8,RANDBETWEEN(0,1),0)</f>
        <v>0</v>
      </c>
      <c r="AB5" s="5">
        <f ca="1">IF(MatchData[[#This Row],[Auto Crossing Test Generator]]&gt;8,RANDBETWEEN(0,1),0)</f>
        <v>0</v>
      </c>
      <c r="AC5" s="5">
        <f ca="1">IF(MatchData[[#This Row],[Auto Crossing Test Generator]]=9,RANDBETWEEN(0,1),0)</f>
        <v>0</v>
      </c>
      <c r="AD5" s="5">
        <f ca="1">IF(MatchData[[#This Row],[Cheval Available]]=1,RANDBETWEEN(0,MatchData[[#This Row],[Cheval High]]),0)</f>
        <v>0</v>
      </c>
      <c r="AE5" s="5">
        <f ca="1">IF(MatchData[[#This Row],[Moat Available]]=1,RANDBETWEEN(0,MatchData[[#This Row],[Moat High]]),0)</f>
        <v>0</v>
      </c>
      <c r="AF5" s="5">
        <f ca="1">IF(MatchData[[#This Row],[Ramparts Available]]=1,RANDBETWEEN(0,MatchData[[#This Row],[Ramparts High]]),0)</f>
        <v>0</v>
      </c>
      <c r="AG5" s="5">
        <f ca="1">IF(MatchData[[#This Row],[Drawbridge Available]]=1,RANDBETWEEN(0,MatchData[[#This Row],[Drawbridge High]]),0)</f>
        <v>0</v>
      </c>
      <c r="AH5" s="5">
        <f ca="1">IF(MatchData[[#This Row],[Sally Port Available]]=1,RANDBETWEEN(0,MatchData[[#This Row],[Sally Port High]]),0)</f>
        <v>0</v>
      </c>
      <c r="AI5" s="5">
        <f ca="1">IF(MatchData[[#This Row],[Rock Wall Available]]=1,RANDBETWEEN(0,MatchData[[#This Row],[Rock Wall High]]),0)</f>
        <v>2</v>
      </c>
      <c r="AJ5" s="5">
        <f ca="1">IF(MatchData[[#This Row],[Rough Terrain Available]]=1,RANDBETWEEN(0,MatchData[[#This Row],[Rough Terrain High]]),0)</f>
        <v>0</v>
      </c>
      <c r="AK5" s="5">
        <f ca="1">IF(MatchData[[#This Row],[Low Bar Available]]=1,RANDBETWEEN(0,MatchData[[#This Row],[Low Bar High]]),0)</f>
        <v>0</v>
      </c>
      <c r="AL5" s="5">
        <f ca="1">IF(MatchData[Cheval Teleop Crossings]&gt;3,10, MatchData[Cheval Teleop Crossings]*5)</f>
        <v>0</v>
      </c>
      <c r="AM5" s="5">
        <f ca="1">IF(MatchData[Moat Teleop Crossings]&gt;3,10, MatchData[Moat Teleop Crossings]*5)</f>
        <v>0</v>
      </c>
      <c r="AN5" s="5">
        <f ca="1">IF(MatchData[Ramparts Teleop Crossings]&gt;3,10, MatchData[Ramparts Teleop Crossings]*5)</f>
        <v>0</v>
      </c>
      <c r="AO5" s="5">
        <f ca="1">IF(MatchData[Drawbridge Teleop Crossings]&gt;3,10, MatchData[Drawbridge Teleop Crossings]*5)</f>
        <v>0</v>
      </c>
      <c r="AP5" s="5">
        <f ca="1">IF(MatchData[Sally Port Teleop Crossings]&gt;3,10, MatchData[Sally Port Teleop Crossings]*5)</f>
        <v>0</v>
      </c>
      <c r="AQ5" s="5">
        <f ca="1">IF(MatchData[Rock Wall Teleop Crossings]&gt;3,10, MatchData[Rock Wall Teleop Crossings]*5)</f>
        <v>10</v>
      </c>
      <c r="AR5" s="5">
        <f ca="1">IF(MatchData[Rough Terrain Teleop Crossings]&gt;3,10, MatchData[Rough Terrain Teleop Crossings]*5)</f>
        <v>0</v>
      </c>
      <c r="AS5" s="5">
        <f ca="1">IF(MatchData[Low Bar Teleop Crossings]&gt;3,10, MatchData[Low Bar Teleop Crossings]*5)</f>
        <v>0</v>
      </c>
      <c r="AT5" s="5">
        <f ca="1">SUM(MatchData[[#This Row],[Portcullis Teleop Crossings]:[Low Bar Teleop Crossings]])</f>
        <v>2</v>
      </c>
      <c r="AU5" s="5">
        <f ca="1">IF(RANDBETWEEN(1,4)&gt;1,1,0)</f>
        <v>0</v>
      </c>
      <c r="AV5" s="5">
        <f ca="1">IF(MatchData[[#This Row],[Challenge Flag]]=1,0,IF(MatchData[[#This Row],[Climber]]=1,RANDBETWEEN(0,1),0))</f>
        <v>0</v>
      </c>
      <c r="AW5" s="5">
        <f ca="1">IF(MatchData[[#This Row],[Crossing Score]]&gt;=40,1,0)</f>
        <v>0</v>
      </c>
      <c r="AX5" s="5"/>
      <c r="AY5" s="5">
        <f ca="1">IF(RANDBETWEEN(1,100)&gt;95,1,0)</f>
        <v>0</v>
      </c>
      <c r="AZ5" s="5">
        <f ca="1">IF(RANDBETWEEN(1,100)&gt;80,1,0)</f>
        <v>0</v>
      </c>
      <c r="BA5" s="5">
        <f ca="1">IF(OR(MatchData[[#This Row],[Challenge Flag]],MatchData[[#This Row],[Climb Flag]]),1,0)</f>
        <v>0</v>
      </c>
      <c r="BB5" s="5">
        <f ca="1">MatchData[Auto High Goals]*10+MatchData[Teleop High Goals]*5</f>
        <v>0</v>
      </c>
      <c r="BC5" s="5">
        <f ca="1">MatchData[Auto Low Goals]*5+MatchData[Teleop Low Goals]*2</f>
        <v>0</v>
      </c>
      <c r="BD5" s="5">
        <f ca="1">MatchData[High Goal Score]+MatchData[Low Goal Score]</f>
        <v>0</v>
      </c>
      <c r="BE5" s="5">
        <f ca="1">MatchData[Teleop High Goals]+MatchData[Teleop Low Goals]</f>
        <v>0</v>
      </c>
      <c r="BF5" s="5">
        <f ca="1">MatchData[[#This Row],[Auto Reach Flag]]*2+SUM(MatchData[[#This Row],[Portcullis Auto Crossings]:[Low Bar Auto Crossings]])*10+MatchData[[#This Row],[Auto Low Goals]]*5+MatchData[Auto High Goals]*10</f>
        <v>2</v>
      </c>
      <c r="BG5" s="5">
        <f ca="1">SUM(MatchData[[#This Row],[Cheval Scored Teleop Crossings]:[Low Bar Scored Teleop Crossings]])</f>
        <v>10</v>
      </c>
      <c r="BH5" s="5">
        <f ca="1">MatchData[Challenge Flag]*5</f>
        <v>0</v>
      </c>
      <c r="BI5" s="5">
        <f ca="1">MatchData[Climb Flag]*15</f>
        <v>0</v>
      </c>
      <c r="BJ5" s="5">
        <f ca="1">SUM(MatchData[[#This Row],[Total Goal Score]],MatchData[[#This Row],[Crossing Score]],MatchData[[#This Row],[Challenge Score]],MatchData[[#This Row],[Climb Score]],MatchData[[#This Row],[Total Auto Score]])</f>
        <v>12</v>
      </c>
      <c r="BK5">
        <v>1</v>
      </c>
      <c r="BL5" s="5">
        <f ca="1">IF(RANDBETWEEN(0,10)&gt;=9,RANDBETWEEN(1,9),0)</f>
        <v>0</v>
      </c>
      <c r="BM5" s="5">
        <f>VLOOKUP(MatchData[[#This Row],[Persona]],Personas!$A$2:$O$5,3)</f>
        <v>0</v>
      </c>
      <c r="BN5" s="13">
        <f>VLOOKUP(MatchData[[#This Row],[Persona]],Personas!$A$2:$P$5,4)</f>
        <v>0</v>
      </c>
      <c r="BO5" s="13">
        <f>VLOOKUP(MatchData[[#This Row],[Persona]],Personas!$A$2:$P$5,5)</f>
        <v>0</v>
      </c>
      <c r="BP5" s="13">
        <f>VLOOKUP(MatchData[[#This Row],[Persona]],Personas!$A$2:$P$5,6)</f>
        <v>0</v>
      </c>
      <c r="BQ5" s="13">
        <f>VLOOKUP(MatchData[[#This Row],[Persona]],Personas!$A$2:$P$5,7)</f>
        <v>0</v>
      </c>
      <c r="BR5" s="13">
        <f>VLOOKUP(MatchData[[#This Row],[Persona]],Personas!$A$2:$P$5,8)</f>
        <v>0</v>
      </c>
      <c r="BS5" s="13">
        <f>VLOOKUP(MatchData[[#This Row],[Persona]],Personas!$A$2:$P$5,9)</f>
        <v>2</v>
      </c>
      <c r="BT5" s="13">
        <f>VLOOKUP(MatchData[[#This Row],[Persona]],Personas!$A$2:$P$5,10)</f>
        <v>2</v>
      </c>
      <c r="BU5" s="13">
        <f>VLOOKUP(MatchData[[#This Row],[Persona]],Personas!$A$2:$P$5,11)</f>
        <v>0</v>
      </c>
      <c r="BV5" s="13">
        <f>VLOOKUP(MatchData[[#This Row],[Persona]],Personas!$A$2:$P$5,12)</f>
        <v>0</v>
      </c>
      <c r="BW5" s="13">
        <f>VLOOKUP(MatchData[[#This Row],[Persona]],Personas!$A$2:$P$5,13)</f>
        <v>2</v>
      </c>
      <c r="BX5" s="13">
        <f>VLOOKUP(MatchData[[#This Row],[Persona]],Personas!$A$2:$P$5,14)</f>
        <v>2</v>
      </c>
      <c r="BY5" s="13">
        <f>VLOOKUP(MatchData[[#This Row],[Persona]],Personas!$A$2:$P$5,15)</f>
        <v>2</v>
      </c>
      <c r="BZ5" s="13">
        <f>VLOOKUP(MatchData[[#This Row],[Persona]],Personas!$A$2:$P$5,16)</f>
        <v>0</v>
      </c>
      <c r="CA5" s="14">
        <f ca="1">ROUND(SUMIF(MatchData[Team],MatchData[[#This Row],[Team]],MatchData[Teleop Low Goals])/COUNTIF(MatchData[Team],MatchData[[#This Row],[Team]]),2)</f>
        <v>0</v>
      </c>
      <c r="CB5" s="14">
        <f ca="1">ROUND(SUMIF(MatchData[Team],MatchData[[#This Row],[Team]],MatchData[Teleop High Goals])/COUNTIF(MatchData[Team],MatchData[[#This Row],[Team]]),2)</f>
        <v>0</v>
      </c>
      <c r="CC5" s="14">
        <f>COUNTIF(MatchData[Team],MatchData[[#This Row],[Team]])</f>
        <v>6</v>
      </c>
      <c r="CD5" s="14">
        <f>SUMIF(MatchData[Team],MatchData[[#This Row],[Team]],MatchData[Portcullis Available])</f>
        <v>6</v>
      </c>
      <c r="CE5" s="14">
        <f>SUMIF(MatchData[Team],MatchData[[#This Row],[Team]],MatchData[Cheval Available])</f>
        <v>0</v>
      </c>
      <c r="CF5" s="14">
        <f>SUMIF(MatchData[Team],MatchData[[#This Row],[Team]],MatchData[Moat Available])</f>
        <v>0</v>
      </c>
      <c r="CG5" s="14">
        <f>SUMIF(MatchData[Team],MatchData[[#This Row],[Team]],MatchData[Ramparts Available])</f>
        <v>6</v>
      </c>
      <c r="CH5" s="14">
        <f>SUMIF(MatchData[Team],MatchData[[#This Row],[Team]],MatchData[Drawbridge Available])</f>
        <v>3</v>
      </c>
      <c r="CI5" s="14">
        <f>SUMIF(MatchData[Team],MatchData[[#This Row],[Team]],MatchData[Sally Port Available])</f>
        <v>3</v>
      </c>
      <c r="CJ5" s="14">
        <f>SUMIF(MatchData[Team],MatchData[[#This Row],[Team]],MatchData[Rock Wall Available])</f>
        <v>3</v>
      </c>
      <c r="CK5" s="14">
        <f>SUMIF(MatchData[Team],MatchData[[#This Row],[Team]],MatchData[Rough Terrain Available])</f>
        <v>3</v>
      </c>
      <c r="CL5" s="14">
        <f>SUMIF(MatchData[Team],MatchData[[#This Row],[Team]],MatchData[Low Bar Available])</f>
        <v>6</v>
      </c>
      <c r="CM5" s="14">
        <f ca="1">SUMIF(MatchData[Team],MatchData[[#This Row],[Team]],MatchData[Portcullis Teleop Crossings])</f>
        <v>0</v>
      </c>
      <c r="CN5" s="14">
        <f ca="1">SUMIF(MatchData[Team],MatchData[[#This Row],[Team]],MatchData[Cheval Teleop Crossings])</f>
        <v>0</v>
      </c>
      <c r="CO5" s="14">
        <f ca="1">SUMIF(MatchData[Team],MatchData[[#This Row],[Team]],MatchData[Moat Teleop Crossings])</f>
        <v>0</v>
      </c>
      <c r="CP5" s="14">
        <f ca="1">SUMIF(MatchData[Team],MatchData[[#This Row],[Team]],MatchData[Ramparts Teleop Crossings])</f>
        <v>5</v>
      </c>
      <c r="CQ5" s="14">
        <f ca="1">SUMIF(MatchData[Team],MatchData[[#This Row],[Team]],MatchData[Drawbridge Teleop Crossings])</f>
        <v>0</v>
      </c>
      <c r="CR5" s="14">
        <f ca="1">SUMIF(MatchData[Team],MatchData[[#This Row],[Team]],MatchData[Sally Port Teleop Crossings])</f>
        <v>0</v>
      </c>
      <c r="CS5" s="14">
        <f ca="1">SUMIF(MatchData[Team],MatchData[[#This Row],[Team]],MatchData[Rock Wall Teleop Crossings])</f>
        <v>4</v>
      </c>
      <c r="CT5" s="14">
        <f ca="1">SUMIF(MatchData[Team],MatchData[[#This Row],[Team]],MatchData[Rough Terrain Teleop Crossings])</f>
        <v>1</v>
      </c>
      <c r="CU5" s="14">
        <f ca="1">SUMIF(MatchData[Team],MatchData[[#This Row],[Team]],MatchData[Low Bar Teleop Crossings])</f>
        <v>4</v>
      </c>
      <c r="CV5" s="14">
        <f ca="1">IFERROR(ROUND(MatchData[[#This Row],[Portcullis Sum]]/MatchData[[#This Row],[Portcullis Avail Count]],2),0)</f>
        <v>0</v>
      </c>
      <c r="CW5">
        <f ca="1">IFERROR(ROUND(MatchData[[#This Row],[Cheval Sum]]/MatchData[[#This Row],[Cheval Avail Count]],2),0)</f>
        <v>0</v>
      </c>
      <c r="CX5">
        <f ca="1">IFERROR(ROUND(MatchData[[#This Row],[Moat Sum]]/MatchData[[#This Row],[Moat Avail Count]],2),0)</f>
        <v>0</v>
      </c>
      <c r="CY5">
        <f ca="1">IFERROR(ROUND(MatchData[[#This Row],[Ramparts Sum]]/MatchData[[#This Row],[Ramparts Avail Count]],2),0)</f>
        <v>0.83</v>
      </c>
      <c r="CZ5">
        <f ca="1">IFERROR(ROUND(MatchData[[#This Row],[Drawbridge Sum]]/MatchData[[#This Row],[Drawbridge HAvail Countigh6]],2),0)</f>
        <v>0</v>
      </c>
      <c r="DA5">
        <f ca="1">IFERROR(ROUND(MatchData[[#This Row],[Sally Port Sum]]/MatchData[[#This Row],[Sally Port Avail Count]],2),0)</f>
        <v>0</v>
      </c>
      <c r="DB5">
        <f ca="1">IFERROR(ROUND(MatchData[[#This Row],[Rock Wall Sum]]/MatchData[[#This Row],[Rock Wall Avail Count]],2),0)</f>
        <v>1.33</v>
      </c>
      <c r="DC5">
        <f ca="1">IFERROR(ROUND(MatchData[[#This Row],[Rough Terrain Sum]]/MatchData[[#This Row],[Rough Terrain Avail Count]],2),0)</f>
        <v>0.33</v>
      </c>
      <c r="DD5">
        <f ca="1">IFERROR(ROUND(MatchData[[#This Row],[Low Bar Sum]]/MatchData[[#This Row],[Low Bar Avail Count]],2),0)</f>
        <v>0.67</v>
      </c>
      <c r="DE5" s="14">
        <f t="array" aca="1" ref="DE5" ca="1">MAX(IF(C$4:C$75=C5,BE$4:BE$75))</f>
        <v>0</v>
      </c>
      <c r="DF5" s="14">
        <f ca="1">AVERAGEIF(MatchData[Team],MatchData[Team],MatchData[Total Score])</f>
        <v>15.166666666666666</v>
      </c>
      <c r="DG5" s="14">
        <f ca="1">ROUND(AVERAGEIF(MatchData[Team],MatchData[Team],MatchData[Climb or Challenge Flag]),2)</f>
        <v>0.5</v>
      </c>
    </row>
    <row r="6" spans="1:111">
      <c r="A6" t="s">
        <v>54</v>
      </c>
      <c r="B6" s="4">
        <v>5</v>
      </c>
      <c r="C6">
        <v>1001</v>
      </c>
      <c r="D6" t="s">
        <v>55</v>
      </c>
      <c r="E6" t="s">
        <v>59</v>
      </c>
      <c r="F6">
        <f ca="1">IF(MatchData[[#This Row],[Persona]] = 4,RANDBETWEEN(0,1),0)</f>
        <v>0</v>
      </c>
      <c r="G6">
        <f ca="1">IF(MatchData[[#This Row],[Persona]] = 3,RANDBETWEEN(0,1),0)</f>
        <v>0</v>
      </c>
      <c r="H6">
        <f ca="1">RANDBETWEEN(MatchData[[#This Row],[High Goal Low]],MatchData[[#This Row],[High Goal High]])</f>
        <v>0</v>
      </c>
      <c r="I6">
        <f ca="1">RANDBETWEEN(MatchData[[#This Row],[Low Goal Low]],MatchData[[#This Row],[Low Goal High]])</f>
        <v>0</v>
      </c>
      <c r="J6" s="6">
        <v>1</v>
      </c>
      <c r="K6" s="6"/>
      <c r="L6" s="6"/>
      <c r="M6" s="6">
        <v>1</v>
      </c>
      <c r="N6" s="6">
        <v>1</v>
      </c>
      <c r="O6" s="6"/>
      <c r="P6" s="6"/>
      <c r="Q6" s="5">
        <v>1</v>
      </c>
      <c r="R6" s="5">
        <v>1</v>
      </c>
      <c r="S6" s="5">
        <f ca="1">IF(MatchData[[#This Row],[Auto Crossing Test Generator]]=0,RANDBETWEEN(0,1),0)</f>
        <v>0</v>
      </c>
      <c r="T6" s="5">
        <f ca="1">IF(MatchData[Auto Crossing Test Generator]=1,1,0)</f>
        <v>0</v>
      </c>
      <c r="U6" s="5">
        <f ca="1">IF(MatchData[[#This Row],[Auto Crossing Test Generator]]=2,RANDBETWEEN(0,1),0)</f>
        <v>0</v>
      </c>
      <c r="V6" s="5">
        <f ca="1">IF(MatchData[[#This Row],[Auto Crossing Test Generator]]=3,RANDBETWEEN(0,1),0)</f>
        <v>0</v>
      </c>
      <c r="W6" s="5">
        <f ca="1">IF(MatchData[[#This Row],[Auto Crossing Test Generator]]=4,RANDBETWEEN(0,1),0)</f>
        <v>0</v>
      </c>
      <c r="X6" s="5">
        <f ca="1">IF(MatchData[[#This Row],[Auto Crossing Test Generator]]=5,RANDBETWEEN(0,1),0)</f>
        <v>0</v>
      </c>
      <c r="Y6" s="5">
        <f ca="1">IF(MatchData[[#This Row],[Auto Crossing Test Generator]]=6,RANDBETWEEN(0,1),0)</f>
        <v>0</v>
      </c>
      <c r="Z6" s="5">
        <f ca="1">IF(MatchData[[#This Row],[Auto Crossing Test Generator]]=7,RANDBETWEEN(0,1),0)</f>
        <v>0</v>
      </c>
      <c r="AA6" s="5">
        <f ca="1">IF(MatchData[[#This Row],[Auto Crossing Test Generator]]=8,RANDBETWEEN(0,1),0)</f>
        <v>0</v>
      </c>
      <c r="AB6" s="5">
        <f ca="1">IF(MatchData[[#This Row],[Auto Crossing Test Generator]]&gt;8,RANDBETWEEN(0,1),0)</f>
        <v>0</v>
      </c>
      <c r="AC6" s="5">
        <f ca="1">IF(MatchData[[#This Row],[Auto Crossing Test Generator]]=9,RANDBETWEEN(0,1),0)</f>
        <v>0</v>
      </c>
      <c r="AD6" s="5">
        <f ca="1">IF(MatchData[[#This Row],[Cheval Available]]=1,RANDBETWEEN(0,MatchData[[#This Row],[Cheval High]]),0)</f>
        <v>0</v>
      </c>
      <c r="AE6" s="5">
        <f ca="1">IF(MatchData[[#This Row],[Moat Available]]=1,RANDBETWEEN(0,MatchData[[#This Row],[Moat High]]),0)</f>
        <v>0</v>
      </c>
      <c r="AF6" s="5">
        <f ca="1">IF(MatchData[[#This Row],[Ramparts Available]]=1,RANDBETWEEN(0,MatchData[[#This Row],[Ramparts High]]),0)</f>
        <v>0</v>
      </c>
      <c r="AG6" s="5">
        <f ca="1">IF(MatchData[[#This Row],[Drawbridge Available]]=1,RANDBETWEEN(0,MatchData[[#This Row],[Drawbridge High]]),0)</f>
        <v>0</v>
      </c>
      <c r="AH6" s="5">
        <f ca="1">IF(MatchData[[#This Row],[Sally Port Available]]=1,RANDBETWEEN(0,MatchData[[#This Row],[Sally Port High]]),0)</f>
        <v>0</v>
      </c>
      <c r="AI6" s="5">
        <f ca="1">IF(MatchData[[#This Row],[Rock Wall Available]]=1,RANDBETWEEN(0,MatchData[[#This Row],[Rock Wall High]]),0)</f>
        <v>0</v>
      </c>
      <c r="AJ6" s="5">
        <f ca="1">IF(MatchData[[#This Row],[Rough Terrain Available]]=1,RANDBETWEEN(0,MatchData[[#This Row],[Rough Terrain High]]),0)</f>
        <v>0</v>
      </c>
      <c r="AK6" s="5">
        <f ca="1">IF(MatchData[[#This Row],[Low Bar Available]]=1,RANDBETWEEN(0,MatchData[[#This Row],[Low Bar High]]),0)</f>
        <v>0</v>
      </c>
      <c r="AL6" s="5">
        <f ca="1">IF(MatchData[Cheval Teleop Crossings]&gt;3,10, MatchData[Cheval Teleop Crossings]*5)</f>
        <v>0</v>
      </c>
      <c r="AM6" s="5">
        <f ca="1">IF(MatchData[Moat Teleop Crossings]&gt;3,10, MatchData[Moat Teleop Crossings]*5)</f>
        <v>0</v>
      </c>
      <c r="AN6" s="5">
        <f ca="1">IF(MatchData[Ramparts Teleop Crossings]&gt;3,10, MatchData[Ramparts Teleop Crossings]*5)</f>
        <v>0</v>
      </c>
      <c r="AO6" s="5">
        <f ca="1">IF(MatchData[Drawbridge Teleop Crossings]&gt;3,10, MatchData[Drawbridge Teleop Crossings]*5)</f>
        <v>0</v>
      </c>
      <c r="AP6" s="5">
        <f ca="1">IF(MatchData[Sally Port Teleop Crossings]&gt;3,10, MatchData[Sally Port Teleop Crossings]*5)</f>
        <v>0</v>
      </c>
      <c r="AQ6" s="5">
        <f ca="1">IF(MatchData[Rock Wall Teleop Crossings]&gt;3,10, MatchData[Rock Wall Teleop Crossings]*5)</f>
        <v>0</v>
      </c>
      <c r="AR6" s="5">
        <f ca="1">IF(MatchData[Rough Terrain Teleop Crossings]&gt;3,10, MatchData[Rough Terrain Teleop Crossings]*5)</f>
        <v>0</v>
      </c>
      <c r="AS6" s="5">
        <f ca="1">IF(MatchData[Low Bar Teleop Crossings]&gt;3,10, MatchData[Low Bar Teleop Crossings]*5)</f>
        <v>0</v>
      </c>
      <c r="AT6" s="5">
        <f ca="1">SUM(MatchData[[#This Row],[Portcullis Teleop Crossings]:[Low Bar Teleop Crossings]])</f>
        <v>0</v>
      </c>
      <c r="AU6" s="5">
        <f ca="1">IF(RANDBETWEEN(1,4)&gt;1,1,0)</f>
        <v>0</v>
      </c>
      <c r="AV6" s="5">
        <f ca="1">IF(MatchData[[#This Row],[Challenge Flag]]=1,0,IF(MatchData[[#This Row],[Climber]]=1,RANDBETWEEN(0,1),0))</f>
        <v>0</v>
      </c>
      <c r="AW6" s="5">
        <f ca="1">IF(MatchData[[#This Row],[Crossing Score]]&gt;=40,1,0)</f>
        <v>0</v>
      </c>
      <c r="AX6" s="5"/>
      <c r="AY6" s="5">
        <f ca="1">IF(RANDBETWEEN(1,100)&gt;95,1,0)</f>
        <v>0</v>
      </c>
      <c r="AZ6" s="5">
        <f ca="1">IF(RANDBETWEEN(1,100)&gt;80,1,0)</f>
        <v>0</v>
      </c>
      <c r="BA6" s="5">
        <f ca="1">IF(OR(MatchData[[#This Row],[Challenge Flag]],MatchData[[#This Row],[Climb Flag]]),1,0)</f>
        <v>0</v>
      </c>
      <c r="BB6" s="5">
        <f ca="1">MatchData[Auto High Goals]*10+MatchData[Teleop High Goals]*5</f>
        <v>0</v>
      </c>
      <c r="BC6" s="5">
        <f ca="1">MatchData[Auto Low Goals]*5+MatchData[Teleop Low Goals]*2</f>
        <v>0</v>
      </c>
      <c r="BD6" s="5">
        <f ca="1">MatchData[High Goal Score]+MatchData[Low Goal Score]</f>
        <v>0</v>
      </c>
      <c r="BE6" s="5">
        <f ca="1">MatchData[Teleop High Goals]+MatchData[Teleop Low Goals]</f>
        <v>0</v>
      </c>
      <c r="BF6" s="5">
        <f ca="1">MatchData[[#This Row],[Auto Reach Flag]]*2+SUM(MatchData[[#This Row],[Portcullis Auto Crossings]:[Low Bar Auto Crossings]])*10+MatchData[[#This Row],[Auto Low Goals]]*5+MatchData[Auto High Goals]*10</f>
        <v>0</v>
      </c>
      <c r="BG6" s="5">
        <f ca="1">SUM(MatchData[[#This Row],[Cheval Scored Teleop Crossings]:[Low Bar Scored Teleop Crossings]])</f>
        <v>0</v>
      </c>
      <c r="BH6" s="5">
        <f ca="1">MatchData[Challenge Flag]*5</f>
        <v>0</v>
      </c>
      <c r="BI6" s="5">
        <f ca="1">MatchData[Climb Flag]*15</f>
        <v>0</v>
      </c>
      <c r="BJ6" s="5">
        <f ca="1">SUM(MatchData[[#This Row],[Total Goal Score]],MatchData[[#This Row],[Crossing Score]],MatchData[[#This Row],[Challenge Score]],MatchData[[#This Row],[Climb Score]],MatchData[[#This Row],[Total Auto Score]])</f>
        <v>0</v>
      </c>
      <c r="BK6">
        <v>1</v>
      </c>
      <c r="BL6" s="5">
        <f ca="1">IF(RANDBETWEEN(0,10)&gt;=9,RANDBETWEEN(1,9),0)</f>
        <v>0</v>
      </c>
      <c r="BM6" s="5">
        <f>VLOOKUP(MatchData[[#This Row],[Persona]],Personas!$A$2:$O$5,3)</f>
        <v>0</v>
      </c>
      <c r="BN6" s="13">
        <f>VLOOKUP(MatchData[[#This Row],[Persona]],Personas!$A$2:$P$5,4)</f>
        <v>0</v>
      </c>
      <c r="BO6" s="13">
        <f>VLOOKUP(MatchData[[#This Row],[Persona]],Personas!$A$2:$P$5,5)</f>
        <v>0</v>
      </c>
      <c r="BP6" s="13">
        <f>VLOOKUP(MatchData[[#This Row],[Persona]],Personas!$A$2:$P$5,6)</f>
        <v>0</v>
      </c>
      <c r="BQ6" s="13">
        <f>VLOOKUP(MatchData[[#This Row],[Persona]],Personas!$A$2:$P$5,7)</f>
        <v>0</v>
      </c>
      <c r="BR6" s="13">
        <f>VLOOKUP(MatchData[[#This Row],[Persona]],Personas!$A$2:$P$5,8)</f>
        <v>0</v>
      </c>
      <c r="BS6" s="13">
        <f>VLOOKUP(MatchData[[#This Row],[Persona]],Personas!$A$2:$P$5,9)</f>
        <v>2</v>
      </c>
      <c r="BT6" s="13">
        <f>VLOOKUP(MatchData[[#This Row],[Persona]],Personas!$A$2:$P$5,10)</f>
        <v>2</v>
      </c>
      <c r="BU6" s="13">
        <f>VLOOKUP(MatchData[[#This Row],[Persona]],Personas!$A$2:$P$5,11)</f>
        <v>0</v>
      </c>
      <c r="BV6" s="13">
        <f>VLOOKUP(MatchData[[#This Row],[Persona]],Personas!$A$2:$P$5,12)</f>
        <v>0</v>
      </c>
      <c r="BW6" s="13">
        <f>VLOOKUP(MatchData[[#This Row],[Persona]],Personas!$A$2:$P$5,13)</f>
        <v>2</v>
      </c>
      <c r="BX6" s="13">
        <f>VLOOKUP(MatchData[[#This Row],[Persona]],Personas!$A$2:$P$5,14)</f>
        <v>2</v>
      </c>
      <c r="BY6" s="13">
        <f>VLOOKUP(MatchData[[#This Row],[Persona]],Personas!$A$2:$P$5,15)</f>
        <v>2</v>
      </c>
      <c r="BZ6" s="13">
        <f>VLOOKUP(MatchData[[#This Row],[Persona]],Personas!$A$2:$P$5,16)</f>
        <v>0</v>
      </c>
      <c r="CA6" s="14">
        <f ca="1">ROUND(SUMIF(MatchData[Team],MatchData[[#This Row],[Team]],MatchData[Teleop Low Goals])/COUNTIF(MatchData[Team],MatchData[[#This Row],[Team]]),2)</f>
        <v>0</v>
      </c>
      <c r="CB6" s="14">
        <f ca="1">ROUND(SUMIF(MatchData[Team],MatchData[[#This Row],[Team]],MatchData[Teleop High Goals])/COUNTIF(MatchData[Team],MatchData[[#This Row],[Team]]),2)</f>
        <v>0</v>
      </c>
      <c r="CC6" s="14">
        <f>COUNTIF(MatchData[Team],MatchData[[#This Row],[Team]])</f>
        <v>6</v>
      </c>
      <c r="CD6" s="14">
        <f>SUMIF(MatchData[Team],MatchData[[#This Row],[Team]],MatchData[Portcullis Available])</f>
        <v>6</v>
      </c>
      <c r="CE6" s="14">
        <f>SUMIF(MatchData[Team],MatchData[[#This Row],[Team]],MatchData[Cheval Available])</f>
        <v>0</v>
      </c>
      <c r="CF6" s="14">
        <f>SUMIF(MatchData[Team],MatchData[[#This Row],[Team]],MatchData[Moat Available])</f>
        <v>0</v>
      </c>
      <c r="CG6" s="14">
        <f>SUMIF(MatchData[Team],MatchData[[#This Row],[Team]],MatchData[Ramparts Available])</f>
        <v>6</v>
      </c>
      <c r="CH6" s="14">
        <f>SUMIF(MatchData[Team],MatchData[[#This Row],[Team]],MatchData[Drawbridge Available])</f>
        <v>3</v>
      </c>
      <c r="CI6" s="14">
        <f>SUMIF(MatchData[Team],MatchData[[#This Row],[Team]],MatchData[Sally Port Available])</f>
        <v>3</v>
      </c>
      <c r="CJ6" s="14">
        <f>SUMIF(MatchData[Team],MatchData[[#This Row],[Team]],MatchData[Rock Wall Available])</f>
        <v>3</v>
      </c>
      <c r="CK6" s="14">
        <f>SUMIF(MatchData[Team],MatchData[[#This Row],[Team]],MatchData[Rough Terrain Available])</f>
        <v>3</v>
      </c>
      <c r="CL6" s="14">
        <f>SUMIF(MatchData[Team],MatchData[[#This Row],[Team]],MatchData[Low Bar Available])</f>
        <v>6</v>
      </c>
      <c r="CM6" s="14">
        <f ca="1">SUMIF(MatchData[Team],MatchData[[#This Row],[Team]],MatchData[Portcullis Teleop Crossings])</f>
        <v>0</v>
      </c>
      <c r="CN6" s="14">
        <f ca="1">SUMIF(MatchData[Team],MatchData[[#This Row],[Team]],MatchData[Cheval Teleop Crossings])</f>
        <v>0</v>
      </c>
      <c r="CO6" s="14">
        <f ca="1">SUMIF(MatchData[Team],MatchData[[#This Row],[Team]],MatchData[Moat Teleop Crossings])</f>
        <v>0</v>
      </c>
      <c r="CP6" s="14">
        <f ca="1">SUMIF(MatchData[Team],MatchData[[#This Row],[Team]],MatchData[Ramparts Teleop Crossings])</f>
        <v>5</v>
      </c>
      <c r="CQ6" s="14">
        <f ca="1">SUMIF(MatchData[Team],MatchData[[#This Row],[Team]],MatchData[Drawbridge Teleop Crossings])</f>
        <v>0</v>
      </c>
      <c r="CR6" s="14">
        <f ca="1">SUMIF(MatchData[Team],MatchData[[#This Row],[Team]],MatchData[Sally Port Teleop Crossings])</f>
        <v>0</v>
      </c>
      <c r="CS6" s="14">
        <f ca="1">SUMIF(MatchData[Team],MatchData[[#This Row],[Team]],MatchData[Rock Wall Teleop Crossings])</f>
        <v>4</v>
      </c>
      <c r="CT6" s="14">
        <f ca="1">SUMIF(MatchData[Team],MatchData[[#This Row],[Team]],MatchData[Rough Terrain Teleop Crossings])</f>
        <v>1</v>
      </c>
      <c r="CU6" s="14">
        <f ca="1">SUMIF(MatchData[Team],MatchData[[#This Row],[Team]],MatchData[Low Bar Teleop Crossings])</f>
        <v>4</v>
      </c>
      <c r="CV6" s="14">
        <f ca="1">IFERROR(ROUND(MatchData[[#This Row],[Portcullis Sum]]/MatchData[[#This Row],[Portcullis Avail Count]],2),0)</f>
        <v>0</v>
      </c>
      <c r="CW6">
        <f ca="1">IFERROR(ROUND(MatchData[[#This Row],[Cheval Sum]]/MatchData[[#This Row],[Cheval Avail Count]],2),0)</f>
        <v>0</v>
      </c>
      <c r="CX6">
        <f ca="1">IFERROR(ROUND(MatchData[[#This Row],[Moat Sum]]/MatchData[[#This Row],[Moat Avail Count]],2),0)</f>
        <v>0</v>
      </c>
      <c r="CY6">
        <f ca="1">IFERROR(ROUND(MatchData[[#This Row],[Ramparts Sum]]/MatchData[[#This Row],[Ramparts Avail Count]],2),0)</f>
        <v>0.83</v>
      </c>
      <c r="CZ6">
        <f ca="1">IFERROR(ROUND(MatchData[[#This Row],[Drawbridge Sum]]/MatchData[[#This Row],[Drawbridge HAvail Countigh6]],2),0)</f>
        <v>0</v>
      </c>
      <c r="DA6">
        <f ca="1">IFERROR(ROUND(MatchData[[#This Row],[Sally Port Sum]]/MatchData[[#This Row],[Sally Port Avail Count]],2),0)</f>
        <v>0</v>
      </c>
      <c r="DB6">
        <f ca="1">IFERROR(ROUND(MatchData[[#This Row],[Rock Wall Sum]]/MatchData[[#This Row],[Rock Wall Avail Count]],2),0)</f>
        <v>1.33</v>
      </c>
      <c r="DC6">
        <f ca="1">IFERROR(ROUND(MatchData[[#This Row],[Rough Terrain Sum]]/MatchData[[#This Row],[Rough Terrain Avail Count]],2),0)</f>
        <v>0.33</v>
      </c>
      <c r="DD6">
        <f ca="1">IFERROR(ROUND(MatchData[[#This Row],[Low Bar Sum]]/MatchData[[#This Row],[Low Bar Avail Count]],2),0)</f>
        <v>0.67</v>
      </c>
      <c r="DE6" s="14">
        <f t="array" aca="1" ref="DE6" ca="1">MAX(IF(C$4:C$75=C6,BE$4:BE$75))</f>
        <v>0</v>
      </c>
      <c r="DF6" s="14">
        <f ca="1">AVERAGEIF(MatchData[Team],MatchData[Team],MatchData[Total Score])</f>
        <v>15.166666666666666</v>
      </c>
      <c r="DG6" s="14">
        <f ca="1">ROUND(AVERAGEIF(MatchData[Team],MatchData[Team],MatchData[Climb or Challenge Flag]),2)</f>
        <v>0.5</v>
      </c>
    </row>
    <row r="7" spans="1:111">
      <c r="A7" t="s">
        <v>54</v>
      </c>
      <c r="B7" s="4">
        <v>7</v>
      </c>
      <c r="C7">
        <v>1001</v>
      </c>
      <c r="D7" t="s">
        <v>56</v>
      </c>
      <c r="E7" t="s">
        <v>64</v>
      </c>
      <c r="F7">
        <f ca="1">IF(MatchData[[#This Row],[Persona]] = 4,RANDBETWEEN(0,1),0)</f>
        <v>0</v>
      </c>
      <c r="G7">
        <f ca="1">IF(MatchData[[#This Row],[Persona]] = 3,RANDBETWEEN(0,1),0)</f>
        <v>0</v>
      </c>
      <c r="H7">
        <f ca="1">RANDBETWEEN(MatchData[[#This Row],[High Goal Low]],MatchData[[#This Row],[High Goal High]])</f>
        <v>0</v>
      </c>
      <c r="I7">
        <f ca="1">RANDBETWEEN(MatchData[[#This Row],[Low Goal Low]],MatchData[[#This Row],[Low Goal High]])</f>
        <v>0</v>
      </c>
      <c r="J7" s="6">
        <v>1</v>
      </c>
      <c r="K7" s="6"/>
      <c r="L7" s="6"/>
      <c r="M7" s="6">
        <v>1</v>
      </c>
      <c r="N7" s="6"/>
      <c r="O7" s="6">
        <v>1</v>
      </c>
      <c r="P7" s="6">
        <v>1</v>
      </c>
      <c r="Q7" s="5"/>
      <c r="R7" s="5">
        <v>1</v>
      </c>
      <c r="S7" s="5">
        <f ca="1">IF(MatchData[[#This Row],[Auto Crossing Test Generator]]=0,RANDBETWEEN(0,1),0)</f>
        <v>1</v>
      </c>
      <c r="T7" s="5">
        <f ca="1">IF(MatchData[Auto Crossing Test Generator]=1,1,0)</f>
        <v>0</v>
      </c>
      <c r="U7" s="5">
        <f ca="1">IF(MatchData[[#This Row],[Auto Crossing Test Generator]]=2,RANDBETWEEN(0,1),0)</f>
        <v>0</v>
      </c>
      <c r="V7" s="5">
        <f ca="1">IF(MatchData[[#This Row],[Auto Crossing Test Generator]]=3,RANDBETWEEN(0,1),0)</f>
        <v>0</v>
      </c>
      <c r="W7" s="5">
        <f ca="1">IF(MatchData[[#This Row],[Auto Crossing Test Generator]]=4,RANDBETWEEN(0,1),0)</f>
        <v>0</v>
      </c>
      <c r="X7" s="5">
        <f ca="1">IF(MatchData[[#This Row],[Auto Crossing Test Generator]]=5,RANDBETWEEN(0,1),0)</f>
        <v>0</v>
      </c>
      <c r="Y7" s="5">
        <f ca="1">IF(MatchData[[#This Row],[Auto Crossing Test Generator]]=6,RANDBETWEEN(0,1),0)</f>
        <v>0</v>
      </c>
      <c r="Z7" s="5">
        <f ca="1">IF(MatchData[[#This Row],[Auto Crossing Test Generator]]=7,RANDBETWEEN(0,1),0)</f>
        <v>0</v>
      </c>
      <c r="AA7" s="5">
        <f ca="1">IF(MatchData[[#This Row],[Auto Crossing Test Generator]]=8,RANDBETWEEN(0,1),0)</f>
        <v>0</v>
      </c>
      <c r="AB7" s="5">
        <f ca="1">IF(MatchData[[#This Row],[Auto Crossing Test Generator]]&gt;8,RANDBETWEEN(0,1),0)</f>
        <v>0</v>
      </c>
      <c r="AC7" s="5">
        <f ca="1">IF(MatchData[[#This Row],[Auto Crossing Test Generator]]=9,RANDBETWEEN(0,1),0)</f>
        <v>0</v>
      </c>
      <c r="AD7" s="5">
        <f ca="1">IF(MatchData[[#This Row],[Cheval Available]]=1,RANDBETWEEN(0,MatchData[[#This Row],[Cheval High]]),0)</f>
        <v>0</v>
      </c>
      <c r="AE7" s="5">
        <f ca="1">IF(MatchData[[#This Row],[Moat Available]]=1,RANDBETWEEN(0,MatchData[[#This Row],[Moat High]]),0)</f>
        <v>0</v>
      </c>
      <c r="AF7" s="5">
        <f ca="1">IF(MatchData[[#This Row],[Ramparts Available]]=1,RANDBETWEEN(0,MatchData[[#This Row],[Ramparts High]]),0)</f>
        <v>2</v>
      </c>
      <c r="AG7" s="5">
        <f ca="1">IF(MatchData[[#This Row],[Drawbridge Available]]=1,RANDBETWEEN(0,MatchData[[#This Row],[Drawbridge High]]),0)</f>
        <v>0</v>
      </c>
      <c r="AH7" s="5">
        <f ca="1">IF(MatchData[[#This Row],[Sally Port Available]]=1,RANDBETWEEN(0,MatchData[[#This Row],[Sally Port High]]),0)</f>
        <v>0</v>
      </c>
      <c r="AI7" s="5">
        <f ca="1">IF(MatchData[[#This Row],[Rock Wall Available]]=1,RANDBETWEEN(0,MatchData[[#This Row],[Rock Wall High]]),0)</f>
        <v>1</v>
      </c>
      <c r="AJ7" s="5">
        <f ca="1">IF(MatchData[[#This Row],[Rough Terrain Available]]=1,RANDBETWEEN(0,MatchData[[#This Row],[Rough Terrain High]]),0)</f>
        <v>0</v>
      </c>
      <c r="AK7" s="5">
        <f ca="1">IF(MatchData[[#This Row],[Low Bar Available]]=1,RANDBETWEEN(0,MatchData[[#This Row],[Low Bar High]]),0)</f>
        <v>0</v>
      </c>
      <c r="AL7" s="5">
        <f ca="1">IF(MatchData[Cheval Teleop Crossings]&gt;3,10, MatchData[Cheval Teleop Crossings]*5)</f>
        <v>0</v>
      </c>
      <c r="AM7" s="5">
        <f ca="1">IF(MatchData[Moat Teleop Crossings]&gt;3,10, MatchData[Moat Teleop Crossings]*5)</f>
        <v>0</v>
      </c>
      <c r="AN7" s="5">
        <f ca="1">IF(MatchData[Ramparts Teleop Crossings]&gt;3,10, MatchData[Ramparts Teleop Crossings]*5)</f>
        <v>10</v>
      </c>
      <c r="AO7" s="5">
        <f ca="1">IF(MatchData[Drawbridge Teleop Crossings]&gt;3,10, MatchData[Drawbridge Teleop Crossings]*5)</f>
        <v>0</v>
      </c>
      <c r="AP7" s="5">
        <f ca="1">IF(MatchData[Sally Port Teleop Crossings]&gt;3,10, MatchData[Sally Port Teleop Crossings]*5)</f>
        <v>0</v>
      </c>
      <c r="AQ7" s="5">
        <f ca="1">IF(MatchData[Rock Wall Teleop Crossings]&gt;3,10, MatchData[Rock Wall Teleop Crossings]*5)</f>
        <v>5</v>
      </c>
      <c r="AR7" s="5">
        <f ca="1">IF(MatchData[Rough Terrain Teleop Crossings]&gt;3,10, MatchData[Rough Terrain Teleop Crossings]*5)</f>
        <v>0</v>
      </c>
      <c r="AS7" s="5">
        <f ca="1">IF(MatchData[Low Bar Teleop Crossings]&gt;3,10, MatchData[Low Bar Teleop Crossings]*5)</f>
        <v>0</v>
      </c>
      <c r="AT7" s="5">
        <f ca="1">SUM(MatchData[[#This Row],[Portcullis Teleop Crossings]:[Low Bar Teleop Crossings]])</f>
        <v>3</v>
      </c>
      <c r="AU7" s="5">
        <f ca="1">IF(RANDBETWEEN(1,4)&gt;1,1,0)</f>
        <v>1</v>
      </c>
      <c r="AV7" s="5">
        <f ca="1">IF(MatchData[[#This Row],[Challenge Flag]]=1,0,IF(MatchData[[#This Row],[Climber]]=1,RANDBETWEEN(0,1),0))</f>
        <v>0</v>
      </c>
      <c r="AW7" s="5">
        <f ca="1">IF(MatchData[[#This Row],[Crossing Score]]&gt;=40,1,0)</f>
        <v>0</v>
      </c>
      <c r="AX7" s="5"/>
      <c r="AY7" s="5">
        <f ca="1">IF(RANDBETWEEN(1,100)&gt;95,1,0)</f>
        <v>0</v>
      </c>
      <c r="AZ7" s="5">
        <f ca="1">IF(RANDBETWEEN(1,100)&gt;80,1,0)</f>
        <v>0</v>
      </c>
      <c r="BA7" s="5">
        <f ca="1">IF(OR(MatchData[[#This Row],[Challenge Flag]],MatchData[[#This Row],[Climb Flag]]),1,0)</f>
        <v>1</v>
      </c>
      <c r="BB7" s="5">
        <f ca="1">MatchData[Auto High Goals]*10+MatchData[Teleop High Goals]*5</f>
        <v>0</v>
      </c>
      <c r="BC7" s="5">
        <f ca="1">MatchData[Auto Low Goals]*5+MatchData[Teleop Low Goals]*2</f>
        <v>0</v>
      </c>
      <c r="BD7" s="5">
        <f ca="1">MatchData[High Goal Score]+MatchData[Low Goal Score]</f>
        <v>0</v>
      </c>
      <c r="BE7" s="5">
        <f ca="1">MatchData[Teleop High Goals]+MatchData[Teleop Low Goals]</f>
        <v>0</v>
      </c>
      <c r="BF7" s="5">
        <f ca="1">MatchData[[#This Row],[Auto Reach Flag]]*2+SUM(MatchData[[#This Row],[Portcullis Auto Crossings]:[Low Bar Auto Crossings]])*10+MatchData[[#This Row],[Auto Low Goals]]*5+MatchData[Auto High Goals]*10</f>
        <v>2</v>
      </c>
      <c r="BG7" s="5">
        <f ca="1">SUM(MatchData[[#This Row],[Cheval Scored Teleop Crossings]:[Low Bar Scored Teleop Crossings]])</f>
        <v>15</v>
      </c>
      <c r="BH7" s="5">
        <f ca="1">MatchData[Challenge Flag]*5</f>
        <v>5</v>
      </c>
      <c r="BI7" s="5">
        <f ca="1">MatchData[Climb Flag]*15</f>
        <v>0</v>
      </c>
      <c r="BJ7" s="5">
        <f ca="1">SUM(MatchData[[#This Row],[Total Goal Score]],MatchData[[#This Row],[Crossing Score]],MatchData[[#This Row],[Challenge Score]],MatchData[[#This Row],[Climb Score]],MatchData[[#This Row],[Total Auto Score]])</f>
        <v>22</v>
      </c>
      <c r="BK7">
        <v>1</v>
      </c>
      <c r="BL7" s="5">
        <f ca="1">IF(RANDBETWEEN(0,10)&gt;=9,RANDBETWEEN(1,9),0)</f>
        <v>0</v>
      </c>
      <c r="BM7" s="5">
        <f>VLOOKUP(MatchData[[#This Row],[Persona]],Personas!$A$2:$O$5,3)</f>
        <v>0</v>
      </c>
      <c r="BN7" s="13">
        <f>VLOOKUP(MatchData[[#This Row],[Persona]],Personas!$A$2:$P$5,4)</f>
        <v>0</v>
      </c>
      <c r="BO7" s="13">
        <f>VLOOKUP(MatchData[[#This Row],[Persona]],Personas!$A$2:$P$5,5)</f>
        <v>0</v>
      </c>
      <c r="BP7" s="13">
        <f>VLOOKUP(MatchData[[#This Row],[Persona]],Personas!$A$2:$P$5,6)</f>
        <v>0</v>
      </c>
      <c r="BQ7" s="13">
        <f>VLOOKUP(MatchData[[#This Row],[Persona]],Personas!$A$2:$P$5,7)</f>
        <v>0</v>
      </c>
      <c r="BR7" s="13">
        <f>VLOOKUP(MatchData[[#This Row],[Persona]],Personas!$A$2:$P$5,8)</f>
        <v>0</v>
      </c>
      <c r="BS7" s="13">
        <f>VLOOKUP(MatchData[[#This Row],[Persona]],Personas!$A$2:$P$5,9)</f>
        <v>2</v>
      </c>
      <c r="BT7" s="13">
        <f>VLOOKUP(MatchData[[#This Row],[Persona]],Personas!$A$2:$P$5,10)</f>
        <v>2</v>
      </c>
      <c r="BU7" s="13">
        <f>VLOOKUP(MatchData[[#This Row],[Persona]],Personas!$A$2:$P$5,11)</f>
        <v>0</v>
      </c>
      <c r="BV7" s="13">
        <f>VLOOKUP(MatchData[[#This Row],[Persona]],Personas!$A$2:$P$5,12)</f>
        <v>0</v>
      </c>
      <c r="BW7" s="13">
        <f>VLOOKUP(MatchData[[#This Row],[Persona]],Personas!$A$2:$P$5,13)</f>
        <v>2</v>
      </c>
      <c r="BX7" s="13">
        <f>VLOOKUP(MatchData[[#This Row],[Persona]],Personas!$A$2:$P$5,14)</f>
        <v>2</v>
      </c>
      <c r="BY7" s="13">
        <f>VLOOKUP(MatchData[[#This Row],[Persona]],Personas!$A$2:$P$5,15)</f>
        <v>2</v>
      </c>
      <c r="BZ7" s="13">
        <f>VLOOKUP(MatchData[[#This Row],[Persona]],Personas!$A$2:$P$5,16)</f>
        <v>0</v>
      </c>
      <c r="CA7" s="14">
        <f ca="1">ROUND(SUMIF(MatchData[Team],MatchData[[#This Row],[Team]],MatchData[Teleop Low Goals])/COUNTIF(MatchData[Team],MatchData[[#This Row],[Team]]),2)</f>
        <v>0</v>
      </c>
      <c r="CB7" s="14">
        <f ca="1">ROUND(SUMIF(MatchData[Team],MatchData[[#This Row],[Team]],MatchData[Teleop High Goals])/COUNTIF(MatchData[Team],MatchData[[#This Row],[Team]]),2)</f>
        <v>0</v>
      </c>
      <c r="CC7" s="14">
        <f>COUNTIF(MatchData[Team],MatchData[[#This Row],[Team]])</f>
        <v>6</v>
      </c>
      <c r="CD7" s="14">
        <f>SUMIF(MatchData[Team],MatchData[[#This Row],[Team]],MatchData[Portcullis Available])</f>
        <v>6</v>
      </c>
      <c r="CE7" s="14">
        <f>SUMIF(MatchData[Team],MatchData[[#This Row],[Team]],MatchData[Cheval Available])</f>
        <v>0</v>
      </c>
      <c r="CF7" s="14">
        <f>SUMIF(MatchData[Team],MatchData[[#This Row],[Team]],MatchData[Moat Available])</f>
        <v>0</v>
      </c>
      <c r="CG7" s="14">
        <f>SUMIF(MatchData[Team],MatchData[[#This Row],[Team]],MatchData[Ramparts Available])</f>
        <v>6</v>
      </c>
      <c r="CH7" s="14">
        <f>SUMIF(MatchData[Team],MatchData[[#This Row],[Team]],MatchData[Drawbridge Available])</f>
        <v>3</v>
      </c>
      <c r="CI7" s="14">
        <f>SUMIF(MatchData[Team],MatchData[[#This Row],[Team]],MatchData[Sally Port Available])</f>
        <v>3</v>
      </c>
      <c r="CJ7" s="14">
        <f>SUMIF(MatchData[Team],MatchData[[#This Row],[Team]],MatchData[Rock Wall Available])</f>
        <v>3</v>
      </c>
      <c r="CK7" s="14">
        <f>SUMIF(MatchData[Team],MatchData[[#This Row],[Team]],MatchData[Rough Terrain Available])</f>
        <v>3</v>
      </c>
      <c r="CL7" s="14">
        <f>SUMIF(MatchData[Team],MatchData[[#This Row],[Team]],MatchData[Low Bar Available])</f>
        <v>6</v>
      </c>
      <c r="CM7" s="14">
        <f ca="1">SUMIF(MatchData[Team],MatchData[[#This Row],[Team]],MatchData[Portcullis Teleop Crossings])</f>
        <v>0</v>
      </c>
      <c r="CN7" s="14">
        <f ca="1">SUMIF(MatchData[Team],MatchData[[#This Row],[Team]],MatchData[Cheval Teleop Crossings])</f>
        <v>0</v>
      </c>
      <c r="CO7" s="14">
        <f ca="1">SUMIF(MatchData[Team],MatchData[[#This Row],[Team]],MatchData[Moat Teleop Crossings])</f>
        <v>0</v>
      </c>
      <c r="CP7" s="14">
        <f ca="1">SUMIF(MatchData[Team],MatchData[[#This Row],[Team]],MatchData[Ramparts Teleop Crossings])</f>
        <v>5</v>
      </c>
      <c r="CQ7" s="14">
        <f ca="1">SUMIF(MatchData[Team],MatchData[[#This Row],[Team]],MatchData[Drawbridge Teleop Crossings])</f>
        <v>0</v>
      </c>
      <c r="CR7" s="14">
        <f ca="1">SUMIF(MatchData[Team],MatchData[[#This Row],[Team]],MatchData[Sally Port Teleop Crossings])</f>
        <v>0</v>
      </c>
      <c r="CS7" s="14">
        <f ca="1">SUMIF(MatchData[Team],MatchData[[#This Row],[Team]],MatchData[Rock Wall Teleop Crossings])</f>
        <v>4</v>
      </c>
      <c r="CT7" s="14">
        <f ca="1">SUMIF(MatchData[Team],MatchData[[#This Row],[Team]],MatchData[Rough Terrain Teleop Crossings])</f>
        <v>1</v>
      </c>
      <c r="CU7" s="14">
        <f ca="1">SUMIF(MatchData[Team],MatchData[[#This Row],[Team]],MatchData[Low Bar Teleop Crossings])</f>
        <v>4</v>
      </c>
      <c r="CV7" s="14">
        <f ca="1">IFERROR(ROUND(MatchData[[#This Row],[Portcullis Sum]]/MatchData[[#This Row],[Portcullis Avail Count]],2),0)</f>
        <v>0</v>
      </c>
      <c r="CW7">
        <f ca="1">IFERROR(ROUND(MatchData[[#This Row],[Cheval Sum]]/MatchData[[#This Row],[Cheval Avail Count]],2),0)</f>
        <v>0</v>
      </c>
      <c r="CX7">
        <f ca="1">IFERROR(ROUND(MatchData[[#This Row],[Moat Sum]]/MatchData[[#This Row],[Moat Avail Count]],2),0)</f>
        <v>0</v>
      </c>
      <c r="CY7">
        <f ca="1">IFERROR(ROUND(MatchData[[#This Row],[Ramparts Sum]]/MatchData[[#This Row],[Ramparts Avail Count]],2),0)</f>
        <v>0.83</v>
      </c>
      <c r="CZ7">
        <f ca="1">IFERROR(ROUND(MatchData[[#This Row],[Drawbridge Sum]]/MatchData[[#This Row],[Drawbridge HAvail Countigh6]],2),0)</f>
        <v>0</v>
      </c>
      <c r="DA7">
        <f ca="1">IFERROR(ROUND(MatchData[[#This Row],[Sally Port Sum]]/MatchData[[#This Row],[Sally Port Avail Count]],2),0)</f>
        <v>0</v>
      </c>
      <c r="DB7">
        <f ca="1">IFERROR(ROUND(MatchData[[#This Row],[Rock Wall Sum]]/MatchData[[#This Row],[Rock Wall Avail Count]],2),0)</f>
        <v>1.33</v>
      </c>
      <c r="DC7">
        <f ca="1">IFERROR(ROUND(MatchData[[#This Row],[Rough Terrain Sum]]/MatchData[[#This Row],[Rough Terrain Avail Count]],2),0)</f>
        <v>0.33</v>
      </c>
      <c r="DD7">
        <f ca="1">IFERROR(ROUND(MatchData[[#This Row],[Low Bar Sum]]/MatchData[[#This Row],[Low Bar Avail Count]],2),0)</f>
        <v>0.67</v>
      </c>
      <c r="DE7" s="14">
        <f t="array" aca="1" ref="DE7" ca="1">MAX(IF(C$4:C$75=C7,BE$4:BE$75))</f>
        <v>0</v>
      </c>
      <c r="DF7" s="14">
        <f ca="1">AVERAGEIF(MatchData[Team],MatchData[Team],MatchData[Total Score])</f>
        <v>15.166666666666666</v>
      </c>
      <c r="DG7" s="14">
        <f ca="1">ROUND(AVERAGEIF(MatchData[Team],MatchData[Team],MatchData[Climb or Challenge Flag]),2)</f>
        <v>0.5</v>
      </c>
    </row>
    <row r="8" spans="1:111">
      <c r="A8" t="s">
        <v>54</v>
      </c>
      <c r="B8" s="4">
        <v>9</v>
      </c>
      <c r="C8">
        <v>1001</v>
      </c>
      <c r="D8" t="s">
        <v>56</v>
      </c>
      <c r="E8" t="s">
        <v>61</v>
      </c>
      <c r="F8">
        <f ca="1">IF(MatchData[[#This Row],[Persona]] = 4,RANDBETWEEN(0,1),0)</f>
        <v>0</v>
      </c>
      <c r="G8">
        <f ca="1">IF(MatchData[[#This Row],[Persona]] = 3,RANDBETWEEN(0,1),0)</f>
        <v>0</v>
      </c>
      <c r="H8">
        <f ca="1">RANDBETWEEN(MatchData[[#This Row],[High Goal Low]],MatchData[[#This Row],[High Goal High]])</f>
        <v>0</v>
      </c>
      <c r="I8">
        <f ca="1">RANDBETWEEN(MatchData[[#This Row],[Low Goal Low]],MatchData[[#This Row],[Low Goal High]])</f>
        <v>0</v>
      </c>
      <c r="J8" s="6">
        <v>1</v>
      </c>
      <c r="K8" s="6"/>
      <c r="L8" s="6"/>
      <c r="M8" s="6">
        <v>1</v>
      </c>
      <c r="N8" s="6">
        <v>1</v>
      </c>
      <c r="O8" s="6"/>
      <c r="P8" s="6"/>
      <c r="Q8" s="5">
        <v>1</v>
      </c>
      <c r="R8" s="5">
        <v>1</v>
      </c>
      <c r="S8" s="5">
        <f ca="1">IF(MatchData[[#This Row],[Auto Crossing Test Generator]]=0,RANDBETWEEN(0,1),0)</f>
        <v>0</v>
      </c>
      <c r="T8" s="5">
        <f ca="1">IF(MatchData[Auto Crossing Test Generator]=1,1,0)</f>
        <v>0</v>
      </c>
      <c r="U8" s="5">
        <f ca="1">IF(MatchData[[#This Row],[Auto Crossing Test Generator]]=2,RANDBETWEEN(0,1),0)</f>
        <v>0</v>
      </c>
      <c r="V8" s="5">
        <f ca="1">IF(MatchData[[#This Row],[Auto Crossing Test Generator]]=3,RANDBETWEEN(0,1),0)</f>
        <v>0</v>
      </c>
      <c r="W8" s="5">
        <f ca="1">IF(MatchData[[#This Row],[Auto Crossing Test Generator]]=4,RANDBETWEEN(0,1),0)</f>
        <v>0</v>
      </c>
      <c r="X8" s="5">
        <f ca="1">IF(MatchData[[#This Row],[Auto Crossing Test Generator]]=5,RANDBETWEEN(0,1),0)</f>
        <v>0</v>
      </c>
      <c r="Y8" s="5">
        <f ca="1">IF(MatchData[[#This Row],[Auto Crossing Test Generator]]=6,RANDBETWEEN(0,1),0)</f>
        <v>0</v>
      </c>
      <c r="Z8" s="5">
        <f ca="1">IF(MatchData[[#This Row],[Auto Crossing Test Generator]]=7,RANDBETWEEN(0,1),0)</f>
        <v>0</v>
      </c>
      <c r="AA8" s="5">
        <f ca="1">IF(MatchData[[#This Row],[Auto Crossing Test Generator]]=8,RANDBETWEEN(0,1),0)</f>
        <v>0</v>
      </c>
      <c r="AB8" s="5">
        <f ca="1">IF(MatchData[[#This Row],[Auto Crossing Test Generator]]&gt;8,RANDBETWEEN(0,1),0)</f>
        <v>0</v>
      </c>
      <c r="AC8" s="5">
        <f ca="1">IF(MatchData[[#This Row],[Auto Crossing Test Generator]]=9,RANDBETWEEN(0,1),0)</f>
        <v>0</v>
      </c>
      <c r="AD8" s="5">
        <f ca="1">IF(MatchData[[#This Row],[Cheval Available]]=1,RANDBETWEEN(0,MatchData[[#This Row],[Cheval High]]),0)</f>
        <v>0</v>
      </c>
      <c r="AE8" s="5">
        <f ca="1">IF(MatchData[[#This Row],[Moat Available]]=1,RANDBETWEEN(0,MatchData[[#This Row],[Moat High]]),0)</f>
        <v>0</v>
      </c>
      <c r="AF8" s="5">
        <f ca="1">IF(MatchData[[#This Row],[Ramparts Available]]=1,RANDBETWEEN(0,MatchData[[#This Row],[Ramparts High]]),0)</f>
        <v>1</v>
      </c>
      <c r="AG8" s="5">
        <f ca="1">IF(MatchData[[#This Row],[Drawbridge Available]]=1,RANDBETWEEN(0,MatchData[[#This Row],[Drawbridge High]]),0)</f>
        <v>0</v>
      </c>
      <c r="AH8" s="5">
        <f ca="1">IF(MatchData[[#This Row],[Sally Port Available]]=1,RANDBETWEEN(0,MatchData[[#This Row],[Sally Port High]]),0)</f>
        <v>0</v>
      </c>
      <c r="AI8" s="5">
        <f ca="1">IF(MatchData[[#This Row],[Rock Wall Available]]=1,RANDBETWEEN(0,MatchData[[#This Row],[Rock Wall High]]),0)</f>
        <v>0</v>
      </c>
      <c r="AJ8" s="5">
        <f ca="1">IF(MatchData[[#This Row],[Rough Terrain Available]]=1,RANDBETWEEN(0,MatchData[[#This Row],[Rough Terrain High]]),0)</f>
        <v>1</v>
      </c>
      <c r="AK8" s="5">
        <f ca="1">IF(MatchData[[#This Row],[Low Bar Available]]=1,RANDBETWEEN(0,MatchData[[#This Row],[Low Bar High]]),0)</f>
        <v>2</v>
      </c>
      <c r="AL8" s="5">
        <f ca="1">IF(MatchData[Cheval Teleop Crossings]&gt;3,10, MatchData[Cheval Teleop Crossings]*5)</f>
        <v>0</v>
      </c>
      <c r="AM8" s="5">
        <f ca="1">IF(MatchData[Moat Teleop Crossings]&gt;3,10, MatchData[Moat Teleop Crossings]*5)</f>
        <v>0</v>
      </c>
      <c r="AN8" s="5">
        <f ca="1">IF(MatchData[Ramparts Teleop Crossings]&gt;3,10, MatchData[Ramparts Teleop Crossings]*5)</f>
        <v>5</v>
      </c>
      <c r="AO8" s="5">
        <f ca="1">IF(MatchData[Drawbridge Teleop Crossings]&gt;3,10, MatchData[Drawbridge Teleop Crossings]*5)</f>
        <v>0</v>
      </c>
      <c r="AP8" s="5">
        <f ca="1">IF(MatchData[Sally Port Teleop Crossings]&gt;3,10, MatchData[Sally Port Teleop Crossings]*5)</f>
        <v>0</v>
      </c>
      <c r="AQ8" s="5">
        <f ca="1">IF(MatchData[Rock Wall Teleop Crossings]&gt;3,10, MatchData[Rock Wall Teleop Crossings]*5)</f>
        <v>0</v>
      </c>
      <c r="AR8" s="5">
        <f ca="1">IF(MatchData[Rough Terrain Teleop Crossings]&gt;3,10, MatchData[Rough Terrain Teleop Crossings]*5)</f>
        <v>5</v>
      </c>
      <c r="AS8" s="5">
        <f ca="1">IF(MatchData[Low Bar Teleop Crossings]&gt;3,10, MatchData[Low Bar Teleop Crossings]*5)</f>
        <v>10</v>
      </c>
      <c r="AT8" s="5">
        <f ca="1">SUM(MatchData[[#This Row],[Portcullis Teleop Crossings]:[Low Bar Teleop Crossings]])</f>
        <v>4</v>
      </c>
      <c r="AU8" s="5">
        <f ca="1">IF(RANDBETWEEN(1,4)&gt;1,1,0)</f>
        <v>0</v>
      </c>
      <c r="AV8" s="5">
        <f ca="1">IF(MatchData[[#This Row],[Challenge Flag]]=1,0,IF(MatchData[[#This Row],[Climber]]=1,RANDBETWEEN(0,1),0))</f>
        <v>0</v>
      </c>
      <c r="AW8" s="5">
        <f ca="1">IF(MatchData[[#This Row],[Crossing Score]]&gt;=40,1,0)</f>
        <v>0</v>
      </c>
      <c r="AX8" s="5"/>
      <c r="AY8" s="5">
        <f ca="1">IF(RANDBETWEEN(1,100)&gt;95,1,0)</f>
        <v>0</v>
      </c>
      <c r="AZ8" s="5">
        <f ca="1">IF(RANDBETWEEN(1,100)&gt;80,1,0)</f>
        <v>0</v>
      </c>
      <c r="BA8" s="5">
        <f ca="1">IF(OR(MatchData[[#This Row],[Challenge Flag]],MatchData[[#This Row],[Climb Flag]]),1,0)</f>
        <v>0</v>
      </c>
      <c r="BB8" s="5">
        <f ca="1">MatchData[Auto High Goals]*10+MatchData[Teleop High Goals]*5</f>
        <v>0</v>
      </c>
      <c r="BC8" s="5">
        <f ca="1">MatchData[Auto Low Goals]*5+MatchData[Teleop Low Goals]*2</f>
        <v>0</v>
      </c>
      <c r="BD8" s="5">
        <f ca="1">MatchData[High Goal Score]+MatchData[Low Goal Score]</f>
        <v>0</v>
      </c>
      <c r="BE8" s="5">
        <f ca="1">MatchData[Teleop High Goals]+MatchData[Teleop Low Goals]</f>
        <v>0</v>
      </c>
      <c r="BF8" s="5">
        <f ca="1">MatchData[[#This Row],[Auto Reach Flag]]*2+SUM(MatchData[[#This Row],[Portcullis Auto Crossings]:[Low Bar Auto Crossings]])*10+MatchData[[#This Row],[Auto Low Goals]]*5+MatchData[Auto High Goals]*10</f>
        <v>0</v>
      </c>
      <c r="BG8" s="5">
        <f ca="1">SUM(MatchData[[#This Row],[Cheval Scored Teleop Crossings]:[Low Bar Scored Teleop Crossings]])</f>
        <v>20</v>
      </c>
      <c r="BH8" s="5">
        <f ca="1">MatchData[Challenge Flag]*5</f>
        <v>0</v>
      </c>
      <c r="BI8" s="5">
        <f ca="1">MatchData[Climb Flag]*15</f>
        <v>0</v>
      </c>
      <c r="BJ8" s="5">
        <f ca="1">SUM(MatchData[[#This Row],[Total Goal Score]],MatchData[[#This Row],[Crossing Score]],MatchData[[#This Row],[Challenge Score]],MatchData[[#This Row],[Climb Score]],MatchData[[#This Row],[Total Auto Score]])</f>
        <v>20</v>
      </c>
      <c r="BK8">
        <v>1</v>
      </c>
      <c r="BL8" s="5">
        <f ca="1">IF(RANDBETWEEN(0,10)&gt;=9,RANDBETWEEN(1,9),0)</f>
        <v>0</v>
      </c>
      <c r="BM8" s="5">
        <f>VLOOKUP(MatchData[[#This Row],[Persona]],Personas!$A$2:$O$5,3)</f>
        <v>0</v>
      </c>
      <c r="BN8" s="13">
        <f>VLOOKUP(MatchData[[#This Row],[Persona]],Personas!$A$2:$P$5,4)</f>
        <v>0</v>
      </c>
      <c r="BO8" s="13">
        <f>VLOOKUP(MatchData[[#This Row],[Persona]],Personas!$A$2:$P$5,5)</f>
        <v>0</v>
      </c>
      <c r="BP8" s="13">
        <f>VLOOKUP(MatchData[[#This Row],[Persona]],Personas!$A$2:$P$5,6)</f>
        <v>0</v>
      </c>
      <c r="BQ8" s="13">
        <f>VLOOKUP(MatchData[[#This Row],[Persona]],Personas!$A$2:$P$5,7)</f>
        <v>0</v>
      </c>
      <c r="BR8" s="13">
        <f>VLOOKUP(MatchData[[#This Row],[Persona]],Personas!$A$2:$P$5,8)</f>
        <v>0</v>
      </c>
      <c r="BS8" s="13">
        <f>VLOOKUP(MatchData[[#This Row],[Persona]],Personas!$A$2:$P$5,9)</f>
        <v>2</v>
      </c>
      <c r="BT8" s="13">
        <f>VLOOKUP(MatchData[[#This Row],[Persona]],Personas!$A$2:$P$5,10)</f>
        <v>2</v>
      </c>
      <c r="BU8" s="13">
        <f>VLOOKUP(MatchData[[#This Row],[Persona]],Personas!$A$2:$P$5,11)</f>
        <v>0</v>
      </c>
      <c r="BV8" s="13">
        <f>VLOOKUP(MatchData[[#This Row],[Persona]],Personas!$A$2:$P$5,12)</f>
        <v>0</v>
      </c>
      <c r="BW8" s="13">
        <f>VLOOKUP(MatchData[[#This Row],[Persona]],Personas!$A$2:$P$5,13)</f>
        <v>2</v>
      </c>
      <c r="BX8" s="13">
        <f>VLOOKUP(MatchData[[#This Row],[Persona]],Personas!$A$2:$P$5,14)</f>
        <v>2</v>
      </c>
      <c r="BY8" s="13">
        <f>VLOOKUP(MatchData[[#This Row],[Persona]],Personas!$A$2:$P$5,15)</f>
        <v>2</v>
      </c>
      <c r="BZ8" s="13">
        <f>VLOOKUP(MatchData[[#This Row],[Persona]],Personas!$A$2:$P$5,16)</f>
        <v>0</v>
      </c>
      <c r="CA8" s="14">
        <f ca="1">ROUND(SUMIF(MatchData[Team],MatchData[[#This Row],[Team]],MatchData[Teleop Low Goals])/COUNTIF(MatchData[Team],MatchData[[#This Row],[Team]]),2)</f>
        <v>0</v>
      </c>
      <c r="CB8" s="14">
        <f ca="1">ROUND(SUMIF(MatchData[Team],MatchData[[#This Row],[Team]],MatchData[Teleop High Goals])/COUNTIF(MatchData[Team],MatchData[[#This Row],[Team]]),2)</f>
        <v>0</v>
      </c>
      <c r="CC8" s="14">
        <f>COUNTIF(MatchData[Team],MatchData[[#This Row],[Team]])</f>
        <v>6</v>
      </c>
      <c r="CD8" s="14">
        <f>SUMIF(MatchData[Team],MatchData[[#This Row],[Team]],MatchData[Portcullis Available])</f>
        <v>6</v>
      </c>
      <c r="CE8" s="14">
        <f>SUMIF(MatchData[Team],MatchData[[#This Row],[Team]],MatchData[Cheval Available])</f>
        <v>0</v>
      </c>
      <c r="CF8" s="14">
        <f>SUMIF(MatchData[Team],MatchData[[#This Row],[Team]],MatchData[Moat Available])</f>
        <v>0</v>
      </c>
      <c r="CG8" s="14">
        <f>SUMIF(MatchData[Team],MatchData[[#This Row],[Team]],MatchData[Ramparts Available])</f>
        <v>6</v>
      </c>
      <c r="CH8" s="14">
        <f>SUMIF(MatchData[Team],MatchData[[#This Row],[Team]],MatchData[Drawbridge Available])</f>
        <v>3</v>
      </c>
      <c r="CI8" s="14">
        <f>SUMIF(MatchData[Team],MatchData[[#This Row],[Team]],MatchData[Sally Port Available])</f>
        <v>3</v>
      </c>
      <c r="CJ8" s="14">
        <f>SUMIF(MatchData[Team],MatchData[[#This Row],[Team]],MatchData[Rock Wall Available])</f>
        <v>3</v>
      </c>
      <c r="CK8" s="14">
        <f>SUMIF(MatchData[Team],MatchData[[#This Row],[Team]],MatchData[Rough Terrain Available])</f>
        <v>3</v>
      </c>
      <c r="CL8" s="14">
        <f>SUMIF(MatchData[Team],MatchData[[#This Row],[Team]],MatchData[Low Bar Available])</f>
        <v>6</v>
      </c>
      <c r="CM8" s="14">
        <f ca="1">SUMIF(MatchData[Team],MatchData[[#This Row],[Team]],MatchData[Portcullis Teleop Crossings])</f>
        <v>0</v>
      </c>
      <c r="CN8" s="14">
        <f ca="1">SUMIF(MatchData[Team],MatchData[[#This Row],[Team]],MatchData[Cheval Teleop Crossings])</f>
        <v>0</v>
      </c>
      <c r="CO8" s="14">
        <f ca="1">SUMIF(MatchData[Team],MatchData[[#This Row],[Team]],MatchData[Moat Teleop Crossings])</f>
        <v>0</v>
      </c>
      <c r="CP8" s="14">
        <f ca="1">SUMIF(MatchData[Team],MatchData[[#This Row],[Team]],MatchData[Ramparts Teleop Crossings])</f>
        <v>5</v>
      </c>
      <c r="CQ8" s="14">
        <f ca="1">SUMIF(MatchData[Team],MatchData[[#This Row],[Team]],MatchData[Drawbridge Teleop Crossings])</f>
        <v>0</v>
      </c>
      <c r="CR8" s="14">
        <f ca="1">SUMIF(MatchData[Team],MatchData[[#This Row],[Team]],MatchData[Sally Port Teleop Crossings])</f>
        <v>0</v>
      </c>
      <c r="CS8" s="14">
        <f ca="1">SUMIF(MatchData[Team],MatchData[[#This Row],[Team]],MatchData[Rock Wall Teleop Crossings])</f>
        <v>4</v>
      </c>
      <c r="CT8" s="14">
        <f ca="1">SUMIF(MatchData[Team],MatchData[[#This Row],[Team]],MatchData[Rough Terrain Teleop Crossings])</f>
        <v>1</v>
      </c>
      <c r="CU8" s="14">
        <f ca="1">SUMIF(MatchData[Team],MatchData[[#This Row],[Team]],MatchData[Low Bar Teleop Crossings])</f>
        <v>4</v>
      </c>
      <c r="CV8" s="14">
        <f ca="1">IFERROR(ROUND(MatchData[[#This Row],[Portcullis Sum]]/MatchData[[#This Row],[Portcullis Avail Count]],2),0)</f>
        <v>0</v>
      </c>
      <c r="CW8">
        <f ca="1">IFERROR(ROUND(MatchData[[#This Row],[Cheval Sum]]/MatchData[[#This Row],[Cheval Avail Count]],2),0)</f>
        <v>0</v>
      </c>
      <c r="CX8">
        <f ca="1">IFERROR(ROUND(MatchData[[#This Row],[Moat Sum]]/MatchData[[#This Row],[Moat Avail Count]],2),0)</f>
        <v>0</v>
      </c>
      <c r="CY8">
        <f ca="1">IFERROR(ROUND(MatchData[[#This Row],[Ramparts Sum]]/MatchData[[#This Row],[Ramparts Avail Count]],2),0)</f>
        <v>0.83</v>
      </c>
      <c r="CZ8">
        <f ca="1">IFERROR(ROUND(MatchData[[#This Row],[Drawbridge Sum]]/MatchData[[#This Row],[Drawbridge HAvail Countigh6]],2),0)</f>
        <v>0</v>
      </c>
      <c r="DA8">
        <f ca="1">IFERROR(ROUND(MatchData[[#This Row],[Sally Port Sum]]/MatchData[[#This Row],[Sally Port Avail Count]],2),0)</f>
        <v>0</v>
      </c>
      <c r="DB8">
        <f ca="1">IFERROR(ROUND(MatchData[[#This Row],[Rock Wall Sum]]/MatchData[[#This Row],[Rock Wall Avail Count]],2),0)</f>
        <v>1.33</v>
      </c>
      <c r="DC8">
        <f ca="1">IFERROR(ROUND(MatchData[[#This Row],[Rough Terrain Sum]]/MatchData[[#This Row],[Rough Terrain Avail Count]],2),0)</f>
        <v>0.33</v>
      </c>
      <c r="DD8">
        <f ca="1">IFERROR(ROUND(MatchData[[#This Row],[Low Bar Sum]]/MatchData[[#This Row],[Low Bar Avail Count]],2),0)</f>
        <v>0.67</v>
      </c>
      <c r="DE8" s="14">
        <f t="array" aca="1" ref="DE8" ca="1">MAX(IF(C$4:C$75=C8,BE$4:BE$75))</f>
        <v>0</v>
      </c>
      <c r="DF8" s="14">
        <f ca="1">AVERAGEIF(MatchData[Team],MatchData[Team],MatchData[Total Score])</f>
        <v>15.166666666666666</v>
      </c>
      <c r="DG8" s="14">
        <f ca="1">ROUND(AVERAGEIF(MatchData[Team],MatchData[Team],MatchData[Climb or Challenge Flag]),2)</f>
        <v>0.5</v>
      </c>
    </row>
    <row r="9" spans="1:111">
      <c r="A9" t="s">
        <v>54</v>
      </c>
      <c r="B9" s="4">
        <v>11</v>
      </c>
      <c r="C9">
        <v>1001</v>
      </c>
      <c r="D9" t="s">
        <v>56</v>
      </c>
      <c r="E9" t="s">
        <v>58</v>
      </c>
      <c r="F9">
        <f ca="1">IF(MatchData[[#This Row],[Persona]] = 4,RANDBETWEEN(0,1),0)</f>
        <v>0</v>
      </c>
      <c r="G9">
        <f ca="1">IF(MatchData[[#This Row],[Persona]] = 3,RANDBETWEEN(0,1),0)</f>
        <v>0</v>
      </c>
      <c r="H9">
        <f ca="1">RANDBETWEEN(MatchData[[#This Row],[High Goal Low]],MatchData[[#This Row],[High Goal High]])</f>
        <v>0</v>
      </c>
      <c r="I9">
        <f ca="1">RANDBETWEEN(MatchData[[#This Row],[Low Goal Low]],MatchData[[#This Row],[Low Goal High]])</f>
        <v>0</v>
      </c>
      <c r="J9" s="6">
        <v>1</v>
      </c>
      <c r="K9" s="6"/>
      <c r="L9" s="6"/>
      <c r="M9" s="6">
        <v>1</v>
      </c>
      <c r="N9" s="6"/>
      <c r="O9" s="6">
        <v>1</v>
      </c>
      <c r="P9" s="6">
        <v>1</v>
      </c>
      <c r="Q9" s="5"/>
      <c r="R9" s="5">
        <v>1</v>
      </c>
      <c r="S9" s="5">
        <f ca="1">IF(MatchData[[#This Row],[Auto Crossing Test Generator]]=0,RANDBETWEEN(0,1),0)</f>
        <v>0</v>
      </c>
      <c r="T9" s="5">
        <f ca="1">IF(MatchData[Auto Crossing Test Generator]=1,1,0)</f>
        <v>0</v>
      </c>
      <c r="U9" s="5">
        <f ca="1">IF(MatchData[[#This Row],[Auto Crossing Test Generator]]=2,RANDBETWEEN(0,1),0)</f>
        <v>0</v>
      </c>
      <c r="V9" s="5">
        <f ca="1">IF(MatchData[[#This Row],[Auto Crossing Test Generator]]=3,RANDBETWEEN(0,1),0)</f>
        <v>0</v>
      </c>
      <c r="W9" s="5">
        <f ca="1">IF(MatchData[[#This Row],[Auto Crossing Test Generator]]=4,RANDBETWEEN(0,1),0)</f>
        <v>0</v>
      </c>
      <c r="X9" s="5">
        <f ca="1">IF(MatchData[[#This Row],[Auto Crossing Test Generator]]=5,RANDBETWEEN(0,1),0)</f>
        <v>0</v>
      </c>
      <c r="Y9" s="5">
        <f ca="1">IF(MatchData[[#This Row],[Auto Crossing Test Generator]]=6,RANDBETWEEN(0,1),0)</f>
        <v>0</v>
      </c>
      <c r="Z9" s="5">
        <f ca="1">IF(MatchData[[#This Row],[Auto Crossing Test Generator]]=7,RANDBETWEEN(0,1),0)</f>
        <v>0</v>
      </c>
      <c r="AA9" s="5">
        <f ca="1">IF(MatchData[[#This Row],[Auto Crossing Test Generator]]=8,RANDBETWEEN(0,1),0)</f>
        <v>0</v>
      </c>
      <c r="AB9" s="5">
        <f ca="1">IF(MatchData[[#This Row],[Auto Crossing Test Generator]]&gt;8,RANDBETWEEN(0,1),0)</f>
        <v>0</v>
      </c>
      <c r="AC9" s="5">
        <f ca="1">IF(MatchData[[#This Row],[Auto Crossing Test Generator]]=9,RANDBETWEEN(0,1),0)</f>
        <v>0</v>
      </c>
      <c r="AD9" s="5">
        <f ca="1">IF(MatchData[[#This Row],[Cheval Available]]=1,RANDBETWEEN(0,MatchData[[#This Row],[Cheval High]]),0)</f>
        <v>0</v>
      </c>
      <c r="AE9" s="5">
        <f ca="1">IF(MatchData[[#This Row],[Moat Available]]=1,RANDBETWEEN(0,MatchData[[#This Row],[Moat High]]),0)</f>
        <v>0</v>
      </c>
      <c r="AF9" s="5">
        <f ca="1">IF(MatchData[[#This Row],[Ramparts Available]]=1,RANDBETWEEN(0,MatchData[[#This Row],[Ramparts High]]),0)</f>
        <v>0</v>
      </c>
      <c r="AG9" s="5">
        <f ca="1">IF(MatchData[[#This Row],[Drawbridge Available]]=1,RANDBETWEEN(0,MatchData[[#This Row],[Drawbridge High]]),0)</f>
        <v>0</v>
      </c>
      <c r="AH9" s="5">
        <f ca="1">IF(MatchData[[#This Row],[Sally Port Available]]=1,RANDBETWEEN(0,MatchData[[#This Row],[Sally Port High]]),0)</f>
        <v>0</v>
      </c>
      <c r="AI9" s="5">
        <f ca="1">IF(MatchData[[#This Row],[Rock Wall Available]]=1,RANDBETWEEN(0,MatchData[[#This Row],[Rock Wall High]]),0)</f>
        <v>1</v>
      </c>
      <c r="AJ9" s="5">
        <f ca="1">IF(MatchData[[#This Row],[Rough Terrain Available]]=1,RANDBETWEEN(0,MatchData[[#This Row],[Rough Terrain High]]),0)</f>
        <v>0</v>
      </c>
      <c r="AK9" s="5">
        <f ca="1">IF(MatchData[[#This Row],[Low Bar Available]]=1,RANDBETWEEN(0,MatchData[[#This Row],[Low Bar High]]),0)</f>
        <v>0</v>
      </c>
      <c r="AL9" s="5">
        <f ca="1">IF(MatchData[Cheval Teleop Crossings]&gt;3,10, MatchData[Cheval Teleop Crossings]*5)</f>
        <v>0</v>
      </c>
      <c r="AM9" s="5">
        <f ca="1">IF(MatchData[Moat Teleop Crossings]&gt;3,10, MatchData[Moat Teleop Crossings]*5)</f>
        <v>0</v>
      </c>
      <c r="AN9" s="5">
        <f ca="1">IF(MatchData[Ramparts Teleop Crossings]&gt;3,10, MatchData[Ramparts Teleop Crossings]*5)</f>
        <v>0</v>
      </c>
      <c r="AO9" s="5">
        <f ca="1">IF(MatchData[Drawbridge Teleop Crossings]&gt;3,10, MatchData[Drawbridge Teleop Crossings]*5)</f>
        <v>0</v>
      </c>
      <c r="AP9" s="5">
        <f ca="1">IF(MatchData[Sally Port Teleop Crossings]&gt;3,10, MatchData[Sally Port Teleop Crossings]*5)</f>
        <v>0</v>
      </c>
      <c r="AQ9" s="5">
        <f ca="1">IF(MatchData[Rock Wall Teleop Crossings]&gt;3,10, MatchData[Rock Wall Teleop Crossings]*5)</f>
        <v>5</v>
      </c>
      <c r="AR9" s="5">
        <f ca="1">IF(MatchData[Rough Terrain Teleop Crossings]&gt;3,10, MatchData[Rough Terrain Teleop Crossings]*5)</f>
        <v>0</v>
      </c>
      <c r="AS9" s="5">
        <f ca="1">IF(MatchData[Low Bar Teleop Crossings]&gt;3,10, MatchData[Low Bar Teleop Crossings]*5)</f>
        <v>0</v>
      </c>
      <c r="AT9" s="5">
        <f ca="1">SUM(MatchData[[#This Row],[Portcullis Teleop Crossings]:[Low Bar Teleop Crossings]])</f>
        <v>1</v>
      </c>
      <c r="AU9" s="5">
        <f ca="1">IF(RANDBETWEEN(1,4)&gt;1,1,0)</f>
        <v>1</v>
      </c>
      <c r="AV9" s="5">
        <f ca="1">IF(MatchData[[#This Row],[Challenge Flag]]=1,0,IF(MatchData[[#This Row],[Climber]]=1,RANDBETWEEN(0,1),0))</f>
        <v>0</v>
      </c>
      <c r="AW9" s="5">
        <f ca="1">IF(MatchData[[#This Row],[Crossing Score]]&gt;=40,1,0)</f>
        <v>0</v>
      </c>
      <c r="AX9" s="5"/>
      <c r="AY9" s="5">
        <f ca="1">IF(RANDBETWEEN(1,100)&gt;95,1,0)</f>
        <v>1</v>
      </c>
      <c r="AZ9" s="5">
        <f ca="1">IF(RANDBETWEEN(1,100)&gt;80,1,0)</f>
        <v>0</v>
      </c>
      <c r="BA9" s="5">
        <f ca="1">IF(OR(MatchData[[#This Row],[Challenge Flag]],MatchData[[#This Row],[Climb Flag]]),1,0)</f>
        <v>1</v>
      </c>
      <c r="BB9" s="5">
        <f ca="1">MatchData[Auto High Goals]*10+MatchData[Teleop High Goals]*5</f>
        <v>0</v>
      </c>
      <c r="BC9" s="5">
        <f ca="1">MatchData[Auto Low Goals]*5+MatchData[Teleop Low Goals]*2</f>
        <v>0</v>
      </c>
      <c r="BD9" s="5">
        <f ca="1">MatchData[High Goal Score]+MatchData[Low Goal Score]</f>
        <v>0</v>
      </c>
      <c r="BE9" s="5">
        <f ca="1">MatchData[Teleop High Goals]+MatchData[Teleop Low Goals]</f>
        <v>0</v>
      </c>
      <c r="BF9" s="5">
        <f ca="1">MatchData[[#This Row],[Auto Reach Flag]]*2+SUM(MatchData[[#This Row],[Portcullis Auto Crossings]:[Low Bar Auto Crossings]])*10+MatchData[[#This Row],[Auto Low Goals]]*5+MatchData[Auto High Goals]*10</f>
        <v>0</v>
      </c>
      <c r="BG9" s="5">
        <f ca="1">SUM(MatchData[[#This Row],[Cheval Scored Teleop Crossings]:[Low Bar Scored Teleop Crossings]])</f>
        <v>5</v>
      </c>
      <c r="BH9" s="5">
        <f ca="1">MatchData[Challenge Flag]*5</f>
        <v>5</v>
      </c>
      <c r="BI9" s="5">
        <f ca="1">MatchData[Climb Flag]*15</f>
        <v>0</v>
      </c>
      <c r="BJ9" s="5">
        <f ca="1">SUM(MatchData[[#This Row],[Total Goal Score]],MatchData[[#This Row],[Crossing Score]],MatchData[[#This Row],[Challenge Score]],MatchData[[#This Row],[Climb Score]],MatchData[[#This Row],[Total Auto Score]])</f>
        <v>10</v>
      </c>
      <c r="BK9">
        <v>1</v>
      </c>
      <c r="BL9" s="5">
        <f ca="1">IF(RANDBETWEEN(0,10)&gt;=9,RANDBETWEEN(1,9),0)</f>
        <v>0</v>
      </c>
      <c r="BM9" s="5">
        <f>VLOOKUP(MatchData[[#This Row],[Persona]],Personas!$A$2:$O$5,3)</f>
        <v>0</v>
      </c>
      <c r="BN9" s="13">
        <f>VLOOKUP(MatchData[[#This Row],[Persona]],Personas!$A$2:$P$5,4)</f>
        <v>0</v>
      </c>
      <c r="BO9" s="13">
        <f>VLOOKUP(MatchData[[#This Row],[Persona]],Personas!$A$2:$P$5,5)</f>
        <v>0</v>
      </c>
      <c r="BP9" s="13">
        <f>VLOOKUP(MatchData[[#This Row],[Persona]],Personas!$A$2:$P$5,6)</f>
        <v>0</v>
      </c>
      <c r="BQ9" s="13">
        <f>VLOOKUP(MatchData[[#This Row],[Persona]],Personas!$A$2:$P$5,7)</f>
        <v>0</v>
      </c>
      <c r="BR9" s="13">
        <f>VLOOKUP(MatchData[[#This Row],[Persona]],Personas!$A$2:$P$5,8)</f>
        <v>0</v>
      </c>
      <c r="BS9" s="13">
        <f>VLOOKUP(MatchData[[#This Row],[Persona]],Personas!$A$2:$P$5,9)</f>
        <v>2</v>
      </c>
      <c r="BT9" s="13">
        <f>VLOOKUP(MatchData[[#This Row],[Persona]],Personas!$A$2:$P$5,10)</f>
        <v>2</v>
      </c>
      <c r="BU9" s="13">
        <f>VLOOKUP(MatchData[[#This Row],[Persona]],Personas!$A$2:$P$5,11)</f>
        <v>0</v>
      </c>
      <c r="BV9" s="13">
        <f>VLOOKUP(MatchData[[#This Row],[Persona]],Personas!$A$2:$P$5,12)</f>
        <v>0</v>
      </c>
      <c r="BW9" s="13">
        <f>VLOOKUP(MatchData[[#This Row],[Persona]],Personas!$A$2:$P$5,13)</f>
        <v>2</v>
      </c>
      <c r="BX9" s="13">
        <f>VLOOKUP(MatchData[[#This Row],[Persona]],Personas!$A$2:$P$5,14)</f>
        <v>2</v>
      </c>
      <c r="BY9" s="13">
        <f>VLOOKUP(MatchData[[#This Row],[Persona]],Personas!$A$2:$P$5,15)</f>
        <v>2</v>
      </c>
      <c r="BZ9" s="13">
        <f>VLOOKUP(MatchData[[#This Row],[Persona]],Personas!$A$2:$P$5,16)</f>
        <v>0</v>
      </c>
      <c r="CA9" s="14">
        <f ca="1">ROUND(SUMIF(MatchData[Team],MatchData[[#This Row],[Team]],MatchData[Teleop Low Goals])/COUNTIF(MatchData[Team],MatchData[[#This Row],[Team]]),2)</f>
        <v>0</v>
      </c>
      <c r="CB9" s="14">
        <f ca="1">ROUND(SUMIF(MatchData[Team],MatchData[[#This Row],[Team]],MatchData[Teleop High Goals])/COUNTIF(MatchData[Team],MatchData[[#This Row],[Team]]),2)</f>
        <v>0</v>
      </c>
      <c r="CC9" s="14">
        <f>COUNTIF(MatchData[Team],MatchData[[#This Row],[Team]])</f>
        <v>6</v>
      </c>
      <c r="CD9" s="14">
        <f>SUMIF(MatchData[Team],MatchData[[#This Row],[Team]],MatchData[Portcullis Available])</f>
        <v>6</v>
      </c>
      <c r="CE9" s="14">
        <f>SUMIF(MatchData[Team],MatchData[[#This Row],[Team]],MatchData[Cheval Available])</f>
        <v>0</v>
      </c>
      <c r="CF9" s="14">
        <f>SUMIF(MatchData[Team],MatchData[[#This Row],[Team]],MatchData[Moat Available])</f>
        <v>0</v>
      </c>
      <c r="CG9" s="14">
        <f>SUMIF(MatchData[Team],MatchData[[#This Row],[Team]],MatchData[Ramparts Available])</f>
        <v>6</v>
      </c>
      <c r="CH9" s="14">
        <f>SUMIF(MatchData[Team],MatchData[[#This Row],[Team]],MatchData[Drawbridge Available])</f>
        <v>3</v>
      </c>
      <c r="CI9" s="14">
        <f>SUMIF(MatchData[Team],MatchData[[#This Row],[Team]],MatchData[Sally Port Available])</f>
        <v>3</v>
      </c>
      <c r="CJ9" s="14">
        <f>SUMIF(MatchData[Team],MatchData[[#This Row],[Team]],MatchData[Rock Wall Available])</f>
        <v>3</v>
      </c>
      <c r="CK9" s="14">
        <f>SUMIF(MatchData[Team],MatchData[[#This Row],[Team]],MatchData[Rough Terrain Available])</f>
        <v>3</v>
      </c>
      <c r="CL9" s="14">
        <f>SUMIF(MatchData[Team],MatchData[[#This Row],[Team]],MatchData[Low Bar Available])</f>
        <v>6</v>
      </c>
      <c r="CM9" s="14">
        <f ca="1">SUMIF(MatchData[Team],MatchData[[#This Row],[Team]],MatchData[Portcullis Teleop Crossings])</f>
        <v>0</v>
      </c>
      <c r="CN9" s="14">
        <f ca="1">SUMIF(MatchData[Team],MatchData[[#This Row],[Team]],MatchData[Cheval Teleop Crossings])</f>
        <v>0</v>
      </c>
      <c r="CO9" s="14">
        <f ca="1">SUMIF(MatchData[Team],MatchData[[#This Row],[Team]],MatchData[Moat Teleop Crossings])</f>
        <v>0</v>
      </c>
      <c r="CP9" s="14">
        <f ca="1">SUMIF(MatchData[Team],MatchData[[#This Row],[Team]],MatchData[Ramparts Teleop Crossings])</f>
        <v>5</v>
      </c>
      <c r="CQ9" s="14">
        <f ca="1">SUMIF(MatchData[Team],MatchData[[#This Row],[Team]],MatchData[Drawbridge Teleop Crossings])</f>
        <v>0</v>
      </c>
      <c r="CR9" s="14">
        <f ca="1">SUMIF(MatchData[Team],MatchData[[#This Row],[Team]],MatchData[Sally Port Teleop Crossings])</f>
        <v>0</v>
      </c>
      <c r="CS9" s="14">
        <f ca="1">SUMIF(MatchData[Team],MatchData[[#This Row],[Team]],MatchData[Rock Wall Teleop Crossings])</f>
        <v>4</v>
      </c>
      <c r="CT9" s="14">
        <f ca="1">SUMIF(MatchData[Team],MatchData[[#This Row],[Team]],MatchData[Rough Terrain Teleop Crossings])</f>
        <v>1</v>
      </c>
      <c r="CU9" s="14">
        <f ca="1">SUMIF(MatchData[Team],MatchData[[#This Row],[Team]],MatchData[Low Bar Teleop Crossings])</f>
        <v>4</v>
      </c>
      <c r="CV9" s="14">
        <f ca="1">IFERROR(ROUND(MatchData[[#This Row],[Portcullis Sum]]/MatchData[[#This Row],[Portcullis Avail Count]],2),0)</f>
        <v>0</v>
      </c>
      <c r="CW9">
        <f ca="1">IFERROR(ROUND(MatchData[[#This Row],[Cheval Sum]]/MatchData[[#This Row],[Cheval Avail Count]],2),0)</f>
        <v>0</v>
      </c>
      <c r="CX9">
        <f ca="1">IFERROR(ROUND(MatchData[[#This Row],[Moat Sum]]/MatchData[[#This Row],[Moat Avail Count]],2),0)</f>
        <v>0</v>
      </c>
      <c r="CY9">
        <f ca="1">IFERROR(ROUND(MatchData[[#This Row],[Ramparts Sum]]/MatchData[[#This Row],[Ramparts Avail Count]],2),0)</f>
        <v>0.83</v>
      </c>
      <c r="CZ9">
        <f ca="1">IFERROR(ROUND(MatchData[[#This Row],[Drawbridge Sum]]/MatchData[[#This Row],[Drawbridge HAvail Countigh6]],2),0)</f>
        <v>0</v>
      </c>
      <c r="DA9">
        <f ca="1">IFERROR(ROUND(MatchData[[#This Row],[Sally Port Sum]]/MatchData[[#This Row],[Sally Port Avail Count]],2),0)</f>
        <v>0</v>
      </c>
      <c r="DB9">
        <f ca="1">IFERROR(ROUND(MatchData[[#This Row],[Rock Wall Sum]]/MatchData[[#This Row],[Rock Wall Avail Count]],2),0)</f>
        <v>1.33</v>
      </c>
      <c r="DC9">
        <f ca="1">IFERROR(ROUND(MatchData[[#This Row],[Rough Terrain Sum]]/MatchData[[#This Row],[Rough Terrain Avail Count]],2),0)</f>
        <v>0.33</v>
      </c>
      <c r="DD9">
        <f ca="1">IFERROR(ROUND(MatchData[[#This Row],[Low Bar Sum]]/MatchData[[#This Row],[Low Bar Avail Count]],2),0)</f>
        <v>0.67</v>
      </c>
      <c r="DE9" s="14">
        <f t="array" aca="1" ref="DE9" ca="1">MAX(IF(C$4:C$75=C9,BE$4:BE$75))</f>
        <v>0</v>
      </c>
      <c r="DF9" s="14">
        <f ca="1">AVERAGEIF(MatchData[Team],MatchData[Team],MatchData[Total Score])</f>
        <v>15.166666666666666</v>
      </c>
      <c r="DG9" s="14">
        <f ca="1">ROUND(AVERAGEIF(MatchData[Team],MatchData[Team],MatchData[Climb or Challenge Flag]),2)</f>
        <v>0.5</v>
      </c>
    </row>
    <row r="10" spans="1:111">
      <c r="A10" t="s">
        <v>54</v>
      </c>
      <c r="B10" s="4">
        <v>1</v>
      </c>
      <c r="C10">
        <v>1002</v>
      </c>
      <c r="D10" t="s">
        <v>55</v>
      </c>
      <c r="E10" t="s">
        <v>58</v>
      </c>
      <c r="F10">
        <f ca="1">IF(MatchData[[#This Row],[Persona]] = 4,RANDBETWEEN(0,1),0)</f>
        <v>0</v>
      </c>
      <c r="G10">
        <f ca="1">IF(MatchData[[#This Row],[Persona]] = 3,RANDBETWEEN(0,1),0)</f>
        <v>0</v>
      </c>
      <c r="H10">
        <f ca="1">RANDBETWEEN(MatchData[[#This Row],[High Goal Low]],MatchData[[#This Row],[High Goal High]])</f>
        <v>0</v>
      </c>
      <c r="I10">
        <f ca="1">RANDBETWEEN(MatchData[[#This Row],[Low Goal Low]],MatchData[[#This Row],[Low Goal High]])</f>
        <v>1</v>
      </c>
      <c r="J10" s="6">
        <v>1</v>
      </c>
      <c r="K10" s="6"/>
      <c r="L10" s="6"/>
      <c r="M10" s="6">
        <v>1</v>
      </c>
      <c r="N10" s="6">
        <v>1</v>
      </c>
      <c r="O10" s="6"/>
      <c r="P10" s="6"/>
      <c r="Q10" s="5">
        <v>1</v>
      </c>
      <c r="R10" s="5">
        <v>1</v>
      </c>
      <c r="S10" s="5">
        <f ca="1">IF(MatchData[[#This Row],[Auto Crossing Test Generator]]=0,RANDBETWEEN(0,1),0)</f>
        <v>1</v>
      </c>
      <c r="T10" s="5">
        <f ca="1">IF(MatchData[Auto Crossing Test Generator]=1,1,0)</f>
        <v>0</v>
      </c>
      <c r="U10" s="5">
        <f ca="1">IF(MatchData[[#This Row],[Auto Crossing Test Generator]]=2,RANDBETWEEN(0,1),0)</f>
        <v>0</v>
      </c>
      <c r="V10" s="5">
        <f ca="1">IF(MatchData[[#This Row],[Auto Crossing Test Generator]]=3,RANDBETWEEN(0,1),0)</f>
        <v>0</v>
      </c>
      <c r="W10" s="5">
        <f ca="1">IF(MatchData[[#This Row],[Auto Crossing Test Generator]]=4,RANDBETWEEN(0,1),0)</f>
        <v>0</v>
      </c>
      <c r="X10" s="5">
        <f ca="1">IF(MatchData[[#This Row],[Auto Crossing Test Generator]]=5,RANDBETWEEN(0,1),0)</f>
        <v>0</v>
      </c>
      <c r="Y10" s="5">
        <f ca="1">IF(MatchData[[#This Row],[Auto Crossing Test Generator]]=6,RANDBETWEEN(0,1),0)</f>
        <v>0</v>
      </c>
      <c r="Z10" s="5">
        <f ca="1">IF(MatchData[[#This Row],[Auto Crossing Test Generator]]=7,RANDBETWEEN(0,1),0)</f>
        <v>0</v>
      </c>
      <c r="AA10" s="5">
        <f ca="1">IF(MatchData[[#This Row],[Auto Crossing Test Generator]]=8,RANDBETWEEN(0,1),0)</f>
        <v>0</v>
      </c>
      <c r="AB10" s="5">
        <f ca="1">IF(MatchData[[#This Row],[Auto Crossing Test Generator]]&gt;8,RANDBETWEEN(0,1),0)</f>
        <v>0</v>
      </c>
      <c r="AC10" s="5">
        <f ca="1">IF(MatchData[[#This Row],[Auto Crossing Test Generator]]=9,RANDBETWEEN(0,1),0)</f>
        <v>0</v>
      </c>
      <c r="AD10" s="5">
        <f ca="1">IF(MatchData[[#This Row],[Cheval Available]]=1,RANDBETWEEN(0,MatchData[[#This Row],[Cheval High]]),0)</f>
        <v>0</v>
      </c>
      <c r="AE10" s="5">
        <f ca="1">IF(MatchData[[#This Row],[Moat Available]]=1,RANDBETWEEN(0,MatchData[[#This Row],[Moat High]]),0)</f>
        <v>0</v>
      </c>
      <c r="AF10" s="5">
        <f ca="1">IF(MatchData[[#This Row],[Ramparts Available]]=1,RANDBETWEEN(0,MatchData[[#This Row],[Ramparts High]]),0)</f>
        <v>2</v>
      </c>
      <c r="AG10" s="5">
        <f ca="1">IF(MatchData[[#This Row],[Drawbridge Available]]=1,RANDBETWEEN(0,MatchData[[#This Row],[Drawbridge High]]),0)</f>
        <v>0</v>
      </c>
      <c r="AH10" s="5">
        <f ca="1">IF(MatchData[[#This Row],[Sally Port Available]]=1,RANDBETWEEN(0,MatchData[[#This Row],[Sally Port High]]),0)</f>
        <v>0</v>
      </c>
      <c r="AI10" s="5">
        <f ca="1">IF(MatchData[[#This Row],[Rock Wall Available]]=1,RANDBETWEEN(0,MatchData[[#This Row],[Rock Wall High]]),0)</f>
        <v>0</v>
      </c>
      <c r="AJ10" s="5">
        <f ca="1">IF(MatchData[[#This Row],[Rough Terrain Available]]=1,RANDBETWEEN(0,MatchData[[#This Row],[Rough Terrain High]]),0)</f>
        <v>1</v>
      </c>
      <c r="AK10" s="5">
        <f ca="1">IF(MatchData[[#This Row],[Low Bar Available]]=1,RANDBETWEEN(0,MatchData[[#This Row],[Low Bar High]]),0)</f>
        <v>1</v>
      </c>
      <c r="AL10" s="5">
        <f ca="1">IF(MatchData[Cheval Teleop Crossings]&gt;3,10, MatchData[Cheval Teleop Crossings]*5)</f>
        <v>0</v>
      </c>
      <c r="AM10" s="5">
        <f ca="1">IF(MatchData[Moat Teleop Crossings]&gt;3,10, MatchData[Moat Teleop Crossings]*5)</f>
        <v>0</v>
      </c>
      <c r="AN10" s="5">
        <f ca="1">IF(MatchData[Ramparts Teleop Crossings]&gt;3,10, MatchData[Ramparts Teleop Crossings]*5)</f>
        <v>10</v>
      </c>
      <c r="AO10" s="5">
        <f ca="1">IF(MatchData[Drawbridge Teleop Crossings]&gt;3,10, MatchData[Drawbridge Teleop Crossings]*5)</f>
        <v>0</v>
      </c>
      <c r="AP10" s="5">
        <f ca="1">IF(MatchData[Sally Port Teleop Crossings]&gt;3,10, MatchData[Sally Port Teleop Crossings]*5)</f>
        <v>0</v>
      </c>
      <c r="AQ10" s="5">
        <f ca="1">IF(MatchData[Rock Wall Teleop Crossings]&gt;3,10, MatchData[Rock Wall Teleop Crossings]*5)</f>
        <v>0</v>
      </c>
      <c r="AR10" s="5">
        <f ca="1">IF(MatchData[Rough Terrain Teleop Crossings]&gt;3,10, MatchData[Rough Terrain Teleop Crossings]*5)</f>
        <v>5</v>
      </c>
      <c r="AS10" s="5">
        <f ca="1">IF(MatchData[Low Bar Teleop Crossings]&gt;3,10, MatchData[Low Bar Teleop Crossings]*5)</f>
        <v>5</v>
      </c>
      <c r="AT10" s="5">
        <f ca="1">SUM(MatchData[[#This Row],[Portcullis Teleop Crossings]:[Low Bar Teleop Crossings]])</f>
        <v>4</v>
      </c>
      <c r="AU10" s="5">
        <f ca="1">IF(RANDBETWEEN(1,4)&gt;1,1,0)</f>
        <v>1</v>
      </c>
      <c r="AV10" s="5">
        <f ca="1">IF(MatchData[[#This Row],[Challenge Flag]]=1,0,IF(MatchData[[#This Row],[Climber]]=1,RANDBETWEEN(0,1),0))</f>
        <v>0</v>
      </c>
      <c r="AW10" s="5">
        <f ca="1">IF(MatchData[[#This Row],[Crossing Score]]&gt;=40,1,0)</f>
        <v>0</v>
      </c>
      <c r="AX10" s="5"/>
      <c r="AY10" s="5">
        <f ca="1">IF(RANDBETWEEN(1,100)&gt;95,1,0)</f>
        <v>0</v>
      </c>
      <c r="AZ10" s="5">
        <f ca="1">IF(RANDBETWEEN(1,100)&gt;80,1,0)</f>
        <v>0</v>
      </c>
      <c r="BA10" s="5">
        <f ca="1">IF(OR(MatchData[[#This Row],[Challenge Flag]],MatchData[[#This Row],[Climb Flag]]),1,0)</f>
        <v>1</v>
      </c>
      <c r="BB10" s="5">
        <f ca="1">MatchData[Auto High Goals]*10+MatchData[Teleop High Goals]*5</f>
        <v>0</v>
      </c>
      <c r="BC10" s="5">
        <f ca="1">MatchData[Auto Low Goals]*5+MatchData[Teleop Low Goals]*2</f>
        <v>2</v>
      </c>
      <c r="BD10" s="5">
        <f ca="1">MatchData[High Goal Score]+MatchData[Low Goal Score]</f>
        <v>2</v>
      </c>
      <c r="BE10" s="5">
        <f ca="1">MatchData[Teleop High Goals]+MatchData[Teleop Low Goals]</f>
        <v>1</v>
      </c>
      <c r="BF10" s="5">
        <f ca="1">MatchData[[#This Row],[Auto Reach Flag]]*2+SUM(MatchData[[#This Row],[Portcullis Auto Crossings]:[Low Bar Auto Crossings]])*10+MatchData[[#This Row],[Auto Low Goals]]*5+MatchData[Auto High Goals]*10</f>
        <v>2</v>
      </c>
      <c r="BG10" s="5">
        <f ca="1">SUM(MatchData[[#This Row],[Cheval Scored Teleop Crossings]:[Low Bar Scored Teleop Crossings]])</f>
        <v>20</v>
      </c>
      <c r="BH10" s="5">
        <f ca="1">MatchData[Challenge Flag]*5</f>
        <v>5</v>
      </c>
      <c r="BI10" s="5">
        <f ca="1">MatchData[Climb Flag]*15</f>
        <v>0</v>
      </c>
      <c r="BJ10" s="5">
        <f ca="1">SUM(MatchData[[#This Row],[Total Goal Score]],MatchData[[#This Row],[Crossing Score]],MatchData[[#This Row],[Challenge Score]],MatchData[[#This Row],[Climb Score]],MatchData[[#This Row],[Total Auto Score]])</f>
        <v>29</v>
      </c>
      <c r="BK10">
        <v>2</v>
      </c>
      <c r="BL10" s="5">
        <f ca="1">IF(RANDBETWEEN(0,10)&gt;=9,RANDBETWEEN(1,9),0)</f>
        <v>0</v>
      </c>
      <c r="BM10" s="5">
        <f>VLOOKUP(MatchData[[#This Row],[Persona]],Personas!$A$2:$O$5,3)</f>
        <v>1</v>
      </c>
      <c r="BN10" s="13">
        <f>VLOOKUP(MatchData[[#This Row],[Persona]],Personas!$A$2:$P$5,4)</f>
        <v>4</v>
      </c>
      <c r="BO10" s="13">
        <f>VLOOKUP(MatchData[[#This Row],[Persona]],Personas!$A$2:$P$5,5)</f>
        <v>0</v>
      </c>
      <c r="BP10" s="13">
        <f>VLOOKUP(MatchData[[#This Row],[Persona]],Personas!$A$2:$P$5,6)</f>
        <v>0</v>
      </c>
      <c r="BQ10" s="13">
        <f>VLOOKUP(MatchData[[#This Row],[Persona]],Personas!$A$2:$P$5,7)</f>
        <v>0</v>
      </c>
      <c r="BR10" s="13">
        <f>VLOOKUP(MatchData[[#This Row],[Persona]],Personas!$A$2:$P$5,8)</f>
        <v>0</v>
      </c>
      <c r="BS10" s="13">
        <f>VLOOKUP(MatchData[[#This Row],[Persona]],Personas!$A$2:$P$5,9)</f>
        <v>2</v>
      </c>
      <c r="BT10" s="13">
        <f>VLOOKUP(MatchData[[#This Row],[Persona]],Personas!$A$2:$P$5,10)</f>
        <v>2</v>
      </c>
      <c r="BU10" s="13">
        <f>VLOOKUP(MatchData[[#This Row],[Persona]],Personas!$A$2:$P$5,11)</f>
        <v>0</v>
      </c>
      <c r="BV10" s="13">
        <f>VLOOKUP(MatchData[[#This Row],[Persona]],Personas!$A$2:$P$5,12)</f>
        <v>0</v>
      </c>
      <c r="BW10" s="13">
        <f>VLOOKUP(MatchData[[#This Row],[Persona]],Personas!$A$2:$P$5,13)</f>
        <v>2</v>
      </c>
      <c r="BX10" s="13">
        <f>VLOOKUP(MatchData[[#This Row],[Persona]],Personas!$A$2:$P$5,14)</f>
        <v>2</v>
      </c>
      <c r="BY10" s="13">
        <f>VLOOKUP(MatchData[[#This Row],[Persona]],Personas!$A$2:$P$5,15)</f>
        <v>2</v>
      </c>
      <c r="BZ10" s="13">
        <f>VLOOKUP(MatchData[[#This Row],[Persona]],Personas!$A$2:$P$5,16)</f>
        <v>1</v>
      </c>
      <c r="CA10" s="14">
        <f ca="1">ROUND(SUMIF(MatchData[Team],MatchData[[#This Row],[Team]],MatchData[Teleop Low Goals])/COUNTIF(MatchData[Team],MatchData[[#This Row],[Team]]),2)</f>
        <v>2.67</v>
      </c>
      <c r="CB10" s="14">
        <f ca="1">ROUND(SUMIF(MatchData[Team],MatchData[[#This Row],[Team]],MatchData[Teleop High Goals])/COUNTIF(MatchData[Team],MatchData[[#This Row],[Team]]),2)</f>
        <v>0</v>
      </c>
      <c r="CC10" s="14">
        <f>COUNTIF(MatchData[Team],MatchData[[#This Row],[Team]])</f>
        <v>6</v>
      </c>
      <c r="CD10" s="14">
        <f>SUMIF(MatchData[Team],MatchData[[#This Row],[Team]],MatchData[Portcullis Available])</f>
        <v>5</v>
      </c>
      <c r="CE10" s="14">
        <f>SUMIF(MatchData[Team],MatchData[[#This Row],[Team]],MatchData[Cheval Available])</f>
        <v>1</v>
      </c>
      <c r="CF10" s="14">
        <f>SUMIF(MatchData[Team],MatchData[[#This Row],[Team]],MatchData[Moat Available])</f>
        <v>1</v>
      </c>
      <c r="CG10" s="14">
        <f>SUMIF(MatchData[Team],MatchData[[#This Row],[Team]],MatchData[Ramparts Available])</f>
        <v>5</v>
      </c>
      <c r="CH10" s="14">
        <f>SUMIF(MatchData[Team],MatchData[[#This Row],[Team]],MatchData[Drawbridge Available])</f>
        <v>3</v>
      </c>
      <c r="CI10" s="14">
        <f>SUMIF(MatchData[Team],MatchData[[#This Row],[Team]],MatchData[Sally Port Available])</f>
        <v>3</v>
      </c>
      <c r="CJ10" s="14">
        <f>SUMIF(MatchData[Team],MatchData[[#This Row],[Team]],MatchData[Rock Wall Available])</f>
        <v>3</v>
      </c>
      <c r="CK10" s="14">
        <f>SUMIF(MatchData[Team],MatchData[[#This Row],[Team]],MatchData[Rough Terrain Available])</f>
        <v>3</v>
      </c>
      <c r="CL10" s="14">
        <f>SUMIF(MatchData[Team],MatchData[[#This Row],[Team]],MatchData[Low Bar Available])</f>
        <v>6</v>
      </c>
      <c r="CM10" s="14">
        <f ca="1">SUMIF(MatchData[Team],MatchData[[#This Row],[Team]],MatchData[Portcullis Teleop Crossings])</f>
        <v>0</v>
      </c>
      <c r="CN10" s="14">
        <f ca="1">SUMIF(MatchData[Team],MatchData[[#This Row],[Team]],MatchData[Cheval Teleop Crossings])</f>
        <v>0</v>
      </c>
      <c r="CO10" s="14">
        <f ca="1">SUMIF(MatchData[Team],MatchData[[#This Row],[Team]],MatchData[Moat Teleop Crossings])</f>
        <v>0</v>
      </c>
      <c r="CP10" s="14">
        <f ca="1">SUMIF(MatchData[Team],MatchData[[#This Row],[Team]],MatchData[Ramparts Teleop Crossings])</f>
        <v>5</v>
      </c>
      <c r="CQ10" s="14">
        <f ca="1">SUMIF(MatchData[Team],MatchData[[#This Row],[Team]],MatchData[Drawbridge Teleop Crossings])</f>
        <v>0</v>
      </c>
      <c r="CR10" s="14">
        <f ca="1">SUMIF(MatchData[Team],MatchData[[#This Row],[Team]],MatchData[Sally Port Teleop Crossings])</f>
        <v>0</v>
      </c>
      <c r="CS10" s="14">
        <f ca="1">SUMIF(MatchData[Team],MatchData[[#This Row],[Team]],MatchData[Rock Wall Teleop Crossings])</f>
        <v>2</v>
      </c>
      <c r="CT10" s="14">
        <f ca="1">SUMIF(MatchData[Team],MatchData[[#This Row],[Team]],MatchData[Rough Terrain Teleop Crossings])</f>
        <v>4</v>
      </c>
      <c r="CU10" s="14">
        <f ca="1">SUMIF(MatchData[Team],MatchData[[#This Row],[Team]],MatchData[Low Bar Teleop Crossings])</f>
        <v>6</v>
      </c>
      <c r="CV10" s="14">
        <f ca="1">IFERROR(ROUND(MatchData[[#This Row],[Portcullis Sum]]/MatchData[[#This Row],[Portcullis Avail Count]],2),0)</f>
        <v>0</v>
      </c>
      <c r="CW10">
        <f ca="1">IFERROR(ROUND(MatchData[[#This Row],[Cheval Sum]]/MatchData[[#This Row],[Cheval Avail Count]],2),0)</f>
        <v>0</v>
      </c>
      <c r="CX10">
        <f ca="1">IFERROR(ROUND(MatchData[[#This Row],[Moat Sum]]/MatchData[[#This Row],[Moat Avail Count]],2),0)</f>
        <v>0</v>
      </c>
      <c r="CY10">
        <f ca="1">IFERROR(ROUND(MatchData[[#This Row],[Ramparts Sum]]/MatchData[[#This Row],[Ramparts Avail Count]],2),0)</f>
        <v>1</v>
      </c>
      <c r="CZ10">
        <f ca="1">IFERROR(ROUND(MatchData[[#This Row],[Drawbridge Sum]]/MatchData[[#This Row],[Drawbridge HAvail Countigh6]],2),0)</f>
        <v>0</v>
      </c>
      <c r="DA10">
        <f ca="1">IFERROR(ROUND(MatchData[[#This Row],[Sally Port Sum]]/MatchData[[#This Row],[Sally Port Avail Count]],2),0)</f>
        <v>0</v>
      </c>
      <c r="DB10">
        <f ca="1">IFERROR(ROUND(MatchData[[#This Row],[Rock Wall Sum]]/MatchData[[#This Row],[Rock Wall Avail Count]],2),0)</f>
        <v>0.67</v>
      </c>
      <c r="DC10">
        <f ca="1">IFERROR(ROUND(MatchData[[#This Row],[Rough Terrain Sum]]/MatchData[[#This Row],[Rough Terrain Avail Count]],2),0)</f>
        <v>1.33</v>
      </c>
      <c r="DD10">
        <f ca="1">IFERROR(ROUND(MatchData[[#This Row],[Low Bar Sum]]/MatchData[[#This Row],[Low Bar Avail Count]],2),0)</f>
        <v>1</v>
      </c>
      <c r="DE10" s="14">
        <f t="array" aca="1" ref="DE10" ca="1">MAX(IF(C$4:C$75=C10,BE$4:BE$75))</f>
        <v>4</v>
      </c>
      <c r="DF10" s="14">
        <f ca="1">AVERAGEIF(MatchData[Team],MatchData[Team],MatchData[Total Score])</f>
        <v>25.5</v>
      </c>
      <c r="DG10" s="14">
        <f ca="1">ROUND(AVERAGEIF(MatchData[Team],MatchData[Team],MatchData[Climb or Challenge Flag]),2)</f>
        <v>0.67</v>
      </c>
    </row>
    <row r="11" spans="1:111">
      <c r="A11" t="s">
        <v>54</v>
      </c>
      <c r="B11" s="4">
        <v>3</v>
      </c>
      <c r="C11">
        <v>1002</v>
      </c>
      <c r="D11" t="s">
        <v>55</v>
      </c>
      <c r="E11" t="s">
        <v>63</v>
      </c>
      <c r="F11">
        <f ca="1">IF(MatchData[[#This Row],[Persona]] = 4,RANDBETWEEN(0,1),0)</f>
        <v>0</v>
      </c>
      <c r="G11">
        <f ca="1">IF(MatchData[[#This Row],[Persona]] = 3,RANDBETWEEN(0,1),0)</f>
        <v>0</v>
      </c>
      <c r="H11">
        <f ca="1">RANDBETWEEN(MatchData[[#This Row],[High Goal Low]],MatchData[[#This Row],[High Goal High]])</f>
        <v>0</v>
      </c>
      <c r="I11">
        <f ca="1">RANDBETWEEN(MatchData[[#This Row],[Low Goal Low]],MatchData[[#This Row],[Low Goal High]])</f>
        <v>4</v>
      </c>
      <c r="J11" s="6">
        <v>1</v>
      </c>
      <c r="K11" s="6"/>
      <c r="L11" s="6"/>
      <c r="M11" s="6">
        <v>1</v>
      </c>
      <c r="N11" s="6"/>
      <c r="O11" s="6">
        <v>1</v>
      </c>
      <c r="P11" s="6">
        <v>1</v>
      </c>
      <c r="Q11" s="5"/>
      <c r="R11" s="5">
        <v>1</v>
      </c>
      <c r="S11" s="5">
        <f ca="1">IF(MatchData[[#This Row],[Auto Crossing Test Generator]]=0,RANDBETWEEN(0,1),0)</f>
        <v>1</v>
      </c>
      <c r="T11" s="5">
        <f ca="1">IF(MatchData[Auto Crossing Test Generator]=1,1,0)</f>
        <v>0</v>
      </c>
      <c r="U11" s="5">
        <f ca="1">IF(MatchData[[#This Row],[Auto Crossing Test Generator]]=2,RANDBETWEEN(0,1),0)</f>
        <v>0</v>
      </c>
      <c r="V11" s="5">
        <f ca="1">IF(MatchData[[#This Row],[Auto Crossing Test Generator]]=3,RANDBETWEEN(0,1),0)</f>
        <v>0</v>
      </c>
      <c r="W11" s="5">
        <f ca="1">IF(MatchData[[#This Row],[Auto Crossing Test Generator]]=4,RANDBETWEEN(0,1),0)</f>
        <v>0</v>
      </c>
      <c r="X11" s="5">
        <f ca="1">IF(MatchData[[#This Row],[Auto Crossing Test Generator]]=5,RANDBETWEEN(0,1),0)</f>
        <v>0</v>
      </c>
      <c r="Y11" s="5">
        <f ca="1">IF(MatchData[[#This Row],[Auto Crossing Test Generator]]=6,RANDBETWEEN(0,1),0)</f>
        <v>0</v>
      </c>
      <c r="Z11" s="5">
        <f ca="1">IF(MatchData[[#This Row],[Auto Crossing Test Generator]]=7,RANDBETWEEN(0,1),0)</f>
        <v>0</v>
      </c>
      <c r="AA11" s="5">
        <f ca="1">IF(MatchData[[#This Row],[Auto Crossing Test Generator]]=8,RANDBETWEEN(0,1),0)</f>
        <v>0</v>
      </c>
      <c r="AB11" s="5">
        <f ca="1">IF(MatchData[[#This Row],[Auto Crossing Test Generator]]&gt;8,RANDBETWEEN(0,1),0)</f>
        <v>0</v>
      </c>
      <c r="AC11" s="5">
        <f ca="1">IF(MatchData[[#This Row],[Auto Crossing Test Generator]]=9,RANDBETWEEN(0,1),0)</f>
        <v>0</v>
      </c>
      <c r="AD11" s="5">
        <f ca="1">IF(MatchData[[#This Row],[Cheval Available]]=1,RANDBETWEEN(0,MatchData[[#This Row],[Cheval High]]),0)</f>
        <v>0</v>
      </c>
      <c r="AE11" s="5">
        <f ca="1">IF(MatchData[[#This Row],[Moat Available]]=1,RANDBETWEEN(0,MatchData[[#This Row],[Moat High]]),0)</f>
        <v>0</v>
      </c>
      <c r="AF11" s="5">
        <f ca="1">IF(MatchData[[#This Row],[Ramparts Available]]=1,RANDBETWEEN(0,MatchData[[#This Row],[Ramparts High]]),0)</f>
        <v>0</v>
      </c>
      <c r="AG11" s="5">
        <f ca="1">IF(MatchData[[#This Row],[Drawbridge Available]]=1,RANDBETWEEN(0,MatchData[[#This Row],[Drawbridge High]]),0)</f>
        <v>0</v>
      </c>
      <c r="AH11" s="5">
        <f ca="1">IF(MatchData[[#This Row],[Sally Port Available]]=1,RANDBETWEEN(0,MatchData[[#This Row],[Sally Port High]]),0)</f>
        <v>0</v>
      </c>
      <c r="AI11" s="5">
        <f ca="1">IF(MatchData[[#This Row],[Rock Wall Available]]=1,RANDBETWEEN(0,MatchData[[#This Row],[Rock Wall High]]),0)</f>
        <v>0</v>
      </c>
      <c r="AJ11" s="5">
        <f ca="1">IF(MatchData[[#This Row],[Rough Terrain Available]]=1,RANDBETWEEN(0,MatchData[[#This Row],[Rough Terrain High]]),0)</f>
        <v>0</v>
      </c>
      <c r="AK11" s="5">
        <f ca="1">IF(MatchData[[#This Row],[Low Bar Available]]=1,RANDBETWEEN(0,MatchData[[#This Row],[Low Bar High]]),0)</f>
        <v>1</v>
      </c>
      <c r="AL11" s="5">
        <f ca="1">IF(MatchData[Cheval Teleop Crossings]&gt;3,10, MatchData[Cheval Teleop Crossings]*5)</f>
        <v>0</v>
      </c>
      <c r="AM11" s="5">
        <f ca="1">IF(MatchData[Moat Teleop Crossings]&gt;3,10, MatchData[Moat Teleop Crossings]*5)</f>
        <v>0</v>
      </c>
      <c r="AN11" s="5">
        <f ca="1">IF(MatchData[Ramparts Teleop Crossings]&gt;3,10, MatchData[Ramparts Teleop Crossings]*5)</f>
        <v>0</v>
      </c>
      <c r="AO11" s="5">
        <f ca="1">IF(MatchData[Drawbridge Teleop Crossings]&gt;3,10, MatchData[Drawbridge Teleop Crossings]*5)</f>
        <v>0</v>
      </c>
      <c r="AP11" s="5">
        <f ca="1">IF(MatchData[Sally Port Teleop Crossings]&gt;3,10, MatchData[Sally Port Teleop Crossings]*5)</f>
        <v>0</v>
      </c>
      <c r="AQ11" s="5">
        <f ca="1">IF(MatchData[Rock Wall Teleop Crossings]&gt;3,10, MatchData[Rock Wall Teleop Crossings]*5)</f>
        <v>0</v>
      </c>
      <c r="AR11" s="5">
        <f ca="1">IF(MatchData[Rough Terrain Teleop Crossings]&gt;3,10, MatchData[Rough Terrain Teleop Crossings]*5)</f>
        <v>0</v>
      </c>
      <c r="AS11" s="5">
        <f ca="1">IF(MatchData[Low Bar Teleop Crossings]&gt;3,10, MatchData[Low Bar Teleop Crossings]*5)</f>
        <v>5</v>
      </c>
      <c r="AT11" s="5">
        <f ca="1">SUM(MatchData[[#This Row],[Portcullis Teleop Crossings]:[Low Bar Teleop Crossings]])</f>
        <v>1</v>
      </c>
      <c r="AU11" s="5">
        <f ca="1">IF(RANDBETWEEN(1,4)&gt;1,1,0)</f>
        <v>0</v>
      </c>
      <c r="AV11" s="5">
        <f ca="1">IF(MatchData[[#This Row],[Challenge Flag]]=1,0,IF(MatchData[[#This Row],[Climber]]=1,RANDBETWEEN(0,1),0))</f>
        <v>1</v>
      </c>
      <c r="AW11" s="5">
        <f ca="1">IF(MatchData[[#This Row],[Crossing Score]]&gt;=40,1,0)</f>
        <v>0</v>
      </c>
      <c r="AX11" s="5"/>
      <c r="AY11" s="5">
        <f ca="1">IF(RANDBETWEEN(1,100)&gt;95,1,0)</f>
        <v>0</v>
      </c>
      <c r="AZ11" s="5">
        <f ca="1">IF(RANDBETWEEN(1,100)&gt;80,1,0)</f>
        <v>0</v>
      </c>
      <c r="BA11" s="5">
        <f ca="1">IF(OR(MatchData[[#This Row],[Challenge Flag]],MatchData[[#This Row],[Climb Flag]]),1,0)</f>
        <v>1</v>
      </c>
      <c r="BB11" s="5">
        <f ca="1">MatchData[Auto High Goals]*10+MatchData[Teleop High Goals]*5</f>
        <v>0</v>
      </c>
      <c r="BC11" s="5">
        <f ca="1">MatchData[Auto Low Goals]*5+MatchData[Teleop Low Goals]*2</f>
        <v>8</v>
      </c>
      <c r="BD11" s="5">
        <f ca="1">MatchData[High Goal Score]+MatchData[Low Goal Score]</f>
        <v>8</v>
      </c>
      <c r="BE11" s="5">
        <f ca="1">MatchData[Teleop High Goals]+MatchData[Teleop Low Goals]</f>
        <v>4</v>
      </c>
      <c r="BF11" s="5">
        <f ca="1">MatchData[[#This Row],[Auto Reach Flag]]*2+SUM(MatchData[[#This Row],[Portcullis Auto Crossings]:[Low Bar Auto Crossings]])*10+MatchData[[#This Row],[Auto Low Goals]]*5+MatchData[Auto High Goals]*10</f>
        <v>2</v>
      </c>
      <c r="BG11" s="5">
        <f ca="1">SUM(MatchData[[#This Row],[Cheval Scored Teleop Crossings]:[Low Bar Scored Teleop Crossings]])</f>
        <v>5</v>
      </c>
      <c r="BH11" s="5">
        <f ca="1">MatchData[Challenge Flag]*5</f>
        <v>0</v>
      </c>
      <c r="BI11" s="5">
        <f ca="1">MatchData[Climb Flag]*15</f>
        <v>15</v>
      </c>
      <c r="BJ11" s="5">
        <f ca="1">SUM(MatchData[[#This Row],[Total Goal Score]],MatchData[[#This Row],[Crossing Score]],MatchData[[#This Row],[Challenge Score]],MatchData[[#This Row],[Climb Score]],MatchData[[#This Row],[Total Auto Score]])</f>
        <v>30</v>
      </c>
      <c r="BK11">
        <v>2</v>
      </c>
      <c r="BL11" s="5">
        <f ca="1">IF(RANDBETWEEN(0,10)&gt;=9,RANDBETWEEN(1,9),0)</f>
        <v>0</v>
      </c>
      <c r="BM11" s="5">
        <f>VLOOKUP(MatchData[[#This Row],[Persona]],Personas!$A$2:$O$5,3)</f>
        <v>1</v>
      </c>
      <c r="BN11" s="13">
        <f>VLOOKUP(MatchData[[#This Row],[Persona]],Personas!$A$2:$P$5,4)</f>
        <v>4</v>
      </c>
      <c r="BO11" s="13">
        <f>VLOOKUP(MatchData[[#This Row],[Persona]],Personas!$A$2:$P$5,5)</f>
        <v>0</v>
      </c>
      <c r="BP11" s="13">
        <f>VLOOKUP(MatchData[[#This Row],[Persona]],Personas!$A$2:$P$5,6)</f>
        <v>0</v>
      </c>
      <c r="BQ11" s="13">
        <f>VLOOKUP(MatchData[[#This Row],[Persona]],Personas!$A$2:$P$5,7)</f>
        <v>0</v>
      </c>
      <c r="BR11" s="13">
        <f>VLOOKUP(MatchData[[#This Row],[Persona]],Personas!$A$2:$P$5,8)</f>
        <v>0</v>
      </c>
      <c r="BS11" s="13">
        <f>VLOOKUP(MatchData[[#This Row],[Persona]],Personas!$A$2:$P$5,9)</f>
        <v>2</v>
      </c>
      <c r="BT11" s="13">
        <f>VLOOKUP(MatchData[[#This Row],[Persona]],Personas!$A$2:$P$5,10)</f>
        <v>2</v>
      </c>
      <c r="BU11" s="13">
        <f>VLOOKUP(MatchData[[#This Row],[Persona]],Personas!$A$2:$P$5,11)</f>
        <v>0</v>
      </c>
      <c r="BV11" s="13">
        <f>VLOOKUP(MatchData[[#This Row],[Persona]],Personas!$A$2:$P$5,12)</f>
        <v>0</v>
      </c>
      <c r="BW11" s="13">
        <f>VLOOKUP(MatchData[[#This Row],[Persona]],Personas!$A$2:$P$5,13)</f>
        <v>2</v>
      </c>
      <c r="BX11" s="13">
        <f>VLOOKUP(MatchData[[#This Row],[Persona]],Personas!$A$2:$P$5,14)</f>
        <v>2</v>
      </c>
      <c r="BY11" s="13">
        <f>VLOOKUP(MatchData[[#This Row],[Persona]],Personas!$A$2:$P$5,15)</f>
        <v>2</v>
      </c>
      <c r="BZ11" s="13">
        <f>VLOOKUP(MatchData[[#This Row],[Persona]],Personas!$A$2:$P$5,16)</f>
        <v>1</v>
      </c>
      <c r="CA11" s="14">
        <f ca="1">ROUND(SUMIF(MatchData[Team],MatchData[[#This Row],[Team]],MatchData[Teleop Low Goals])/COUNTIF(MatchData[Team],MatchData[[#This Row],[Team]]),2)</f>
        <v>2.67</v>
      </c>
      <c r="CB11" s="14">
        <f ca="1">ROUND(SUMIF(MatchData[Team],MatchData[[#This Row],[Team]],MatchData[Teleop High Goals])/COUNTIF(MatchData[Team],MatchData[[#This Row],[Team]]),2)</f>
        <v>0</v>
      </c>
      <c r="CC11" s="14">
        <f>COUNTIF(MatchData[Team],MatchData[[#This Row],[Team]])</f>
        <v>6</v>
      </c>
      <c r="CD11" s="14">
        <f>SUMIF(MatchData[Team],MatchData[[#This Row],[Team]],MatchData[Portcullis Available])</f>
        <v>5</v>
      </c>
      <c r="CE11" s="14">
        <f>SUMIF(MatchData[Team],MatchData[[#This Row],[Team]],MatchData[Cheval Available])</f>
        <v>1</v>
      </c>
      <c r="CF11" s="14">
        <f>SUMIF(MatchData[Team],MatchData[[#This Row],[Team]],MatchData[Moat Available])</f>
        <v>1</v>
      </c>
      <c r="CG11" s="14">
        <f>SUMIF(MatchData[Team],MatchData[[#This Row],[Team]],MatchData[Ramparts Available])</f>
        <v>5</v>
      </c>
      <c r="CH11" s="14">
        <f>SUMIF(MatchData[Team],MatchData[[#This Row],[Team]],MatchData[Drawbridge Available])</f>
        <v>3</v>
      </c>
      <c r="CI11" s="14">
        <f>SUMIF(MatchData[Team],MatchData[[#This Row],[Team]],MatchData[Sally Port Available])</f>
        <v>3</v>
      </c>
      <c r="CJ11" s="14">
        <f>SUMIF(MatchData[Team],MatchData[[#This Row],[Team]],MatchData[Rock Wall Available])</f>
        <v>3</v>
      </c>
      <c r="CK11" s="14">
        <f>SUMIF(MatchData[Team],MatchData[[#This Row],[Team]],MatchData[Rough Terrain Available])</f>
        <v>3</v>
      </c>
      <c r="CL11" s="14">
        <f>SUMIF(MatchData[Team],MatchData[[#This Row],[Team]],MatchData[Low Bar Available])</f>
        <v>6</v>
      </c>
      <c r="CM11" s="14">
        <f ca="1">SUMIF(MatchData[Team],MatchData[[#This Row],[Team]],MatchData[Portcullis Teleop Crossings])</f>
        <v>0</v>
      </c>
      <c r="CN11" s="14">
        <f ca="1">SUMIF(MatchData[Team],MatchData[[#This Row],[Team]],MatchData[Cheval Teleop Crossings])</f>
        <v>0</v>
      </c>
      <c r="CO11" s="14">
        <f ca="1">SUMIF(MatchData[Team],MatchData[[#This Row],[Team]],MatchData[Moat Teleop Crossings])</f>
        <v>0</v>
      </c>
      <c r="CP11" s="14">
        <f ca="1">SUMIF(MatchData[Team],MatchData[[#This Row],[Team]],MatchData[Ramparts Teleop Crossings])</f>
        <v>5</v>
      </c>
      <c r="CQ11" s="14">
        <f ca="1">SUMIF(MatchData[Team],MatchData[[#This Row],[Team]],MatchData[Drawbridge Teleop Crossings])</f>
        <v>0</v>
      </c>
      <c r="CR11" s="14">
        <f ca="1">SUMIF(MatchData[Team],MatchData[[#This Row],[Team]],MatchData[Sally Port Teleop Crossings])</f>
        <v>0</v>
      </c>
      <c r="CS11" s="14">
        <f ca="1">SUMIF(MatchData[Team],MatchData[[#This Row],[Team]],MatchData[Rock Wall Teleop Crossings])</f>
        <v>2</v>
      </c>
      <c r="CT11" s="14">
        <f ca="1">SUMIF(MatchData[Team],MatchData[[#This Row],[Team]],MatchData[Rough Terrain Teleop Crossings])</f>
        <v>4</v>
      </c>
      <c r="CU11" s="14">
        <f ca="1">SUMIF(MatchData[Team],MatchData[[#This Row],[Team]],MatchData[Low Bar Teleop Crossings])</f>
        <v>6</v>
      </c>
      <c r="CV11" s="14">
        <f ca="1">IFERROR(ROUND(MatchData[[#This Row],[Portcullis Sum]]/MatchData[[#This Row],[Portcullis Avail Count]],2),0)</f>
        <v>0</v>
      </c>
      <c r="CW11">
        <f ca="1">IFERROR(ROUND(MatchData[[#This Row],[Cheval Sum]]/MatchData[[#This Row],[Cheval Avail Count]],2),0)</f>
        <v>0</v>
      </c>
      <c r="CX11">
        <f ca="1">IFERROR(ROUND(MatchData[[#This Row],[Moat Sum]]/MatchData[[#This Row],[Moat Avail Count]],2),0)</f>
        <v>0</v>
      </c>
      <c r="CY11">
        <f ca="1">IFERROR(ROUND(MatchData[[#This Row],[Ramparts Sum]]/MatchData[[#This Row],[Ramparts Avail Count]],2),0)</f>
        <v>1</v>
      </c>
      <c r="CZ11">
        <f ca="1">IFERROR(ROUND(MatchData[[#This Row],[Drawbridge Sum]]/MatchData[[#This Row],[Drawbridge HAvail Countigh6]],2),0)</f>
        <v>0</v>
      </c>
      <c r="DA11">
        <f ca="1">IFERROR(ROUND(MatchData[[#This Row],[Sally Port Sum]]/MatchData[[#This Row],[Sally Port Avail Count]],2),0)</f>
        <v>0</v>
      </c>
      <c r="DB11">
        <f ca="1">IFERROR(ROUND(MatchData[[#This Row],[Rock Wall Sum]]/MatchData[[#This Row],[Rock Wall Avail Count]],2),0)</f>
        <v>0.67</v>
      </c>
      <c r="DC11">
        <f ca="1">IFERROR(ROUND(MatchData[[#This Row],[Rough Terrain Sum]]/MatchData[[#This Row],[Rough Terrain Avail Count]],2),0)</f>
        <v>1.33</v>
      </c>
      <c r="DD11">
        <f ca="1">IFERROR(ROUND(MatchData[[#This Row],[Low Bar Sum]]/MatchData[[#This Row],[Low Bar Avail Count]],2),0)</f>
        <v>1</v>
      </c>
      <c r="DE11" s="14">
        <f t="array" aca="1" ref="DE11" ca="1">MAX(IF(C$4:C$75=C11,BE$4:BE$75))</f>
        <v>4</v>
      </c>
      <c r="DF11" s="14">
        <f ca="1">AVERAGEIF(MatchData[Team],MatchData[Team],MatchData[Total Score])</f>
        <v>25.5</v>
      </c>
      <c r="DG11" s="14">
        <f ca="1">ROUND(AVERAGEIF(MatchData[Team],MatchData[Team],MatchData[Climb or Challenge Flag]),2)</f>
        <v>0.67</v>
      </c>
    </row>
    <row r="12" spans="1:111">
      <c r="A12" t="s">
        <v>54</v>
      </c>
      <c r="B12" s="4">
        <v>5</v>
      </c>
      <c r="C12">
        <v>1002</v>
      </c>
      <c r="D12" t="s">
        <v>56</v>
      </c>
      <c r="E12" t="s">
        <v>60</v>
      </c>
      <c r="F12">
        <f ca="1">IF(MatchData[[#This Row],[Persona]] = 4,RANDBETWEEN(0,1),0)</f>
        <v>0</v>
      </c>
      <c r="G12">
        <f ca="1">IF(MatchData[[#This Row],[Persona]] = 3,RANDBETWEEN(0,1),0)</f>
        <v>0</v>
      </c>
      <c r="H12">
        <f ca="1">RANDBETWEEN(MatchData[[#This Row],[High Goal Low]],MatchData[[#This Row],[High Goal High]])</f>
        <v>0</v>
      </c>
      <c r="I12">
        <f ca="1">RANDBETWEEN(MatchData[[#This Row],[Low Goal Low]],MatchData[[#This Row],[Low Goal High]])</f>
        <v>3</v>
      </c>
      <c r="J12" s="6">
        <v>1</v>
      </c>
      <c r="K12" s="6"/>
      <c r="L12" s="6"/>
      <c r="M12" s="6">
        <v>1</v>
      </c>
      <c r="N12" s="6">
        <v>1</v>
      </c>
      <c r="O12" s="6"/>
      <c r="P12" s="6"/>
      <c r="Q12" s="5">
        <v>1</v>
      </c>
      <c r="R12" s="5">
        <v>1</v>
      </c>
      <c r="S12" s="5">
        <f ca="1">IF(MatchData[[#This Row],[Auto Crossing Test Generator]]=0,RANDBETWEEN(0,1),0)</f>
        <v>0</v>
      </c>
      <c r="T12" s="5">
        <f ca="1">IF(MatchData[Auto Crossing Test Generator]=1,1,0)</f>
        <v>0</v>
      </c>
      <c r="U12" s="5">
        <f ca="1">IF(MatchData[[#This Row],[Auto Crossing Test Generator]]=2,RANDBETWEEN(0,1),0)</f>
        <v>0</v>
      </c>
      <c r="V12" s="5">
        <f ca="1">IF(MatchData[[#This Row],[Auto Crossing Test Generator]]=3,RANDBETWEEN(0,1),0)</f>
        <v>0</v>
      </c>
      <c r="W12" s="5">
        <f ca="1">IF(MatchData[[#This Row],[Auto Crossing Test Generator]]=4,RANDBETWEEN(0,1),0)</f>
        <v>0</v>
      </c>
      <c r="X12" s="5">
        <f ca="1">IF(MatchData[[#This Row],[Auto Crossing Test Generator]]=5,RANDBETWEEN(0,1),0)</f>
        <v>0</v>
      </c>
      <c r="Y12" s="5">
        <f ca="1">IF(MatchData[[#This Row],[Auto Crossing Test Generator]]=6,RANDBETWEEN(0,1),0)</f>
        <v>0</v>
      </c>
      <c r="Z12" s="5">
        <f ca="1">IF(MatchData[[#This Row],[Auto Crossing Test Generator]]=7,RANDBETWEEN(0,1),0)</f>
        <v>0</v>
      </c>
      <c r="AA12" s="5">
        <f ca="1">IF(MatchData[[#This Row],[Auto Crossing Test Generator]]=8,RANDBETWEEN(0,1),0)</f>
        <v>0</v>
      </c>
      <c r="AB12" s="5">
        <f ca="1">IF(MatchData[[#This Row],[Auto Crossing Test Generator]]&gt;8,RANDBETWEEN(0,1),0)</f>
        <v>0</v>
      </c>
      <c r="AC12" s="5">
        <f ca="1">IF(MatchData[[#This Row],[Auto Crossing Test Generator]]=9,RANDBETWEEN(0,1),0)</f>
        <v>0</v>
      </c>
      <c r="AD12" s="5">
        <f ca="1">IF(MatchData[[#This Row],[Cheval Available]]=1,RANDBETWEEN(0,MatchData[[#This Row],[Cheval High]]),0)</f>
        <v>0</v>
      </c>
      <c r="AE12" s="5">
        <f ca="1">IF(MatchData[[#This Row],[Moat Available]]=1,RANDBETWEEN(0,MatchData[[#This Row],[Moat High]]),0)</f>
        <v>0</v>
      </c>
      <c r="AF12" s="5">
        <f ca="1">IF(MatchData[[#This Row],[Ramparts Available]]=1,RANDBETWEEN(0,MatchData[[#This Row],[Ramparts High]]),0)</f>
        <v>0</v>
      </c>
      <c r="AG12" s="5">
        <f ca="1">IF(MatchData[[#This Row],[Drawbridge Available]]=1,RANDBETWEEN(0,MatchData[[#This Row],[Drawbridge High]]),0)</f>
        <v>0</v>
      </c>
      <c r="AH12" s="5">
        <f ca="1">IF(MatchData[[#This Row],[Sally Port Available]]=1,RANDBETWEEN(0,MatchData[[#This Row],[Sally Port High]]),0)</f>
        <v>0</v>
      </c>
      <c r="AI12" s="5">
        <f ca="1">IF(MatchData[[#This Row],[Rock Wall Available]]=1,RANDBETWEEN(0,MatchData[[#This Row],[Rock Wall High]]),0)</f>
        <v>0</v>
      </c>
      <c r="AJ12" s="5">
        <f ca="1">IF(MatchData[[#This Row],[Rough Terrain Available]]=1,RANDBETWEEN(0,MatchData[[#This Row],[Rough Terrain High]]),0)</f>
        <v>1</v>
      </c>
      <c r="AK12" s="5">
        <f ca="1">IF(MatchData[[#This Row],[Low Bar Available]]=1,RANDBETWEEN(0,MatchData[[#This Row],[Low Bar High]]),0)</f>
        <v>1</v>
      </c>
      <c r="AL12" s="5">
        <f ca="1">IF(MatchData[Cheval Teleop Crossings]&gt;3,10, MatchData[Cheval Teleop Crossings]*5)</f>
        <v>0</v>
      </c>
      <c r="AM12" s="5">
        <f ca="1">IF(MatchData[Moat Teleop Crossings]&gt;3,10, MatchData[Moat Teleop Crossings]*5)</f>
        <v>0</v>
      </c>
      <c r="AN12" s="5">
        <f ca="1">IF(MatchData[Ramparts Teleop Crossings]&gt;3,10, MatchData[Ramparts Teleop Crossings]*5)</f>
        <v>0</v>
      </c>
      <c r="AO12" s="5">
        <f ca="1">IF(MatchData[Drawbridge Teleop Crossings]&gt;3,10, MatchData[Drawbridge Teleop Crossings]*5)</f>
        <v>0</v>
      </c>
      <c r="AP12" s="5">
        <f ca="1">IF(MatchData[Sally Port Teleop Crossings]&gt;3,10, MatchData[Sally Port Teleop Crossings]*5)</f>
        <v>0</v>
      </c>
      <c r="AQ12" s="5">
        <f ca="1">IF(MatchData[Rock Wall Teleop Crossings]&gt;3,10, MatchData[Rock Wall Teleop Crossings]*5)</f>
        <v>0</v>
      </c>
      <c r="AR12" s="5">
        <f ca="1">IF(MatchData[Rough Terrain Teleop Crossings]&gt;3,10, MatchData[Rough Terrain Teleop Crossings]*5)</f>
        <v>5</v>
      </c>
      <c r="AS12" s="5">
        <f ca="1">IF(MatchData[Low Bar Teleop Crossings]&gt;3,10, MatchData[Low Bar Teleop Crossings]*5)</f>
        <v>5</v>
      </c>
      <c r="AT12" s="5">
        <f ca="1">SUM(MatchData[[#This Row],[Portcullis Teleop Crossings]:[Low Bar Teleop Crossings]])</f>
        <v>2</v>
      </c>
      <c r="AU12" s="5">
        <f ca="1">IF(RANDBETWEEN(1,4)&gt;1,1,0)</f>
        <v>0</v>
      </c>
      <c r="AV12" s="5">
        <f ca="1">IF(MatchData[[#This Row],[Challenge Flag]]=1,0,IF(MatchData[[#This Row],[Climber]]=1,RANDBETWEEN(0,1),0))</f>
        <v>0</v>
      </c>
      <c r="AW12" s="5">
        <f ca="1">IF(MatchData[[#This Row],[Crossing Score]]&gt;=40,1,0)</f>
        <v>0</v>
      </c>
      <c r="AX12" s="5"/>
      <c r="AY12" s="5">
        <f ca="1">IF(RANDBETWEEN(1,100)&gt;95,1,0)</f>
        <v>0</v>
      </c>
      <c r="AZ12" s="5">
        <f ca="1">IF(RANDBETWEEN(1,100)&gt;80,1,0)</f>
        <v>0</v>
      </c>
      <c r="BA12" s="5">
        <f ca="1">IF(OR(MatchData[[#This Row],[Challenge Flag]],MatchData[[#This Row],[Climb Flag]]),1,0)</f>
        <v>0</v>
      </c>
      <c r="BB12" s="5">
        <f ca="1">MatchData[Auto High Goals]*10+MatchData[Teleop High Goals]*5</f>
        <v>0</v>
      </c>
      <c r="BC12" s="5">
        <f ca="1">MatchData[Auto Low Goals]*5+MatchData[Teleop Low Goals]*2</f>
        <v>6</v>
      </c>
      <c r="BD12" s="5">
        <f ca="1">MatchData[High Goal Score]+MatchData[Low Goal Score]</f>
        <v>6</v>
      </c>
      <c r="BE12" s="5">
        <f ca="1">MatchData[Teleop High Goals]+MatchData[Teleop Low Goals]</f>
        <v>3</v>
      </c>
      <c r="BF12" s="5">
        <f ca="1">MatchData[[#This Row],[Auto Reach Flag]]*2+SUM(MatchData[[#This Row],[Portcullis Auto Crossings]:[Low Bar Auto Crossings]])*10+MatchData[[#This Row],[Auto Low Goals]]*5+MatchData[Auto High Goals]*10</f>
        <v>0</v>
      </c>
      <c r="BG12" s="5">
        <f ca="1">SUM(MatchData[[#This Row],[Cheval Scored Teleop Crossings]:[Low Bar Scored Teleop Crossings]])</f>
        <v>10</v>
      </c>
      <c r="BH12" s="5">
        <f ca="1">MatchData[Challenge Flag]*5</f>
        <v>0</v>
      </c>
      <c r="BI12" s="5">
        <f ca="1">MatchData[Climb Flag]*15</f>
        <v>0</v>
      </c>
      <c r="BJ12" s="5">
        <f ca="1">SUM(MatchData[[#This Row],[Total Goal Score]],MatchData[[#This Row],[Crossing Score]],MatchData[[#This Row],[Challenge Score]],MatchData[[#This Row],[Climb Score]],MatchData[[#This Row],[Total Auto Score]])</f>
        <v>16</v>
      </c>
      <c r="BK12">
        <v>2</v>
      </c>
      <c r="BL12" s="5">
        <f ca="1">IF(RANDBETWEEN(0,10)&gt;=9,RANDBETWEEN(1,9),0)</f>
        <v>0</v>
      </c>
      <c r="BM12" s="5">
        <f>VLOOKUP(MatchData[[#This Row],[Persona]],Personas!$A$2:$O$5,3)</f>
        <v>1</v>
      </c>
      <c r="BN12" s="13">
        <f>VLOOKUP(MatchData[[#This Row],[Persona]],Personas!$A$2:$P$5,4)</f>
        <v>4</v>
      </c>
      <c r="BO12" s="13">
        <f>VLOOKUP(MatchData[[#This Row],[Persona]],Personas!$A$2:$P$5,5)</f>
        <v>0</v>
      </c>
      <c r="BP12" s="13">
        <f>VLOOKUP(MatchData[[#This Row],[Persona]],Personas!$A$2:$P$5,6)</f>
        <v>0</v>
      </c>
      <c r="BQ12" s="13">
        <f>VLOOKUP(MatchData[[#This Row],[Persona]],Personas!$A$2:$P$5,7)</f>
        <v>0</v>
      </c>
      <c r="BR12" s="13">
        <f>VLOOKUP(MatchData[[#This Row],[Persona]],Personas!$A$2:$P$5,8)</f>
        <v>0</v>
      </c>
      <c r="BS12" s="13">
        <f>VLOOKUP(MatchData[[#This Row],[Persona]],Personas!$A$2:$P$5,9)</f>
        <v>2</v>
      </c>
      <c r="BT12" s="13">
        <f>VLOOKUP(MatchData[[#This Row],[Persona]],Personas!$A$2:$P$5,10)</f>
        <v>2</v>
      </c>
      <c r="BU12" s="13">
        <f>VLOOKUP(MatchData[[#This Row],[Persona]],Personas!$A$2:$P$5,11)</f>
        <v>0</v>
      </c>
      <c r="BV12" s="13">
        <f>VLOOKUP(MatchData[[#This Row],[Persona]],Personas!$A$2:$P$5,12)</f>
        <v>0</v>
      </c>
      <c r="BW12" s="13">
        <f>VLOOKUP(MatchData[[#This Row],[Persona]],Personas!$A$2:$P$5,13)</f>
        <v>2</v>
      </c>
      <c r="BX12" s="13">
        <f>VLOOKUP(MatchData[[#This Row],[Persona]],Personas!$A$2:$P$5,14)</f>
        <v>2</v>
      </c>
      <c r="BY12" s="13">
        <f>VLOOKUP(MatchData[[#This Row],[Persona]],Personas!$A$2:$P$5,15)</f>
        <v>2</v>
      </c>
      <c r="BZ12" s="13">
        <f>VLOOKUP(MatchData[[#This Row],[Persona]],Personas!$A$2:$P$5,16)</f>
        <v>1</v>
      </c>
      <c r="CA12" s="14">
        <f ca="1">ROUND(SUMIF(MatchData[Team],MatchData[[#This Row],[Team]],MatchData[Teleop Low Goals])/COUNTIF(MatchData[Team],MatchData[[#This Row],[Team]]),2)</f>
        <v>2.67</v>
      </c>
      <c r="CB12" s="14">
        <f ca="1">ROUND(SUMIF(MatchData[Team],MatchData[[#This Row],[Team]],MatchData[Teleop High Goals])/COUNTIF(MatchData[Team],MatchData[[#This Row],[Team]]),2)</f>
        <v>0</v>
      </c>
      <c r="CC12" s="14">
        <f>COUNTIF(MatchData[Team],MatchData[[#This Row],[Team]])</f>
        <v>6</v>
      </c>
      <c r="CD12" s="14">
        <f>SUMIF(MatchData[Team],MatchData[[#This Row],[Team]],MatchData[Portcullis Available])</f>
        <v>5</v>
      </c>
      <c r="CE12" s="14">
        <f>SUMIF(MatchData[Team],MatchData[[#This Row],[Team]],MatchData[Cheval Available])</f>
        <v>1</v>
      </c>
      <c r="CF12" s="14">
        <f>SUMIF(MatchData[Team],MatchData[[#This Row],[Team]],MatchData[Moat Available])</f>
        <v>1</v>
      </c>
      <c r="CG12" s="14">
        <f>SUMIF(MatchData[Team],MatchData[[#This Row],[Team]],MatchData[Ramparts Available])</f>
        <v>5</v>
      </c>
      <c r="CH12" s="14">
        <f>SUMIF(MatchData[Team],MatchData[[#This Row],[Team]],MatchData[Drawbridge Available])</f>
        <v>3</v>
      </c>
      <c r="CI12" s="14">
        <f>SUMIF(MatchData[Team],MatchData[[#This Row],[Team]],MatchData[Sally Port Available])</f>
        <v>3</v>
      </c>
      <c r="CJ12" s="14">
        <f>SUMIF(MatchData[Team],MatchData[[#This Row],[Team]],MatchData[Rock Wall Available])</f>
        <v>3</v>
      </c>
      <c r="CK12" s="14">
        <f>SUMIF(MatchData[Team],MatchData[[#This Row],[Team]],MatchData[Rough Terrain Available])</f>
        <v>3</v>
      </c>
      <c r="CL12" s="14">
        <f>SUMIF(MatchData[Team],MatchData[[#This Row],[Team]],MatchData[Low Bar Available])</f>
        <v>6</v>
      </c>
      <c r="CM12" s="14">
        <f ca="1">SUMIF(MatchData[Team],MatchData[[#This Row],[Team]],MatchData[Portcullis Teleop Crossings])</f>
        <v>0</v>
      </c>
      <c r="CN12" s="14">
        <f ca="1">SUMIF(MatchData[Team],MatchData[[#This Row],[Team]],MatchData[Cheval Teleop Crossings])</f>
        <v>0</v>
      </c>
      <c r="CO12" s="14">
        <f ca="1">SUMIF(MatchData[Team],MatchData[[#This Row],[Team]],MatchData[Moat Teleop Crossings])</f>
        <v>0</v>
      </c>
      <c r="CP12" s="14">
        <f ca="1">SUMIF(MatchData[Team],MatchData[[#This Row],[Team]],MatchData[Ramparts Teleop Crossings])</f>
        <v>5</v>
      </c>
      <c r="CQ12" s="14">
        <f ca="1">SUMIF(MatchData[Team],MatchData[[#This Row],[Team]],MatchData[Drawbridge Teleop Crossings])</f>
        <v>0</v>
      </c>
      <c r="CR12" s="14">
        <f ca="1">SUMIF(MatchData[Team],MatchData[[#This Row],[Team]],MatchData[Sally Port Teleop Crossings])</f>
        <v>0</v>
      </c>
      <c r="CS12" s="14">
        <f ca="1">SUMIF(MatchData[Team],MatchData[[#This Row],[Team]],MatchData[Rock Wall Teleop Crossings])</f>
        <v>2</v>
      </c>
      <c r="CT12" s="14">
        <f ca="1">SUMIF(MatchData[Team],MatchData[[#This Row],[Team]],MatchData[Rough Terrain Teleop Crossings])</f>
        <v>4</v>
      </c>
      <c r="CU12" s="14">
        <f ca="1">SUMIF(MatchData[Team],MatchData[[#This Row],[Team]],MatchData[Low Bar Teleop Crossings])</f>
        <v>6</v>
      </c>
      <c r="CV12" s="14">
        <f ca="1">IFERROR(ROUND(MatchData[[#This Row],[Portcullis Sum]]/MatchData[[#This Row],[Portcullis Avail Count]],2),0)</f>
        <v>0</v>
      </c>
      <c r="CW12">
        <f ca="1">IFERROR(ROUND(MatchData[[#This Row],[Cheval Sum]]/MatchData[[#This Row],[Cheval Avail Count]],2),0)</f>
        <v>0</v>
      </c>
      <c r="CX12">
        <f ca="1">IFERROR(ROUND(MatchData[[#This Row],[Moat Sum]]/MatchData[[#This Row],[Moat Avail Count]],2),0)</f>
        <v>0</v>
      </c>
      <c r="CY12">
        <f ca="1">IFERROR(ROUND(MatchData[[#This Row],[Ramparts Sum]]/MatchData[[#This Row],[Ramparts Avail Count]],2),0)</f>
        <v>1</v>
      </c>
      <c r="CZ12">
        <f ca="1">IFERROR(ROUND(MatchData[[#This Row],[Drawbridge Sum]]/MatchData[[#This Row],[Drawbridge HAvail Countigh6]],2),0)</f>
        <v>0</v>
      </c>
      <c r="DA12">
        <f ca="1">IFERROR(ROUND(MatchData[[#This Row],[Sally Port Sum]]/MatchData[[#This Row],[Sally Port Avail Count]],2),0)</f>
        <v>0</v>
      </c>
      <c r="DB12">
        <f ca="1">IFERROR(ROUND(MatchData[[#This Row],[Rock Wall Sum]]/MatchData[[#This Row],[Rock Wall Avail Count]],2),0)</f>
        <v>0.67</v>
      </c>
      <c r="DC12">
        <f ca="1">IFERROR(ROUND(MatchData[[#This Row],[Rough Terrain Sum]]/MatchData[[#This Row],[Rough Terrain Avail Count]],2),0)</f>
        <v>1.33</v>
      </c>
      <c r="DD12">
        <f ca="1">IFERROR(ROUND(MatchData[[#This Row],[Low Bar Sum]]/MatchData[[#This Row],[Low Bar Avail Count]],2),0)</f>
        <v>1</v>
      </c>
      <c r="DE12" s="14">
        <f t="array" aca="1" ref="DE12" ca="1">MAX(IF(C$4:C$75=C12,BE$4:BE$75))</f>
        <v>4</v>
      </c>
      <c r="DF12" s="14">
        <f ca="1">AVERAGEIF(MatchData[Team],MatchData[Team],MatchData[Total Score])</f>
        <v>25.5</v>
      </c>
      <c r="DG12" s="14">
        <f ca="1">ROUND(AVERAGEIF(MatchData[Team],MatchData[Team],MatchData[Climb or Challenge Flag]),2)</f>
        <v>0.67</v>
      </c>
    </row>
    <row r="13" spans="1:111">
      <c r="A13" t="s">
        <v>54</v>
      </c>
      <c r="B13" s="4">
        <v>7</v>
      </c>
      <c r="C13">
        <v>1002</v>
      </c>
      <c r="D13" t="s">
        <v>56</v>
      </c>
      <c r="E13" t="s">
        <v>57</v>
      </c>
      <c r="F13">
        <f ca="1">IF(MatchData[[#This Row],[Persona]] = 4,RANDBETWEEN(0,1),0)</f>
        <v>0</v>
      </c>
      <c r="G13">
        <f ca="1">IF(MatchData[[#This Row],[Persona]] = 3,RANDBETWEEN(0,1),0)</f>
        <v>0</v>
      </c>
      <c r="H13">
        <f ca="1">RANDBETWEEN(MatchData[[#This Row],[High Goal Low]],MatchData[[#This Row],[High Goal High]])</f>
        <v>0</v>
      </c>
      <c r="I13">
        <f ca="1">RANDBETWEEN(MatchData[[#This Row],[Low Goal Low]],MatchData[[#This Row],[Low Goal High]])</f>
        <v>2</v>
      </c>
      <c r="J13" s="6">
        <v>1</v>
      </c>
      <c r="K13" s="6"/>
      <c r="L13" s="6"/>
      <c r="M13" s="6">
        <v>1</v>
      </c>
      <c r="N13" s="6"/>
      <c r="O13" s="6">
        <v>1</v>
      </c>
      <c r="P13" s="6">
        <v>1</v>
      </c>
      <c r="Q13" s="5"/>
      <c r="R13" s="5">
        <v>1</v>
      </c>
      <c r="S13" s="5">
        <f ca="1">IF(MatchData[[#This Row],[Auto Crossing Test Generator]]=0,RANDBETWEEN(0,1),0)</f>
        <v>0</v>
      </c>
      <c r="T13" s="5">
        <f ca="1">IF(MatchData[Auto Crossing Test Generator]=1,1,0)</f>
        <v>0</v>
      </c>
      <c r="U13" s="5">
        <f ca="1">IF(MatchData[[#This Row],[Auto Crossing Test Generator]]=2,RANDBETWEEN(0,1),0)</f>
        <v>0</v>
      </c>
      <c r="V13" s="5">
        <f ca="1">IF(MatchData[[#This Row],[Auto Crossing Test Generator]]=3,RANDBETWEEN(0,1),0)</f>
        <v>0</v>
      </c>
      <c r="W13" s="5">
        <f ca="1">IF(MatchData[[#This Row],[Auto Crossing Test Generator]]=4,RANDBETWEEN(0,1),0)</f>
        <v>0</v>
      </c>
      <c r="X13" s="5">
        <f ca="1">IF(MatchData[[#This Row],[Auto Crossing Test Generator]]=5,RANDBETWEEN(0,1),0)</f>
        <v>0</v>
      </c>
      <c r="Y13" s="5">
        <f ca="1">IF(MatchData[[#This Row],[Auto Crossing Test Generator]]=6,RANDBETWEEN(0,1),0)</f>
        <v>0</v>
      </c>
      <c r="Z13" s="5">
        <f ca="1">IF(MatchData[[#This Row],[Auto Crossing Test Generator]]=7,RANDBETWEEN(0,1),0)</f>
        <v>0</v>
      </c>
      <c r="AA13" s="5">
        <f ca="1">IF(MatchData[[#This Row],[Auto Crossing Test Generator]]=8,RANDBETWEEN(0,1),0)</f>
        <v>0</v>
      </c>
      <c r="AB13" s="5">
        <f ca="1">IF(MatchData[[#This Row],[Auto Crossing Test Generator]]&gt;8,RANDBETWEEN(0,1),0)</f>
        <v>0</v>
      </c>
      <c r="AC13" s="5">
        <f ca="1">IF(MatchData[[#This Row],[Auto Crossing Test Generator]]=9,RANDBETWEEN(0,1),0)</f>
        <v>0</v>
      </c>
      <c r="AD13" s="5">
        <f ca="1">IF(MatchData[[#This Row],[Cheval Available]]=1,RANDBETWEEN(0,MatchData[[#This Row],[Cheval High]]),0)</f>
        <v>0</v>
      </c>
      <c r="AE13" s="5">
        <f ca="1">IF(MatchData[[#This Row],[Moat Available]]=1,RANDBETWEEN(0,MatchData[[#This Row],[Moat High]]),0)</f>
        <v>0</v>
      </c>
      <c r="AF13" s="5">
        <f ca="1">IF(MatchData[[#This Row],[Ramparts Available]]=1,RANDBETWEEN(0,MatchData[[#This Row],[Ramparts High]]),0)</f>
        <v>1</v>
      </c>
      <c r="AG13" s="5">
        <f ca="1">IF(MatchData[[#This Row],[Drawbridge Available]]=1,RANDBETWEEN(0,MatchData[[#This Row],[Drawbridge High]]),0)</f>
        <v>0</v>
      </c>
      <c r="AH13" s="5">
        <f ca="1">IF(MatchData[[#This Row],[Sally Port Available]]=1,RANDBETWEEN(0,MatchData[[#This Row],[Sally Port High]]),0)</f>
        <v>0</v>
      </c>
      <c r="AI13" s="5">
        <f ca="1">IF(MatchData[[#This Row],[Rock Wall Available]]=1,RANDBETWEEN(0,MatchData[[#This Row],[Rock Wall High]]),0)</f>
        <v>1</v>
      </c>
      <c r="AJ13" s="5">
        <f ca="1">IF(MatchData[[#This Row],[Rough Terrain Available]]=1,RANDBETWEEN(0,MatchData[[#This Row],[Rough Terrain High]]),0)</f>
        <v>0</v>
      </c>
      <c r="AK13" s="5">
        <f ca="1">IF(MatchData[[#This Row],[Low Bar Available]]=1,RANDBETWEEN(0,MatchData[[#This Row],[Low Bar High]]),0)</f>
        <v>2</v>
      </c>
      <c r="AL13" s="5">
        <f ca="1">IF(MatchData[Cheval Teleop Crossings]&gt;3,10, MatchData[Cheval Teleop Crossings]*5)</f>
        <v>0</v>
      </c>
      <c r="AM13" s="5">
        <f ca="1">IF(MatchData[Moat Teleop Crossings]&gt;3,10, MatchData[Moat Teleop Crossings]*5)</f>
        <v>0</v>
      </c>
      <c r="AN13" s="5">
        <f ca="1">IF(MatchData[Ramparts Teleop Crossings]&gt;3,10, MatchData[Ramparts Teleop Crossings]*5)</f>
        <v>5</v>
      </c>
      <c r="AO13" s="5">
        <f ca="1">IF(MatchData[Drawbridge Teleop Crossings]&gt;3,10, MatchData[Drawbridge Teleop Crossings]*5)</f>
        <v>0</v>
      </c>
      <c r="AP13" s="5">
        <f ca="1">IF(MatchData[Sally Port Teleop Crossings]&gt;3,10, MatchData[Sally Port Teleop Crossings]*5)</f>
        <v>0</v>
      </c>
      <c r="AQ13" s="5">
        <f ca="1">IF(MatchData[Rock Wall Teleop Crossings]&gt;3,10, MatchData[Rock Wall Teleop Crossings]*5)</f>
        <v>5</v>
      </c>
      <c r="AR13" s="5">
        <f ca="1">IF(MatchData[Rough Terrain Teleop Crossings]&gt;3,10, MatchData[Rough Terrain Teleop Crossings]*5)</f>
        <v>0</v>
      </c>
      <c r="AS13" s="5">
        <f ca="1">IF(MatchData[Low Bar Teleop Crossings]&gt;3,10, MatchData[Low Bar Teleop Crossings]*5)</f>
        <v>10</v>
      </c>
      <c r="AT13" s="5">
        <f ca="1">SUM(MatchData[[#This Row],[Portcullis Teleop Crossings]:[Low Bar Teleop Crossings]])</f>
        <v>4</v>
      </c>
      <c r="AU13" s="5">
        <f ca="1">IF(RANDBETWEEN(1,4)&gt;1,1,0)</f>
        <v>0</v>
      </c>
      <c r="AV13" s="5">
        <f ca="1">IF(MatchData[[#This Row],[Challenge Flag]]=1,0,IF(MatchData[[#This Row],[Climber]]=1,RANDBETWEEN(0,1),0))</f>
        <v>0</v>
      </c>
      <c r="AW13" s="5">
        <f ca="1">IF(MatchData[[#This Row],[Crossing Score]]&gt;=40,1,0)</f>
        <v>0</v>
      </c>
      <c r="AX13" s="5"/>
      <c r="AY13" s="5">
        <f ca="1">IF(RANDBETWEEN(1,100)&gt;95,1,0)</f>
        <v>0</v>
      </c>
      <c r="AZ13" s="5">
        <f ca="1">IF(RANDBETWEEN(1,100)&gt;80,1,0)</f>
        <v>0</v>
      </c>
      <c r="BA13" s="5">
        <f ca="1">IF(OR(MatchData[[#This Row],[Challenge Flag]],MatchData[[#This Row],[Climb Flag]]),1,0)</f>
        <v>0</v>
      </c>
      <c r="BB13" s="5">
        <f ca="1">MatchData[Auto High Goals]*10+MatchData[Teleop High Goals]*5</f>
        <v>0</v>
      </c>
      <c r="BC13" s="5">
        <f ca="1">MatchData[Auto Low Goals]*5+MatchData[Teleop Low Goals]*2</f>
        <v>4</v>
      </c>
      <c r="BD13" s="5">
        <f ca="1">MatchData[High Goal Score]+MatchData[Low Goal Score]</f>
        <v>4</v>
      </c>
      <c r="BE13" s="5">
        <f ca="1">MatchData[Teleop High Goals]+MatchData[Teleop Low Goals]</f>
        <v>2</v>
      </c>
      <c r="BF13" s="5">
        <f ca="1">MatchData[[#This Row],[Auto Reach Flag]]*2+SUM(MatchData[[#This Row],[Portcullis Auto Crossings]:[Low Bar Auto Crossings]])*10+MatchData[[#This Row],[Auto Low Goals]]*5+MatchData[Auto High Goals]*10</f>
        <v>0</v>
      </c>
      <c r="BG13" s="5">
        <f ca="1">SUM(MatchData[[#This Row],[Cheval Scored Teleop Crossings]:[Low Bar Scored Teleop Crossings]])</f>
        <v>20</v>
      </c>
      <c r="BH13" s="5">
        <f ca="1">MatchData[Challenge Flag]*5</f>
        <v>0</v>
      </c>
      <c r="BI13" s="5">
        <f ca="1">MatchData[Climb Flag]*15</f>
        <v>0</v>
      </c>
      <c r="BJ13" s="5">
        <f ca="1">SUM(MatchData[[#This Row],[Total Goal Score]],MatchData[[#This Row],[Crossing Score]],MatchData[[#This Row],[Challenge Score]],MatchData[[#This Row],[Climb Score]],MatchData[[#This Row],[Total Auto Score]])</f>
        <v>24</v>
      </c>
      <c r="BK13">
        <v>2</v>
      </c>
      <c r="BL13" s="5">
        <f ca="1">IF(RANDBETWEEN(0,10)&gt;=9,RANDBETWEEN(1,9),0)</f>
        <v>0</v>
      </c>
      <c r="BM13" s="5">
        <f>VLOOKUP(MatchData[[#This Row],[Persona]],Personas!$A$2:$O$5,3)</f>
        <v>1</v>
      </c>
      <c r="BN13" s="13">
        <f>VLOOKUP(MatchData[[#This Row],[Persona]],Personas!$A$2:$P$5,4)</f>
        <v>4</v>
      </c>
      <c r="BO13" s="13">
        <f>VLOOKUP(MatchData[[#This Row],[Persona]],Personas!$A$2:$P$5,5)</f>
        <v>0</v>
      </c>
      <c r="BP13" s="13">
        <f>VLOOKUP(MatchData[[#This Row],[Persona]],Personas!$A$2:$P$5,6)</f>
        <v>0</v>
      </c>
      <c r="BQ13" s="13">
        <f>VLOOKUP(MatchData[[#This Row],[Persona]],Personas!$A$2:$P$5,7)</f>
        <v>0</v>
      </c>
      <c r="BR13" s="13">
        <f>VLOOKUP(MatchData[[#This Row],[Persona]],Personas!$A$2:$P$5,8)</f>
        <v>0</v>
      </c>
      <c r="BS13" s="13">
        <f>VLOOKUP(MatchData[[#This Row],[Persona]],Personas!$A$2:$P$5,9)</f>
        <v>2</v>
      </c>
      <c r="BT13" s="13">
        <f>VLOOKUP(MatchData[[#This Row],[Persona]],Personas!$A$2:$P$5,10)</f>
        <v>2</v>
      </c>
      <c r="BU13" s="13">
        <f>VLOOKUP(MatchData[[#This Row],[Persona]],Personas!$A$2:$P$5,11)</f>
        <v>0</v>
      </c>
      <c r="BV13" s="13">
        <f>VLOOKUP(MatchData[[#This Row],[Persona]],Personas!$A$2:$P$5,12)</f>
        <v>0</v>
      </c>
      <c r="BW13" s="13">
        <f>VLOOKUP(MatchData[[#This Row],[Persona]],Personas!$A$2:$P$5,13)</f>
        <v>2</v>
      </c>
      <c r="BX13" s="13">
        <f>VLOOKUP(MatchData[[#This Row],[Persona]],Personas!$A$2:$P$5,14)</f>
        <v>2</v>
      </c>
      <c r="BY13" s="13">
        <f>VLOOKUP(MatchData[[#This Row],[Persona]],Personas!$A$2:$P$5,15)</f>
        <v>2</v>
      </c>
      <c r="BZ13" s="13">
        <f>VLOOKUP(MatchData[[#This Row],[Persona]],Personas!$A$2:$P$5,16)</f>
        <v>1</v>
      </c>
      <c r="CA13" s="14">
        <f ca="1">ROUND(SUMIF(MatchData[Team],MatchData[[#This Row],[Team]],MatchData[Teleop Low Goals])/COUNTIF(MatchData[Team],MatchData[[#This Row],[Team]]),2)</f>
        <v>2.67</v>
      </c>
      <c r="CB13" s="14">
        <f ca="1">ROUND(SUMIF(MatchData[Team],MatchData[[#This Row],[Team]],MatchData[Teleop High Goals])/COUNTIF(MatchData[Team],MatchData[[#This Row],[Team]]),2)</f>
        <v>0</v>
      </c>
      <c r="CC13" s="14">
        <f>COUNTIF(MatchData[Team],MatchData[[#This Row],[Team]])</f>
        <v>6</v>
      </c>
      <c r="CD13" s="14">
        <f>SUMIF(MatchData[Team],MatchData[[#This Row],[Team]],MatchData[Portcullis Available])</f>
        <v>5</v>
      </c>
      <c r="CE13" s="14">
        <f>SUMIF(MatchData[Team],MatchData[[#This Row],[Team]],MatchData[Cheval Available])</f>
        <v>1</v>
      </c>
      <c r="CF13" s="14">
        <f>SUMIF(MatchData[Team],MatchData[[#This Row],[Team]],MatchData[Moat Available])</f>
        <v>1</v>
      </c>
      <c r="CG13" s="14">
        <f>SUMIF(MatchData[Team],MatchData[[#This Row],[Team]],MatchData[Ramparts Available])</f>
        <v>5</v>
      </c>
      <c r="CH13" s="14">
        <f>SUMIF(MatchData[Team],MatchData[[#This Row],[Team]],MatchData[Drawbridge Available])</f>
        <v>3</v>
      </c>
      <c r="CI13" s="14">
        <f>SUMIF(MatchData[Team],MatchData[[#This Row],[Team]],MatchData[Sally Port Available])</f>
        <v>3</v>
      </c>
      <c r="CJ13" s="14">
        <f>SUMIF(MatchData[Team],MatchData[[#This Row],[Team]],MatchData[Rock Wall Available])</f>
        <v>3</v>
      </c>
      <c r="CK13" s="14">
        <f>SUMIF(MatchData[Team],MatchData[[#This Row],[Team]],MatchData[Rough Terrain Available])</f>
        <v>3</v>
      </c>
      <c r="CL13" s="14">
        <f>SUMIF(MatchData[Team],MatchData[[#This Row],[Team]],MatchData[Low Bar Available])</f>
        <v>6</v>
      </c>
      <c r="CM13" s="14">
        <f ca="1">SUMIF(MatchData[Team],MatchData[[#This Row],[Team]],MatchData[Portcullis Teleop Crossings])</f>
        <v>0</v>
      </c>
      <c r="CN13" s="14">
        <f ca="1">SUMIF(MatchData[Team],MatchData[[#This Row],[Team]],MatchData[Cheval Teleop Crossings])</f>
        <v>0</v>
      </c>
      <c r="CO13" s="14">
        <f ca="1">SUMIF(MatchData[Team],MatchData[[#This Row],[Team]],MatchData[Moat Teleop Crossings])</f>
        <v>0</v>
      </c>
      <c r="CP13" s="14">
        <f ca="1">SUMIF(MatchData[Team],MatchData[[#This Row],[Team]],MatchData[Ramparts Teleop Crossings])</f>
        <v>5</v>
      </c>
      <c r="CQ13" s="14">
        <f ca="1">SUMIF(MatchData[Team],MatchData[[#This Row],[Team]],MatchData[Drawbridge Teleop Crossings])</f>
        <v>0</v>
      </c>
      <c r="CR13" s="14">
        <f ca="1">SUMIF(MatchData[Team],MatchData[[#This Row],[Team]],MatchData[Sally Port Teleop Crossings])</f>
        <v>0</v>
      </c>
      <c r="CS13" s="14">
        <f ca="1">SUMIF(MatchData[Team],MatchData[[#This Row],[Team]],MatchData[Rock Wall Teleop Crossings])</f>
        <v>2</v>
      </c>
      <c r="CT13" s="14">
        <f ca="1">SUMIF(MatchData[Team],MatchData[[#This Row],[Team]],MatchData[Rough Terrain Teleop Crossings])</f>
        <v>4</v>
      </c>
      <c r="CU13" s="14">
        <f ca="1">SUMIF(MatchData[Team],MatchData[[#This Row],[Team]],MatchData[Low Bar Teleop Crossings])</f>
        <v>6</v>
      </c>
      <c r="CV13" s="14">
        <f ca="1">IFERROR(ROUND(MatchData[[#This Row],[Portcullis Sum]]/MatchData[[#This Row],[Portcullis Avail Count]],2),0)</f>
        <v>0</v>
      </c>
      <c r="CW13">
        <f ca="1">IFERROR(ROUND(MatchData[[#This Row],[Cheval Sum]]/MatchData[[#This Row],[Cheval Avail Count]],2),0)</f>
        <v>0</v>
      </c>
      <c r="CX13">
        <f ca="1">IFERROR(ROUND(MatchData[[#This Row],[Moat Sum]]/MatchData[[#This Row],[Moat Avail Count]],2),0)</f>
        <v>0</v>
      </c>
      <c r="CY13">
        <f ca="1">IFERROR(ROUND(MatchData[[#This Row],[Ramparts Sum]]/MatchData[[#This Row],[Ramparts Avail Count]],2),0)</f>
        <v>1</v>
      </c>
      <c r="CZ13">
        <f ca="1">IFERROR(ROUND(MatchData[[#This Row],[Drawbridge Sum]]/MatchData[[#This Row],[Drawbridge HAvail Countigh6]],2),0)</f>
        <v>0</v>
      </c>
      <c r="DA13">
        <f ca="1">IFERROR(ROUND(MatchData[[#This Row],[Sally Port Sum]]/MatchData[[#This Row],[Sally Port Avail Count]],2),0)</f>
        <v>0</v>
      </c>
      <c r="DB13">
        <f ca="1">IFERROR(ROUND(MatchData[[#This Row],[Rock Wall Sum]]/MatchData[[#This Row],[Rock Wall Avail Count]],2),0)</f>
        <v>0.67</v>
      </c>
      <c r="DC13">
        <f ca="1">IFERROR(ROUND(MatchData[[#This Row],[Rough Terrain Sum]]/MatchData[[#This Row],[Rough Terrain Avail Count]],2),0)</f>
        <v>1.33</v>
      </c>
      <c r="DD13">
        <f ca="1">IFERROR(ROUND(MatchData[[#This Row],[Low Bar Sum]]/MatchData[[#This Row],[Low Bar Avail Count]],2),0)</f>
        <v>1</v>
      </c>
      <c r="DE13" s="14">
        <f t="array" aca="1" ref="DE13" ca="1">MAX(IF(C$4:C$75=C13,BE$4:BE$75))</f>
        <v>4</v>
      </c>
      <c r="DF13" s="14">
        <f ca="1">AVERAGEIF(MatchData[Team],MatchData[Team],MatchData[Total Score])</f>
        <v>25.5</v>
      </c>
      <c r="DG13" s="14">
        <f ca="1">ROUND(AVERAGEIF(MatchData[Team],MatchData[Team],MatchData[Climb or Challenge Flag]),2)</f>
        <v>0.67</v>
      </c>
    </row>
    <row r="14" spans="1:111">
      <c r="A14" t="s">
        <v>54</v>
      </c>
      <c r="B14" s="4">
        <v>9</v>
      </c>
      <c r="C14">
        <v>1002</v>
      </c>
      <c r="D14" t="s">
        <v>56</v>
      </c>
      <c r="E14" t="s">
        <v>62</v>
      </c>
      <c r="F14">
        <f ca="1">IF(MatchData[[#This Row],[Persona]] = 4,RANDBETWEEN(0,1),0)</f>
        <v>0</v>
      </c>
      <c r="G14">
        <f ca="1">IF(MatchData[[#This Row],[Persona]] = 3,RANDBETWEEN(0,1),0)</f>
        <v>0</v>
      </c>
      <c r="H14">
        <f ca="1">RANDBETWEEN(MatchData[[#This Row],[High Goal Low]],MatchData[[#This Row],[High Goal High]])</f>
        <v>0</v>
      </c>
      <c r="I14">
        <f ca="1">RANDBETWEEN(MatchData[[#This Row],[Low Goal Low]],MatchData[[#This Row],[Low Goal High]])</f>
        <v>4</v>
      </c>
      <c r="J14" s="6">
        <v>1</v>
      </c>
      <c r="K14" s="6"/>
      <c r="L14" s="6"/>
      <c r="M14" s="6">
        <v>1</v>
      </c>
      <c r="N14" s="6">
        <v>1</v>
      </c>
      <c r="O14" s="6"/>
      <c r="P14" s="6"/>
      <c r="Q14" s="5">
        <v>1</v>
      </c>
      <c r="R14" s="5">
        <v>1</v>
      </c>
      <c r="S14" s="5">
        <f ca="1">IF(MatchData[[#This Row],[Auto Crossing Test Generator]]=0,RANDBETWEEN(0,1),0)</f>
        <v>0</v>
      </c>
      <c r="T14" s="5">
        <f ca="1">IF(MatchData[Auto Crossing Test Generator]=1,1,0)</f>
        <v>0</v>
      </c>
      <c r="U14" s="5">
        <f ca="1">IF(MatchData[[#This Row],[Auto Crossing Test Generator]]=2,RANDBETWEEN(0,1),0)</f>
        <v>0</v>
      </c>
      <c r="V14" s="5">
        <f ca="1">IF(MatchData[[#This Row],[Auto Crossing Test Generator]]=3,RANDBETWEEN(0,1),0)</f>
        <v>0</v>
      </c>
      <c r="W14" s="5">
        <f ca="1">IF(MatchData[[#This Row],[Auto Crossing Test Generator]]=4,RANDBETWEEN(0,1),0)</f>
        <v>0</v>
      </c>
      <c r="X14" s="5">
        <f ca="1">IF(MatchData[[#This Row],[Auto Crossing Test Generator]]=5,RANDBETWEEN(0,1),0)</f>
        <v>0</v>
      </c>
      <c r="Y14" s="5">
        <f ca="1">IF(MatchData[[#This Row],[Auto Crossing Test Generator]]=6,RANDBETWEEN(0,1),0)</f>
        <v>0</v>
      </c>
      <c r="Z14" s="5">
        <f ca="1">IF(MatchData[[#This Row],[Auto Crossing Test Generator]]=7,RANDBETWEEN(0,1),0)</f>
        <v>0</v>
      </c>
      <c r="AA14" s="5">
        <f ca="1">IF(MatchData[[#This Row],[Auto Crossing Test Generator]]=8,RANDBETWEEN(0,1),0)</f>
        <v>0</v>
      </c>
      <c r="AB14" s="5">
        <f ca="1">IF(MatchData[[#This Row],[Auto Crossing Test Generator]]&gt;8,RANDBETWEEN(0,1),0)</f>
        <v>0</v>
      </c>
      <c r="AC14" s="5">
        <f ca="1">IF(MatchData[[#This Row],[Auto Crossing Test Generator]]=9,RANDBETWEEN(0,1),0)</f>
        <v>0</v>
      </c>
      <c r="AD14" s="5">
        <f ca="1">IF(MatchData[[#This Row],[Cheval Available]]=1,RANDBETWEEN(0,MatchData[[#This Row],[Cheval High]]),0)</f>
        <v>0</v>
      </c>
      <c r="AE14" s="5">
        <f ca="1">IF(MatchData[[#This Row],[Moat Available]]=1,RANDBETWEEN(0,MatchData[[#This Row],[Moat High]]),0)</f>
        <v>0</v>
      </c>
      <c r="AF14" s="5">
        <f ca="1">IF(MatchData[[#This Row],[Ramparts Available]]=1,RANDBETWEEN(0,MatchData[[#This Row],[Ramparts High]]),0)</f>
        <v>2</v>
      </c>
      <c r="AG14" s="5">
        <f ca="1">IF(MatchData[[#This Row],[Drawbridge Available]]=1,RANDBETWEEN(0,MatchData[[#This Row],[Drawbridge High]]),0)</f>
        <v>0</v>
      </c>
      <c r="AH14" s="5">
        <f ca="1">IF(MatchData[[#This Row],[Sally Port Available]]=1,RANDBETWEEN(0,MatchData[[#This Row],[Sally Port High]]),0)</f>
        <v>0</v>
      </c>
      <c r="AI14" s="5">
        <f ca="1">IF(MatchData[[#This Row],[Rock Wall Available]]=1,RANDBETWEEN(0,MatchData[[#This Row],[Rock Wall High]]),0)</f>
        <v>0</v>
      </c>
      <c r="AJ14" s="5">
        <f ca="1">IF(MatchData[[#This Row],[Rough Terrain Available]]=1,RANDBETWEEN(0,MatchData[[#This Row],[Rough Terrain High]]),0)</f>
        <v>2</v>
      </c>
      <c r="AK14" s="5">
        <f ca="1">IF(MatchData[[#This Row],[Low Bar Available]]=1,RANDBETWEEN(0,MatchData[[#This Row],[Low Bar High]]),0)</f>
        <v>1</v>
      </c>
      <c r="AL14" s="5">
        <f ca="1">IF(MatchData[Cheval Teleop Crossings]&gt;3,10, MatchData[Cheval Teleop Crossings]*5)</f>
        <v>0</v>
      </c>
      <c r="AM14" s="5">
        <f ca="1">IF(MatchData[Moat Teleop Crossings]&gt;3,10, MatchData[Moat Teleop Crossings]*5)</f>
        <v>0</v>
      </c>
      <c r="AN14" s="5">
        <f ca="1">IF(MatchData[Ramparts Teleop Crossings]&gt;3,10, MatchData[Ramparts Teleop Crossings]*5)</f>
        <v>10</v>
      </c>
      <c r="AO14" s="5">
        <f ca="1">IF(MatchData[Drawbridge Teleop Crossings]&gt;3,10, MatchData[Drawbridge Teleop Crossings]*5)</f>
        <v>0</v>
      </c>
      <c r="AP14" s="5">
        <f ca="1">IF(MatchData[Sally Port Teleop Crossings]&gt;3,10, MatchData[Sally Port Teleop Crossings]*5)</f>
        <v>0</v>
      </c>
      <c r="AQ14" s="5">
        <f ca="1">IF(MatchData[Rock Wall Teleop Crossings]&gt;3,10, MatchData[Rock Wall Teleop Crossings]*5)</f>
        <v>0</v>
      </c>
      <c r="AR14" s="5">
        <f ca="1">IF(MatchData[Rough Terrain Teleop Crossings]&gt;3,10, MatchData[Rough Terrain Teleop Crossings]*5)</f>
        <v>10</v>
      </c>
      <c r="AS14" s="5">
        <f ca="1">IF(MatchData[Low Bar Teleop Crossings]&gt;3,10, MatchData[Low Bar Teleop Crossings]*5)</f>
        <v>5</v>
      </c>
      <c r="AT14" s="5">
        <f ca="1">SUM(MatchData[[#This Row],[Portcullis Teleop Crossings]:[Low Bar Teleop Crossings]])</f>
        <v>5</v>
      </c>
      <c r="AU14" s="5">
        <f ca="1">IF(RANDBETWEEN(1,4)&gt;1,1,0)</f>
        <v>1</v>
      </c>
      <c r="AV14" s="5">
        <f ca="1">IF(MatchData[[#This Row],[Challenge Flag]]=1,0,IF(MatchData[[#This Row],[Climber]]=1,RANDBETWEEN(0,1),0))</f>
        <v>0</v>
      </c>
      <c r="AW14" s="5">
        <f ca="1">IF(MatchData[[#This Row],[Crossing Score]]&gt;=40,1,0)</f>
        <v>0</v>
      </c>
      <c r="AX14" s="5"/>
      <c r="AY14" s="5">
        <f ca="1">IF(RANDBETWEEN(1,100)&gt;95,1,0)</f>
        <v>0</v>
      </c>
      <c r="AZ14" s="5">
        <f ca="1">IF(RANDBETWEEN(1,100)&gt;80,1,0)</f>
        <v>0</v>
      </c>
      <c r="BA14" s="5">
        <f ca="1">IF(OR(MatchData[[#This Row],[Challenge Flag]],MatchData[[#This Row],[Climb Flag]]),1,0)</f>
        <v>1</v>
      </c>
      <c r="BB14" s="5">
        <f ca="1">MatchData[Auto High Goals]*10+MatchData[Teleop High Goals]*5</f>
        <v>0</v>
      </c>
      <c r="BC14" s="5">
        <f ca="1">MatchData[Auto Low Goals]*5+MatchData[Teleop Low Goals]*2</f>
        <v>8</v>
      </c>
      <c r="BD14" s="5">
        <f ca="1">MatchData[High Goal Score]+MatchData[Low Goal Score]</f>
        <v>8</v>
      </c>
      <c r="BE14" s="5">
        <f ca="1">MatchData[Teleop High Goals]+MatchData[Teleop Low Goals]</f>
        <v>4</v>
      </c>
      <c r="BF14" s="5">
        <f ca="1">MatchData[[#This Row],[Auto Reach Flag]]*2+SUM(MatchData[[#This Row],[Portcullis Auto Crossings]:[Low Bar Auto Crossings]])*10+MatchData[[#This Row],[Auto Low Goals]]*5+MatchData[Auto High Goals]*10</f>
        <v>0</v>
      </c>
      <c r="BG14" s="5">
        <f ca="1">SUM(MatchData[[#This Row],[Cheval Scored Teleop Crossings]:[Low Bar Scored Teleop Crossings]])</f>
        <v>25</v>
      </c>
      <c r="BH14" s="5">
        <f ca="1">MatchData[Challenge Flag]*5</f>
        <v>5</v>
      </c>
      <c r="BI14" s="5">
        <f ca="1">MatchData[Climb Flag]*15</f>
        <v>0</v>
      </c>
      <c r="BJ14" s="5">
        <f ca="1">SUM(MatchData[[#This Row],[Total Goal Score]],MatchData[[#This Row],[Crossing Score]],MatchData[[#This Row],[Challenge Score]],MatchData[[#This Row],[Climb Score]],MatchData[[#This Row],[Total Auto Score]])</f>
        <v>38</v>
      </c>
      <c r="BK14">
        <v>2</v>
      </c>
      <c r="BL14" s="5">
        <f ca="1">IF(RANDBETWEEN(0,10)&gt;=9,RANDBETWEEN(1,9),0)</f>
        <v>0</v>
      </c>
      <c r="BM14" s="5">
        <v>4</v>
      </c>
      <c r="BN14" s="13">
        <f>VLOOKUP(MatchData[[#This Row],[Persona]],Personas!$A$2:$P$5,4)</f>
        <v>4</v>
      </c>
      <c r="BO14" s="13">
        <f>VLOOKUP(MatchData[[#This Row],[Persona]],Personas!$A$2:$P$5,5)</f>
        <v>0</v>
      </c>
      <c r="BP14" s="13">
        <f>VLOOKUP(MatchData[[#This Row],[Persona]],Personas!$A$2:$P$5,6)</f>
        <v>0</v>
      </c>
      <c r="BQ14" s="13">
        <f>VLOOKUP(MatchData[[#This Row],[Persona]],Personas!$A$2:$P$5,7)</f>
        <v>0</v>
      </c>
      <c r="BR14" s="13">
        <f>VLOOKUP(MatchData[[#This Row],[Persona]],Personas!$A$2:$P$5,8)</f>
        <v>0</v>
      </c>
      <c r="BS14" s="13">
        <f>VLOOKUP(MatchData[[#This Row],[Persona]],Personas!$A$2:$P$5,9)</f>
        <v>2</v>
      </c>
      <c r="BT14" s="13">
        <f>VLOOKUP(MatchData[[#This Row],[Persona]],Personas!$A$2:$P$5,10)</f>
        <v>2</v>
      </c>
      <c r="BU14" s="13">
        <f>VLOOKUP(MatchData[[#This Row],[Persona]],Personas!$A$2:$P$5,11)</f>
        <v>0</v>
      </c>
      <c r="BV14" s="13">
        <f>VLOOKUP(MatchData[[#This Row],[Persona]],Personas!$A$2:$P$5,12)</f>
        <v>0</v>
      </c>
      <c r="BW14" s="13">
        <f>VLOOKUP(MatchData[[#This Row],[Persona]],Personas!$A$2:$P$5,13)</f>
        <v>2</v>
      </c>
      <c r="BX14" s="13">
        <f>VLOOKUP(MatchData[[#This Row],[Persona]],Personas!$A$2:$P$5,14)</f>
        <v>2</v>
      </c>
      <c r="BY14" s="13">
        <f>VLOOKUP(MatchData[[#This Row],[Persona]],Personas!$A$2:$P$5,15)</f>
        <v>2</v>
      </c>
      <c r="BZ14" s="13">
        <f>VLOOKUP(MatchData[[#This Row],[Persona]],Personas!$A$2:$P$5,16)</f>
        <v>1</v>
      </c>
      <c r="CA14" s="14">
        <f ca="1">ROUND(SUMIF(MatchData[Team],MatchData[[#This Row],[Team]],MatchData[Teleop Low Goals])/COUNTIF(MatchData[Team],MatchData[[#This Row],[Team]]),2)</f>
        <v>2.67</v>
      </c>
      <c r="CB14" s="14">
        <f ca="1">ROUND(SUMIF(MatchData[Team],MatchData[[#This Row],[Team]],MatchData[Teleop High Goals])/COUNTIF(MatchData[Team],MatchData[[#This Row],[Team]]),2)</f>
        <v>0</v>
      </c>
      <c r="CC14" s="14">
        <f>COUNTIF(MatchData[Team],MatchData[[#This Row],[Team]])</f>
        <v>6</v>
      </c>
      <c r="CD14" s="14">
        <f>SUMIF(MatchData[Team],MatchData[[#This Row],[Team]],MatchData[Portcullis Available])</f>
        <v>5</v>
      </c>
      <c r="CE14" s="14">
        <f>SUMIF(MatchData[Team],MatchData[[#This Row],[Team]],MatchData[Cheval Available])</f>
        <v>1</v>
      </c>
      <c r="CF14" s="14">
        <f>SUMIF(MatchData[Team],MatchData[[#This Row],[Team]],MatchData[Moat Available])</f>
        <v>1</v>
      </c>
      <c r="CG14" s="14">
        <f>SUMIF(MatchData[Team],MatchData[[#This Row],[Team]],MatchData[Ramparts Available])</f>
        <v>5</v>
      </c>
      <c r="CH14" s="14">
        <f>SUMIF(MatchData[Team],MatchData[[#This Row],[Team]],MatchData[Drawbridge Available])</f>
        <v>3</v>
      </c>
      <c r="CI14" s="14">
        <f>SUMIF(MatchData[Team],MatchData[[#This Row],[Team]],MatchData[Sally Port Available])</f>
        <v>3</v>
      </c>
      <c r="CJ14" s="14">
        <f>SUMIF(MatchData[Team],MatchData[[#This Row],[Team]],MatchData[Rock Wall Available])</f>
        <v>3</v>
      </c>
      <c r="CK14" s="14">
        <f>SUMIF(MatchData[Team],MatchData[[#This Row],[Team]],MatchData[Rough Terrain Available])</f>
        <v>3</v>
      </c>
      <c r="CL14" s="14">
        <f>SUMIF(MatchData[Team],MatchData[[#This Row],[Team]],MatchData[Low Bar Available])</f>
        <v>6</v>
      </c>
      <c r="CM14" s="14">
        <f ca="1">SUMIF(MatchData[Team],MatchData[[#This Row],[Team]],MatchData[Portcullis Teleop Crossings])</f>
        <v>0</v>
      </c>
      <c r="CN14" s="14">
        <f ca="1">SUMIF(MatchData[Team],MatchData[[#This Row],[Team]],MatchData[Cheval Teleop Crossings])</f>
        <v>0</v>
      </c>
      <c r="CO14" s="14">
        <f ca="1">SUMIF(MatchData[Team],MatchData[[#This Row],[Team]],MatchData[Moat Teleop Crossings])</f>
        <v>0</v>
      </c>
      <c r="CP14" s="14">
        <f ca="1">SUMIF(MatchData[Team],MatchData[[#This Row],[Team]],MatchData[Ramparts Teleop Crossings])</f>
        <v>5</v>
      </c>
      <c r="CQ14" s="14">
        <f ca="1">SUMIF(MatchData[Team],MatchData[[#This Row],[Team]],MatchData[Drawbridge Teleop Crossings])</f>
        <v>0</v>
      </c>
      <c r="CR14" s="14">
        <f ca="1">SUMIF(MatchData[Team],MatchData[[#This Row],[Team]],MatchData[Sally Port Teleop Crossings])</f>
        <v>0</v>
      </c>
      <c r="CS14" s="14">
        <f ca="1">SUMIF(MatchData[Team],MatchData[[#This Row],[Team]],MatchData[Rock Wall Teleop Crossings])</f>
        <v>2</v>
      </c>
      <c r="CT14" s="14">
        <f ca="1">SUMIF(MatchData[Team],MatchData[[#This Row],[Team]],MatchData[Rough Terrain Teleop Crossings])</f>
        <v>4</v>
      </c>
      <c r="CU14" s="14">
        <f ca="1">SUMIF(MatchData[Team],MatchData[[#This Row],[Team]],MatchData[Low Bar Teleop Crossings])</f>
        <v>6</v>
      </c>
      <c r="CV14" s="14">
        <f ca="1">IFERROR(ROUND(MatchData[[#This Row],[Portcullis Sum]]/MatchData[[#This Row],[Portcullis Avail Count]],2),0)</f>
        <v>0</v>
      </c>
      <c r="CW14">
        <f ca="1">IFERROR(ROUND(MatchData[[#This Row],[Cheval Sum]]/MatchData[[#This Row],[Cheval Avail Count]],2),0)</f>
        <v>0</v>
      </c>
      <c r="CX14">
        <f ca="1">IFERROR(ROUND(MatchData[[#This Row],[Moat Sum]]/MatchData[[#This Row],[Moat Avail Count]],2),0)</f>
        <v>0</v>
      </c>
      <c r="CY14">
        <f ca="1">IFERROR(ROUND(MatchData[[#This Row],[Ramparts Sum]]/MatchData[[#This Row],[Ramparts Avail Count]],2),0)</f>
        <v>1</v>
      </c>
      <c r="CZ14">
        <f ca="1">IFERROR(ROUND(MatchData[[#This Row],[Drawbridge Sum]]/MatchData[[#This Row],[Drawbridge HAvail Countigh6]],2),0)</f>
        <v>0</v>
      </c>
      <c r="DA14">
        <f ca="1">IFERROR(ROUND(MatchData[[#This Row],[Sally Port Sum]]/MatchData[[#This Row],[Sally Port Avail Count]],2),0)</f>
        <v>0</v>
      </c>
      <c r="DB14">
        <f ca="1">IFERROR(ROUND(MatchData[[#This Row],[Rock Wall Sum]]/MatchData[[#This Row],[Rock Wall Avail Count]],2),0)</f>
        <v>0.67</v>
      </c>
      <c r="DC14">
        <f ca="1">IFERROR(ROUND(MatchData[[#This Row],[Rough Terrain Sum]]/MatchData[[#This Row],[Rough Terrain Avail Count]],2),0)</f>
        <v>1.33</v>
      </c>
      <c r="DD14">
        <f ca="1">IFERROR(ROUND(MatchData[[#This Row],[Low Bar Sum]]/MatchData[[#This Row],[Low Bar Avail Count]],2),0)</f>
        <v>1</v>
      </c>
      <c r="DE14" s="14">
        <f t="array" aca="1" ref="DE14" ca="1">MAX(IF(C$4:C$75=C14,BE$4:BE$75))</f>
        <v>4</v>
      </c>
      <c r="DF14" s="14">
        <f ca="1">AVERAGEIF(MatchData[Team],MatchData[Team],MatchData[Total Score])</f>
        <v>25.5</v>
      </c>
      <c r="DG14" s="14">
        <f ca="1">ROUND(AVERAGEIF(MatchData[Team],MatchData[Team],MatchData[Climb or Challenge Flag]),2)</f>
        <v>0.67</v>
      </c>
    </row>
    <row r="15" spans="1:111">
      <c r="A15" t="s">
        <v>54</v>
      </c>
      <c r="B15" s="4">
        <v>12</v>
      </c>
      <c r="C15">
        <v>1002</v>
      </c>
      <c r="D15" t="s">
        <v>55</v>
      </c>
      <c r="E15" t="s">
        <v>59</v>
      </c>
      <c r="F15">
        <f ca="1">IF(MatchData[[#This Row],[Persona]] = 4,RANDBETWEEN(0,1),0)</f>
        <v>0</v>
      </c>
      <c r="G15">
        <f ca="1">IF(MatchData[[#This Row],[Persona]] = 3,RANDBETWEEN(0,1),0)</f>
        <v>0</v>
      </c>
      <c r="H15">
        <f ca="1">RANDBETWEEN(MatchData[[#This Row],[High Goal Low]],MatchData[[#This Row],[High Goal High]])</f>
        <v>0</v>
      </c>
      <c r="I15">
        <f ca="1">RANDBETWEEN(MatchData[[#This Row],[Low Goal Low]],MatchData[[#This Row],[Low Goal High]])</f>
        <v>2</v>
      </c>
      <c r="J15" s="6"/>
      <c r="K15" s="6">
        <v>1</v>
      </c>
      <c r="L15" s="6">
        <v>1</v>
      </c>
      <c r="M15" s="6"/>
      <c r="N15" s="6"/>
      <c r="O15" s="6">
        <v>1</v>
      </c>
      <c r="P15" s="6">
        <v>1</v>
      </c>
      <c r="Q15" s="5"/>
      <c r="R15" s="5">
        <v>1</v>
      </c>
      <c r="S15" s="5">
        <f ca="1">IF(MatchData[[#This Row],[Auto Crossing Test Generator]]=0,RANDBETWEEN(0,1),0)</f>
        <v>1</v>
      </c>
      <c r="T15" s="5">
        <f ca="1">IF(MatchData[Auto Crossing Test Generator]=1,1,0)</f>
        <v>0</v>
      </c>
      <c r="U15" s="5">
        <f ca="1">IF(MatchData[[#This Row],[Auto Crossing Test Generator]]=2,RANDBETWEEN(0,1),0)</f>
        <v>0</v>
      </c>
      <c r="V15" s="5">
        <f ca="1">IF(MatchData[[#This Row],[Auto Crossing Test Generator]]=3,RANDBETWEEN(0,1),0)</f>
        <v>0</v>
      </c>
      <c r="W15" s="5">
        <f ca="1">IF(MatchData[[#This Row],[Auto Crossing Test Generator]]=4,RANDBETWEEN(0,1),0)</f>
        <v>0</v>
      </c>
      <c r="X15" s="5">
        <f ca="1">IF(MatchData[[#This Row],[Auto Crossing Test Generator]]=5,RANDBETWEEN(0,1),0)</f>
        <v>0</v>
      </c>
      <c r="Y15" s="5">
        <f ca="1">IF(MatchData[[#This Row],[Auto Crossing Test Generator]]=6,RANDBETWEEN(0,1),0)</f>
        <v>0</v>
      </c>
      <c r="Z15" s="5">
        <f ca="1">IF(MatchData[[#This Row],[Auto Crossing Test Generator]]=7,RANDBETWEEN(0,1),0)</f>
        <v>0</v>
      </c>
      <c r="AA15" s="5">
        <f ca="1">IF(MatchData[[#This Row],[Auto Crossing Test Generator]]=8,RANDBETWEEN(0,1),0)</f>
        <v>0</v>
      </c>
      <c r="AB15" s="5">
        <f ca="1">IF(MatchData[[#This Row],[Auto Crossing Test Generator]]&gt;8,RANDBETWEEN(0,1),0)</f>
        <v>0</v>
      </c>
      <c r="AC15" s="5">
        <f ca="1">IF(MatchData[[#This Row],[Auto Crossing Test Generator]]=9,RANDBETWEEN(0,1),0)</f>
        <v>0</v>
      </c>
      <c r="AD15" s="5">
        <f ca="1">IF(MatchData[[#This Row],[Cheval Available]]=1,RANDBETWEEN(0,MatchData[[#This Row],[Cheval High]]),0)</f>
        <v>0</v>
      </c>
      <c r="AE15" s="5">
        <f ca="1">IF(MatchData[[#This Row],[Moat Available]]=1,RANDBETWEEN(0,MatchData[[#This Row],[Moat High]]),0)</f>
        <v>0</v>
      </c>
      <c r="AF15" s="5">
        <f ca="1">IF(MatchData[[#This Row],[Ramparts Available]]=1,RANDBETWEEN(0,MatchData[[#This Row],[Ramparts High]]),0)</f>
        <v>0</v>
      </c>
      <c r="AG15" s="5">
        <f ca="1">IF(MatchData[[#This Row],[Drawbridge Available]]=1,RANDBETWEEN(0,MatchData[[#This Row],[Drawbridge High]]),0)</f>
        <v>0</v>
      </c>
      <c r="AH15" s="5">
        <f ca="1">IF(MatchData[[#This Row],[Sally Port Available]]=1,RANDBETWEEN(0,MatchData[[#This Row],[Sally Port High]]),0)</f>
        <v>0</v>
      </c>
      <c r="AI15" s="5">
        <f ca="1">IF(MatchData[[#This Row],[Rock Wall Available]]=1,RANDBETWEEN(0,MatchData[[#This Row],[Rock Wall High]]),0)</f>
        <v>1</v>
      </c>
      <c r="AJ15" s="5">
        <f ca="1">IF(MatchData[[#This Row],[Rough Terrain Available]]=1,RANDBETWEEN(0,MatchData[[#This Row],[Rough Terrain High]]),0)</f>
        <v>0</v>
      </c>
      <c r="AK15" s="5">
        <f ca="1">IF(MatchData[[#This Row],[Low Bar Available]]=1,RANDBETWEEN(0,MatchData[[#This Row],[Low Bar High]]),0)</f>
        <v>0</v>
      </c>
      <c r="AL15" s="5">
        <f ca="1">IF(MatchData[Cheval Teleop Crossings]&gt;3,10, MatchData[Cheval Teleop Crossings]*5)</f>
        <v>0</v>
      </c>
      <c r="AM15" s="5">
        <f ca="1">IF(MatchData[Moat Teleop Crossings]&gt;3,10, MatchData[Moat Teleop Crossings]*5)</f>
        <v>0</v>
      </c>
      <c r="AN15" s="5">
        <f ca="1">IF(MatchData[Ramparts Teleop Crossings]&gt;3,10, MatchData[Ramparts Teleop Crossings]*5)</f>
        <v>0</v>
      </c>
      <c r="AO15" s="5">
        <f ca="1">IF(MatchData[Drawbridge Teleop Crossings]&gt;3,10, MatchData[Drawbridge Teleop Crossings]*5)</f>
        <v>0</v>
      </c>
      <c r="AP15" s="5">
        <f ca="1">IF(MatchData[Sally Port Teleop Crossings]&gt;3,10, MatchData[Sally Port Teleop Crossings]*5)</f>
        <v>0</v>
      </c>
      <c r="AQ15" s="5">
        <f ca="1">IF(MatchData[Rock Wall Teleop Crossings]&gt;3,10, MatchData[Rock Wall Teleop Crossings]*5)</f>
        <v>5</v>
      </c>
      <c r="AR15" s="5">
        <f ca="1">IF(MatchData[Rough Terrain Teleop Crossings]&gt;3,10, MatchData[Rough Terrain Teleop Crossings]*5)</f>
        <v>0</v>
      </c>
      <c r="AS15" s="5">
        <f ca="1">IF(MatchData[Low Bar Teleop Crossings]&gt;3,10, MatchData[Low Bar Teleop Crossings]*5)</f>
        <v>0</v>
      </c>
      <c r="AT15" s="5">
        <f ca="1">SUM(MatchData[[#This Row],[Portcullis Teleop Crossings]:[Low Bar Teleop Crossings]])</f>
        <v>1</v>
      </c>
      <c r="AU15" s="5">
        <f ca="1">IF(RANDBETWEEN(1,4)&gt;1,1,0)</f>
        <v>1</v>
      </c>
      <c r="AV15" s="5">
        <f ca="1">IF(MatchData[[#This Row],[Challenge Flag]]=1,0,IF(MatchData[[#This Row],[Climber]]=1,RANDBETWEEN(0,1),0))</f>
        <v>0</v>
      </c>
      <c r="AW15" s="5">
        <f ca="1">IF(MatchData[[#This Row],[Crossing Score]]&gt;=40,1,0)</f>
        <v>0</v>
      </c>
      <c r="AX15" s="5"/>
      <c r="AY15" s="5">
        <f ca="1">IF(RANDBETWEEN(1,100)&gt;95,1,0)</f>
        <v>0</v>
      </c>
      <c r="AZ15" s="5">
        <f ca="1">IF(RANDBETWEEN(1,100)&gt;80,1,0)</f>
        <v>0</v>
      </c>
      <c r="BA15" s="5">
        <f ca="1">IF(OR(MatchData[[#This Row],[Challenge Flag]],MatchData[[#This Row],[Climb Flag]]),1,0)</f>
        <v>1</v>
      </c>
      <c r="BB15" s="5">
        <f ca="1">MatchData[Auto High Goals]*10+MatchData[Teleop High Goals]*5</f>
        <v>0</v>
      </c>
      <c r="BC15" s="5">
        <f ca="1">MatchData[Auto Low Goals]*5+MatchData[Teleop Low Goals]*2</f>
        <v>4</v>
      </c>
      <c r="BD15" s="5">
        <f ca="1">MatchData[High Goal Score]+MatchData[Low Goal Score]</f>
        <v>4</v>
      </c>
      <c r="BE15" s="5">
        <f ca="1">MatchData[Teleop High Goals]+MatchData[Teleop Low Goals]</f>
        <v>2</v>
      </c>
      <c r="BF15" s="5">
        <f ca="1">MatchData[[#This Row],[Auto Reach Flag]]*2+SUM(MatchData[[#This Row],[Portcullis Auto Crossings]:[Low Bar Auto Crossings]])*10+MatchData[[#This Row],[Auto Low Goals]]*5+MatchData[Auto High Goals]*10</f>
        <v>2</v>
      </c>
      <c r="BG15" s="5">
        <f ca="1">SUM(MatchData[[#This Row],[Cheval Scored Teleop Crossings]:[Low Bar Scored Teleop Crossings]])</f>
        <v>5</v>
      </c>
      <c r="BH15" s="5">
        <f ca="1">MatchData[Challenge Flag]*5</f>
        <v>5</v>
      </c>
      <c r="BI15" s="5">
        <f ca="1">MatchData[Climb Flag]*15</f>
        <v>0</v>
      </c>
      <c r="BJ15" s="5">
        <f ca="1">SUM(MatchData[[#This Row],[Total Goal Score]],MatchData[[#This Row],[Crossing Score]],MatchData[[#This Row],[Challenge Score]],MatchData[[#This Row],[Climb Score]],MatchData[[#This Row],[Total Auto Score]])</f>
        <v>16</v>
      </c>
      <c r="BK15">
        <v>2</v>
      </c>
      <c r="BL15" s="5">
        <f ca="1">IF(RANDBETWEEN(0,10)&gt;=9,RANDBETWEEN(1,9),0)</f>
        <v>0</v>
      </c>
      <c r="BM15" s="5">
        <f>VLOOKUP(MatchData[[#This Row],[Persona]],Personas!$A$2:$O$5,3)</f>
        <v>1</v>
      </c>
      <c r="BN15" s="13">
        <f>VLOOKUP(MatchData[[#This Row],[Persona]],Personas!$A$2:$P$5,4)</f>
        <v>4</v>
      </c>
      <c r="BO15" s="13">
        <f>VLOOKUP(MatchData[[#This Row],[Persona]],Personas!$A$2:$P$5,5)</f>
        <v>0</v>
      </c>
      <c r="BP15" s="13">
        <f>VLOOKUP(MatchData[[#This Row],[Persona]],Personas!$A$2:$P$5,6)</f>
        <v>0</v>
      </c>
      <c r="BQ15" s="13">
        <f>VLOOKUP(MatchData[[#This Row],[Persona]],Personas!$A$2:$P$5,7)</f>
        <v>0</v>
      </c>
      <c r="BR15" s="13">
        <f>VLOOKUP(MatchData[[#This Row],[Persona]],Personas!$A$2:$P$5,8)</f>
        <v>0</v>
      </c>
      <c r="BS15" s="13">
        <f>VLOOKUP(MatchData[[#This Row],[Persona]],Personas!$A$2:$P$5,9)</f>
        <v>2</v>
      </c>
      <c r="BT15" s="13">
        <f>VLOOKUP(MatchData[[#This Row],[Persona]],Personas!$A$2:$P$5,10)</f>
        <v>2</v>
      </c>
      <c r="BU15" s="13">
        <f>VLOOKUP(MatchData[[#This Row],[Persona]],Personas!$A$2:$P$5,11)</f>
        <v>0</v>
      </c>
      <c r="BV15" s="13">
        <f>VLOOKUP(MatchData[[#This Row],[Persona]],Personas!$A$2:$P$5,12)</f>
        <v>0</v>
      </c>
      <c r="BW15" s="13">
        <f>VLOOKUP(MatchData[[#This Row],[Persona]],Personas!$A$2:$P$5,13)</f>
        <v>2</v>
      </c>
      <c r="BX15" s="13">
        <f>VLOOKUP(MatchData[[#This Row],[Persona]],Personas!$A$2:$P$5,14)</f>
        <v>2</v>
      </c>
      <c r="BY15" s="13">
        <f>VLOOKUP(MatchData[[#This Row],[Persona]],Personas!$A$2:$P$5,15)</f>
        <v>2</v>
      </c>
      <c r="BZ15" s="13">
        <f>VLOOKUP(MatchData[[#This Row],[Persona]],Personas!$A$2:$P$5,16)</f>
        <v>1</v>
      </c>
      <c r="CA15" s="14">
        <f ca="1">ROUND(SUMIF(MatchData[Team],MatchData[[#This Row],[Team]],MatchData[Teleop Low Goals])/COUNTIF(MatchData[Team],MatchData[[#This Row],[Team]]),2)</f>
        <v>2.67</v>
      </c>
      <c r="CB15" s="14">
        <f ca="1">ROUND(SUMIF(MatchData[Team],MatchData[[#This Row],[Team]],MatchData[Teleop High Goals])/COUNTIF(MatchData[Team],MatchData[[#This Row],[Team]]),2)</f>
        <v>0</v>
      </c>
      <c r="CC15" s="14">
        <f>COUNTIF(MatchData[Team],MatchData[[#This Row],[Team]])</f>
        <v>6</v>
      </c>
      <c r="CD15" s="14">
        <f>SUMIF(MatchData[Team],MatchData[[#This Row],[Team]],MatchData[Portcullis Available])</f>
        <v>5</v>
      </c>
      <c r="CE15" s="14">
        <f>SUMIF(MatchData[Team],MatchData[[#This Row],[Team]],MatchData[Cheval Available])</f>
        <v>1</v>
      </c>
      <c r="CF15" s="14">
        <f>SUMIF(MatchData[Team],MatchData[[#This Row],[Team]],MatchData[Moat Available])</f>
        <v>1</v>
      </c>
      <c r="CG15" s="14">
        <f>SUMIF(MatchData[Team],MatchData[[#This Row],[Team]],MatchData[Ramparts Available])</f>
        <v>5</v>
      </c>
      <c r="CH15" s="14">
        <f>SUMIF(MatchData[Team],MatchData[[#This Row],[Team]],MatchData[Drawbridge Available])</f>
        <v>3</v>
      </c>
      <c r="CI15" s="14">
        <f>SUMIF(MatchData[Team],MatchData[[#This Row],[Team]],MatchData[Sally Port Available])</f>
        <v>3</v>
      </c>
      <c r="CJ15" s="14">
        <f>SUMIF(MatchData[Team],MatchData[[#This Row],[Team]],MatchData[Rock Wall Available])</f>
        <v>3</v>
      </c>
      <c r="CK15" s="14">
        <f>SUMIF(MatchData[Team],MatchData[[#This Row],[Team]],MatchData[Rough Terrain Available])</f>
        <v>3</v>
      </c>
      <c r="CL15" s="14">
        <f>SUMIF(MatchData[Team],MatchData[[#This Row],[Team]],MatchData[Low Bar Available])</f>
        <v>6</v>
      </c>
      <c r="CM15" s="14">
        <f ca="1">SUMIF(MatchData[Team],MatchData[[#This Row],[Team]],MatchData[Portcullis Teleop Crossings])</f>
        <v>0</v>
      </c>
      <c r="CN15" s="14">
        <f ca="1">SUMIF(MatchData[Team],MatchData[[#This Row],[Team]],MatchData[Cheval Teleop Crossings])</f>
        <v>0</v>
      </c>
      <c r="CO15" s="14">
        <f ca="1">SUMIF(MatchData[Team],MatchData[[#This Row],[Team]],MatchData[Moat Teleop Crossings])</f>
        <v>0</v>
      </c>
      <c r="CP15" s="14">
        <f ca="1">SUMIF(MatchData[Team],MatchData[[#This Row],[Team]],MatchData[Ramparts Teleop Crossings])</f>
        <v>5</v>
      </c>
      <c r="CQ15" s="14">
        <f ca="1">SUMIF(MatchData[Team],MatchData[[#This Row],[Team]],MatchData[Drawbridge Teleop Crossings])</f>
        <v>0</v>
      </c>
      <c r="CR15" s="14">
        <f ca="1">SUMIF(MatchData[Team],MatchData[[#This Row],[Team]],MatchData[Sally Port Teleop Crossings])</f>
        <v>0</v>
      </c>
      <c r="CS15" s="14">
        <f ca="1">SUMIF(MatchData[Team],MatchData[[#This Row],[Team]],MatchData[Rock Wall Teleop Crossings])</f>
        <v>2</v>
      </c>
      <c r="CT15" s="14">
        <f ca="1">SUMIF(MatchData[Team],MatchData[[#This Row],[Team]],MatchData[Rough Terrain Teleop Crossings])</f>
        <v>4</v>
      </c>
      <c r="CU15" s="14">
        <f ca="1">SUMIF(MatchData[Team],MatchData[[#This Row],[Team]],MatchData[Low Bar Teleop Crossings])</f>
        <v>6</v>
      </c>
      <c r="CV15" s="14">
        <f ca="1">IFERROR(ROUND(MatchData[[#This Row],[Portcullis Sum]]/MatchData[[#This Row],[Portcullis Avail Count]],2),0)</f>
        <v>0</v>
      </c>
      <c r="CW15">
        <f ca="1">IFERROR(ROUND(MatchData[[#This Row],[Cheval Sum]]/MatchData[[#This Row],[Cheval Avail Count]],2),0)</f>
        <v>0</v>
      </c>
      <c r="CX15">
        <f ca="1">IFERROR(ROUND(MatchData[[#This Row],[Moat Sum]]/MatchData[[#This Row],[Moat Avail Count]],2),0)</f>
        <v>0</v>
      </c>
      <c r="CY15">
        <f ca="1">IFERROR(ROUND(MatchData[[#This Row],[Ramparts Sum]]/MatchData[[#This Row],[Ramparts Avail Count]],2),0)</f>
        <v>1</v>
      </c>
      <c r="CZ15">
        <f ca="1">IFERROR(ROUND(MatchData[[#This Row],[Drawbridge Sum]]/MatchData[[#This Row],[Drawbridge HAvail Countigh6]],2),0)</f>
        <v>0</v>
      </c>
      <c r="DA15">
        <f ca="1">IFERROR(ROUND(MatchData[[#This Row],[Sally Port Sum]]/MatchData[[#This Row],[Sally Port Avail Count]],2),0)</f>
        <v>0</v>
      </c>
      <c r="DB15">
        <f ca="1">IFERROR(ROUND(MatchData[[#This Row],[Rock Wall Sum]]/MatchData[[#This Row],[Rock Wall Avail Count]],2),0)</f>
        <v>0.67</v>
      </c>
      <c r="DC15">
        <f ca="1">IFERROR(ROUND(MatchData[[#This Row],[Rough Terrain Sum]]/MatchData[[#This Row],[Rough Terrain Avail Count]],2),0)</f>
        <v>1.33</v>
      </c>
      <c r="DD15">
        <f ca="1">IFERROR(ROUND(MatchData[[#This Row],[Low Bar Sum]]/MatchData[[#This Row],[Low Bar Avail Count]],2),0)</f>
        <v>1</v>
      </c>
      <c r="DE15" s="14">
        <f t="array" aca="1" ref="DE15" ca="1">MAX(IF(C$4:C$75=C15,BE$4:BE$75))</f>
        <v>4</v>
      </c>
      <c r="DF15" s="14">
        <f ca="1">AVERAGEIF(MatchData[Team],MatchData[Team],MatchData[Total Score])</f>
        <v>25.5</v>
      </c>
      <c r="DG15" s="14">
        <f ca="1">ROUND(AVERAGEIF(MatchData[Team],MatchData[Team],MatchData[Climb or Challenge Flag]),2)</f>
        <v>0.67</v>
      </c>
    </row>
    <row r="16" spans="1:111">
      <c r="A16" t="s">
        <v>54</v>
      </c>
      <c r="B16" s="4">
        <v>1</v>
      </c>
      <c r="C16">
        <v>1003</v>
      </c>
      <c r="D16" t="s">
        <v>55</v>
      </c>
      <c r="E16" t="s">
        <v>59</v>
      </c>
      <c r="F16">
        <f ca="1">IF(MatchData[[#This Row],[Persona]] = 4,RANDBETWEEN(0,1),0)</f>
        <v>0</v>
      </c>
      <c r="G16">
        <f ca="1">IF(MatchData[[#This Row],[Persona]] = 3,RANDBETWEEN(0,1),0)</f>
        <v>0</v>
      </c>
      <c r="H16">
        <f ca="1">RANDBETWEEN(MatchData[[#This Row],[High Goal Low]],MatchData[[#This Row],[High Goal High]])</f>
        <v>0</v>
      </c>
      <c r="I16">
        <f ca="1">RANDBETWEEN(MatchData[[#This Row],[Low Goal Low]],MatchData[[#This Row],[Low Goal High]])</f>
        <v>5</v>
      </c>
      <c r="J16" s="6">
        <v>1</v>
      </c>
      <c r="K16" s="6"/>
      <c r="L16" s="6"/>
      <c r="M16" s="6">
        <v>1</v>
      </c>
      <c r="N16" s="6">
        <v>1</v>
      </c>
      <c r="O16" s="6"/>
      <c r="P16" s="6"/>
      <c r="Q16" s="5">
        <v>1</v>
      </c>
      <c r="R16" s="5">
        <v>1</v>
      </c>
      <c r="S16" s="5">
        <f ca="1">IF(MatchData[[#This Row],[Auto Crossing Test Generator]]=0,RANDBETWEEN(0,1),0)</f>
        <v>0</v>
      </c>
      <c r="T16" s="5">
        <f ca="1">IF(MatchData[Auto Crossing Test Generator]=1,1,0)</f>
        <v>0</v>
      </c>
      <c r="U16" s="5">
        <f ca="1">IF(MatchData[[#This Row],[Auto Crossing Test Generator]]=2,RANDBETWEEN(0,1),0)</f>
        <v>0</v>
      </c>
      <c r="V16" s="5">
        <f ca="1">IF(MatchData[[#This Row],[Auto Crossing Test Generator]]=3,RANDBETWEEN(0,1),0)</f>
        <v>0</v>
      </c>
      <c r="W16" s="5">
        <f ca="1">IF(MatchData[[#This Row],[Auto Crossing Test Generator]]=4,RANDBETWEEN(0,1),0)</f>
        <v>0</v>
      </c>
      <c r="X16" s="5">
        <f ca="1">IF(MatchData[[#This Row],[Auto Crossing Test Generator]]=5,RANDBETWEEN(0,1),0)</f>
        <v>0</v>
      </c>
      <c r="Y16" s="5">
        <f ca="1">IF(MatchData[[#This Row],[Auto Crossing Test Generator]]=6,RANDBETWEEN(0,1),0)</f>
        <v>0</v>
      </c>
      <c r="Z16" s="5">
        <f ca="1">IF(MatchData[[#This Row],[Auto Crossing Test Generator]]=7,RANDBETWEEN(0,1),0)</f>
        <v>0</v>
      </c>
      <c r="AA16" s="5">
        <f ca="1">IF(MatchData[[#This Row],[Auto Crossing Test Generator]]=8,RANDBETWEEN(0,1),0)</f>
        <v>0</v>
      </c>
      <c r="AB16" s="5">
        <f ca="1">IF(MatchData[[#This Row],[Auto Crossing Test Generator]]&gt;8,RANDBETWEEN(0,1),0)</f>
        <v>0</v>
      </c>
      <c r="AC16" s="5">
        <f ca="1">IF(MatchData[[#This Row],[Auto Crossing Test Generator]]=9,RANDBETWEEN(0,1),0)</f>
        <v>0</v>
      </c>
      <c r="AD16" s="5">
        <f ca="1">IF(MatchData[[#This Row],[Cheval Available]]=1,RANDBETWEEN(0,MatchData[[#This Row],[Cheval High]]),0)</f>
        <v>0</v>
      </c>
      <c r="AE16" s="5">
        <f ca="1">IF(MatchData[[#This Row],[Moat Available]]=1,RANDBETWEEN(0,MatchData[[#This Row],[Moat High]]),0)</f>
        <v>0</v>
      </c>
      <c r="AF16" s="5">
        <f ca="1">IF(MatchData[[#This Row],[Ramparts Available]]=1,RANDBETWEEN(0,MatchData[[#This Row],[Ramparts High]]),0)</f>
        <v>0</v>
      </c>
      <c r="AG16" s="5">
        <f ca="1">IF(MatchData[[#This Row],[Drawbridge Available]]=1,RANDBETWEEN(0,MatchData[[#This Row],[Drawbridge High]]),0)</f>
        <v>0</v>
      </c>
      <c r="AH16" s="5">
        <f ca="1">IF(MatchData[[#This Row],[Sally Port Available]]=1,RANDBETWEEN(0,MatchData[[#This Row],[Sally Port High]]),0)</f>
        <v>0</v>
      </c>
      <c r="AI16" s="5">
        <f ca="1">IF(MatchData[[#This Row],[Rock Wall Available]]=1,RANDBETWEEN(0,MatchData[[#This Row],[Rock Wall High]]),0)</f>
        <v>0</v>
      </c>
      <c r="AJ16" s="5">
        <f ca="1">IF(MatchData[[#This Row],[Rough Terrain Available]]=1,RANDBETWEEN(0,MatchData[[#This Row],[Rough Terrain High]]),0)</f>
        <v>3</v>
      </c>
      <c r="AK16" s="5">
        <f ca="1">IF(MatchData[[#This Row],[Low Bar Available]]=1,RANDBETWEEN(0,MatchData[[#This Row],[Low Bar High]]),0)</f>
        <v>2</v>
      </c>
      <c r="AL16" s="5">
        <f ca="1">IF(MatchData[Cheval Teleop Crossings]&gt;3,10, MatchData[Cheval Teleop Crossings]*5)</f>
        <v>0</v>
      </c>
      <c r="AM16" s="5">
        <f ca="1">IF(MatchData[Moat Teleop Crossings]&gt;3,10, MatchData[Moat Teleop Crossings]*5)</f>
        <v>0</v>
      </c>
      <c r="AN16" s="5">
        <f ca="1">IF(MatchData[Ramparts Teleop Crossings]&gt;3,10, MatchData[Ramparts Teleop Crossings]*5)</f>
        <v>0</v>
      </c>
      <c r="AO16" s="5">
        <f ca="1">IF(MatchData[Drawbridge Teleop Crossings]&gt;3,10, MatchData[Drawbridge Teleop Crossings]*5)</f>
        <v>0</v>
      </c>
      <c r="AP16" s="5">
        <f ca="1">IF(MatchData[Sally Port Teleop Crossings]&gt;3,10, MatchData[Sally Port Teleop Crossings]*5)</f>
        <v>0</v>
      </c>
      <c r="AQ16" s="5">
        <f ca="1">IF(MatchData[Rock Wall Teleop Crossings]&gt;3,10, MatchData[Rock Wall Teleop Crossings]*5)</f>
        <v>0</v>
      </c>
      <c r="AR16" s="5">
        <f ca="1">IF(MatchData[Rough Terrain Teleop Crossings]&gt;3,10, MatchData[Rough Terrain Teleop Crossings]*5)</f>
        <v>15</v>
      </c>
      <c r="AS16" s="5">
        <f ca="1">IF(MatchData[Low Bar Teleop Crossings]&gt;3,10, MatchData[Low Bar Teleop Crossings]*5)</f>
        <v>10</v>
      </c>
      <c r="AT16" s="5">
        <f ca="1">SUM(MatchData[[#This Row],[Portcullis Teleop Crossings]:[Low Bar Teleop Crossings]])</f>
        <v>5</v>
      </c>
      <c r="AU16" s="5">
        <f ca="1">IF(RANDBETWEEN(1,4)&gt;1,1,0)</f>
        <v>1</v>
      </c>
      <c r="AV16" s="5">
        <f ca="1">IF(MatchData[[#This Row],[Challenge Flag]]=1,0,IF(MatchData[[#This Row],[Climber]]=1,RANDBETWEEN(0,1),0))</f>
        <v>0</v>
      </c>
      <c r="AW16" s="5">
        <f ca="1">IF(MatchData[[#This Row],[Crossing Score]]&gt;=40,1,0)</f>
        <v>0</v>
      </c>
      <c r="AX16" s="5"/>
      <c r="AY16" s="5">
        <f ca="1">IF(RANDBETWEEN(1,100)&gt;95,1,0)</f>
        <v>0</v>
      </c>
      <c r="AZ16" s="5">
        <f ca="1">IF(RANDBETWEEN(1,100)&gt;80,1,0)</f>
        <v>0</v>
      </c>
      <c r="BA16" s="5">
        <f ca="1">IF(OR(MatchData[[#This Row],[Challenge Flag]],MatchData[[#This Row],[Climb Flag]]),1,0)</f>
        <v>1</v>
      </c>
      <c r="BB16" s="5">
        <f ca="1">MatchData[Auto High Goals]*10+MatchData[Teleop High Goals]*5</f>
        <v>0</v>
      </c>
      <c r="BC16" s="5">
        <f ca="1">MatchData[Auto Low Goals]*5+MatchData[Teleop Low Goals]*2</f>
        <v>10</v>
      </c>
      <c r="BD16" s="5">
        <f ca="1">MatchData[High Goal Score]+MatchData[Low Goal Score]</f>
        <v>10</v>
      </c>
      <c r="BE16" s="5">
        <f ca="1">MatchData[Teleop High Goals]+MatchData[Teleop Low Goals]</f>
        <v>5</v>
      </c>
      <c r="BF16" s="5">
        <f ca="1">MatchData[[#This Row],[Auto Reach Flag]]*2+SUM(MatchData[[#This Row],[Portcullis Auto Crossings]:[Low Bar Auto Crossings]])*10+MatchData[[#This Row],[Auto Low Goals]]*5+MatchData[Auto High Goals]*10</f>
        <v>0</v>
      </c>
      <c r="BG16" s="5">
        <f ca="1">SUM(MatchData[[#This Row],[Cheval Scored Teleop Crossings]:[Low Bar Scored Teleop Crossings]])</f>
        <v>25</v>
      </c>
      <c r="BH16" s="5">
        <f ca="1">MatchData[Challenge Flag]*5</f>
        <v>5</v>
      </c>
      <c r="BI16" s="5">
        <f ca="1">MatchData[Climb Flag]*15</f>
        <v>0</v>
      </c>
      <c r="BJ16" s="5">
        <f ca="1">SUM(MatchData[[#This Row],[Total Goal Score]],MatchData[[#This Row],[Crossing Score]],MatchData[[#This Row],[Challenge Score]],MatchData[[#This Row],[Climb Score]],MatchData[[#This Row],[Total Auto Score]])</f>
        <v>40</v>
      </c>
      <c r="BK16">
        <v>3</v>
      </c>
      <c r="BL16" s="5">
        <f ca="1">IF(RANDBETWEEN(0,10)&gt;=9,RANDBETWEEN(1,9),0)</f>
        <v>0</v>
      </c>
      <c r="BM16" s="5">
        <f>VLOOKUP(MatchData[[#This Row],[Persona]],Personas!$A$2:$O$5,3)</f>
        <v>2</v>
      </c>
      <c r="BN16" s="13">
        <f>VLOOKUP(MatchData[[#This Row],[Persona]],Personas!$A$2:$P$5,4)</f>
        <v>6</v>
      </c>
      <c r="BO16" s="13">
        <f>VLOOKUP(MatchData[[#This Row],[Persona]],Personas!$A$2:$P$5,5)</f>
        <v>0</v>
      </c>
      <c r="BP16" s="13">
        <f>VLOOKUP(MatchData[[#This Row],[Persona]],Personas!$A$2:$P$5,6)</f>
        <v>0</v>
      </c>
      <c r="BQ16" s="13">
        <f>VLOOKUP(MatchData[[#This Row],[Persona]],Personas!$A$2:$P$5,7)</f>
        <v>2</v>
      </c>
      <c r="BR16" s="13">
        <f>VLOOKUP(MatchData[[#This Row],[Persona]],Personas!$A$2:$P$5,8)</f>
        <v>2</v>
      </c>
      <c r="BS16" s="13">
        <f>VLOOKUP(MatchData[[#This Row],[Persona]],Personas!$A$2:$P$5,9)</f>
        <v>3</v>
      </c>
      <c r="BT16" s="13">
        <f>VLOOKUP(MatchData[[#This Row],[Persona]],Personas!$A$2:$P$5,10)</f>
        <v>3</v>
      </c>
      <c r="BU16" s="13">
        <f>VLOOKUP(MatchData[[#This Row],[Persona]],Personas!$A$2:$P$5,11)</f>
        <v>2</v>
      </c>
      <c r="BV16" s="13">
        <f>VLOOKUP(MatchData[[#This Row],[Persona]],Personas!$A$2:$P$5,12)</f>
        <v>2</v>
      </c>
      <c r="BW16" s="13">
        <f>VLOOKUP(MatchData[[#This Row],[Persona]],Personas!$A$2:$P$5,13)</f>
        <v>3</v>
      </c>
      <c r="BX16" s="13">
        <f>VLOOKUP(MatchData[[#This Row],[Persona]],Personas!$A$2:$P$5,14)</f>
        <v>3</v>
      </c>
      <c r="BY16" s="13">
        <f>VLOOKUP(MatchData[[#This Row],[Persona]],Personas!$A$2:$P$5,15)</f>
        <v>4</v>
      </c>
      <c r="BZ16" s="13">
        <f>VLOOKUP(MatchData[[#This Row],[Persona]],Personas!$A$2:$P$5,16)</f>
        <v>1</v>
      </c>
      <c r="CA16" s="14">
        <f ca="1">ROUND(SUMIF(MatchData[Team],MatchData[[#This Row],[Team]],MatchData[Teleop Low Goals])/COUNTIF(MatchData[Team],MatchData[[#This Row],[Team]]),2)</f>
        <v>4.5</v>
      </c>
      <c r="CB16" s="14">
        <f ca="1">ROUND(SUMIF(MatchData[Team],MatchData[[#This Row],[Team]],MatchData[Teleop High Goals])/COUNTIF(MatchData[Team],MatchData[[#This Row],[Team]]),2)</f>
        <v>0</v>
      </c>
      <c r="CC16" s="14">
        <f>COUNTIF(MatchData[Team],MatchData[[#This Row],[Team]])</f>
        <v>6</v>
      </c>
      <c r="CD16" s="14">
        <f>SUMIF(MatchData[Team],MatchData[[#This Row],[Team]],MatchData[Portcullis Available])</f>
        <v>4</v>
      </c>
      <c r="CE16" s="14">
        <f>SUMIF(MatchData[Team],MatchData[[#This Row],[Team]],MatchData[Cheval Available])</f>
        <v>2</v>
      </c>
      <c r="CF16" s="14">
        <f>SUMIF(MatchData[Team],MatchData[[#This Row],[Team]],MatchData[Moat Available])</f>
        <v>2</v>
      </c>
      <c r="CG16" s="14">
        <f>SUMIF(MatchData[Team],MatchData[[#This Row],[Team]],MatchData[Ramparts Available])</f>
        <v>4</v>
      </c>
      <c r="CH16" s="14">
        <f>SUMIF(MatchData[Team],MatchData[[#This Row],[Team]],MatchData[Drawbridge Available])</f>
        <v>3</v>
      </c>
      <c r="CI16" s="14">
        <f>SUMIF(MatchData[Team],MatchData[[#This Row],[Team]],MatchData[Sally Port Available])</f>
        <v>3</v>
      </c>
      <c r="CJ16" s="14">
        <f>SUMIF(MatchData[Team],MatchData[[#This Row],[Team]],MatchData[Rock Wall Available])</f>
        <v>3</v>
      </c>
      <c r="CK16" s="14">
        <f>SUMIF(MatchData[Team],MatchData[[#This Row],[Team]],MatchData[Rough Terrain Available])</f>
        <v>3</v>
      </c>
      <c r="CL16" s="14">
        <f>SUMIF(MatchData[Team],MatchData[[#This Row],[Team]],MatchData[Low Bar Available])</f>
        <v>6</v>
      </c>
      <c r="CM16" s="14">
        <f ca="1">SUMIF(MatchData[Team],MatchData[[#This Row],[Team]],MatchData[Portcullis Teleop Crossings])</f>
        <v>0</v>
      </c>
      <c r="CN16" s="14">
        <f ca="1">SUMIF(MatchData[Team],MatchData[[#This Row],[Team]],MatchData[Cheval Teleop Crossings])</f>
        <v>0</v>
      </c>
      <c r="CO16" s="14">
        <f ca="1">SUMIF(MatchData[Team],MatchData[[#This Row],[Team]],MatchData[Moat Teleop Crossings])</f>
        <v>3</v>
      </c>
      <c r="CP16" s="14">
        <f ca="1">SUMIF(MatchData[Team],MatchData[[#This Row],[Team]],MatchData[Ramparts Teleop Crossings])</f>
        <v>2</v>
      </c>
      <c r="CQ16" s="14">
        <f ca="1">SUMIF(MatchData[Team],MatchData[[#This Row],[Team]],MatchData[Drawbridge Teleop Crossings])</f>
        <v>3</v>
      </c>
      <c r="CR16" s="14">
        <f ca="1">SUMIF(MatchData[Team],MatchData[[#This Row],[Team]],MatchData[Sally Port Teleop Crossings])</f>
        <v>3</v>
      </c>
      <c r="CS16" s="14">
        <f ca="1">SUMIF(MatchData[Team],MatchData[[#This Row],[Team]],MatchData[Rock Wall Teleop Crossings])</f>
        <v>8</v>
      </c>
      <c r="CT16" s="14">
        <f ca="1">SUMIF(MatchData[Team],MatchData[[#This Row],[Team]],MatchData[Rough Terrain Teleop Crossings])</f>
        <v>9</v>
      </c>
      <c r="CU16" s="14">
        <f ca="1">SUMIF(MatchData[Team],MatchData[[#This Row],[Team]],MatchData[Low Bar Teleop Crossings])</f>
        <v>12</v>
      </c>
      <c r="CV16" s="14">
        <f ca="1">IFERROR(ROUND(MatchData[[#This Row],[Portcullis Sum]]/MatchData[[#This Row],[Portcullis Avail Count]],2),0)</f>
        <v>0</v>
      </c>
      <c r="CW16">
        <f ca="1">IFERROR(ROUND(MatchData[[#This Row],[Cheval Sum]]/MatchData[[#This Row],[Cheval Avail Count]],2),0)</f>
        <v>0</v>
      </c>
      <c r="CX16">
        <f ca="1">IFERROR(ROUND(MatchData[[#This Row],[Moat Sum]]/MatchData[[#This Row],[Moat Avail Count]],2),0)</f>
        <v>1.5</v>
      </c>
      <c r="CY16">
        <f ca="1">IFERROR(ROUND(MatchData[[#This Row],[Ramparts Sum]]/MatchData[[#This Row],[Ramparts Avail Count]],2),0)</f>
        <v>0.5</v>
      </c>
      <c r="CZ16">
        <f ca="1">IFERROR(ROUND(MatchData[[#This Row],[Drawbridge Sum]]/MatchData[[#This Row],[Drawbridge HAvail Countigh6]],2),0)</f>
        <v>1</v>
      </c>
      <c r="DA16">
        <f ca="1">IFERROR(ROUND(MatchData[[#This Row],[Sally Port Sum]]/MatchData[[#This Row],[Sally Port Avail Count]],2),0)</f>
        <v>1</v>
      </c>
      <c r="DB16">
        <f ca="1">IFERROR(ROUND(MatchData[[#This Row],[Rock Wall Sum]]/MatchData[[#This Row],[Rock Wall Avail Count]],2),0)</f>
        <v>2.67</v>
      </c>
      <c r="DC16">
        <f ca="1">IFERROR(ROUND(MatchData[[#This Row],[Rough Terrain Sum]]/MatchData[[#This Row],[Rough Terrain Avail Count]],2),0)</f>
        <v>3</v>
      </c>
      <c r="DD16">
        <f ca="1">IFERROR(ROUND(MatchData[[#This Row],[Low Bar Sum]]/MatchData[[#This Row],[Low Bar Avail Count]],2),0)</f>
        <v>2</v>
      </c>
      <c r="DE16" s="14">
        <f t="array" aca="1" ref="DE16" ca="1">MAX(IF(C$4:C$75=C16,BE$4:BE$75))</f>
        <v>6</v>
      </c>
      <c r="DF16" s="14">
        <f ca="1">AVERAGEIF(MatchData[Team],MatchData[Team],MatchData[Total Score])</f>
        <v>47.5</v>
      </c>
      <c r="DG16" s="14">
        <f ca="1">ROUND(AVERAGEIF(MatchData[Team],MatchData[Team],MatchData[Climb or Challenge Flag]),2)</f>
        <v>0.83</v>
      </c>
    </row>
    <row r="17" spans="1:111">
      <c r="A17" t="s">
        <v>54</v>
      </c>
      <c r="B17" s="4">
        <v>3</v>
      </c>
      <c r="C17">
        <v>1003</v>
      </c>
      <c r="D17" t="s">
        <v>56</v>
      </c>
      <c r="E17" t="s">
        <v>64</v>
      </c>
      <c r="F17">
        <f ca="1">IF(MatchData[[#This Row],[Persona]] = 4,RANDBETWEEN(0,1),0)</f>
        <v>0</v>
      </c>
      <c r="G17">
        <f ca="1">IF(MatchData[[#This Row],[Persona]] = 3,RANDBETWEEN(0,1),0)</f>
        <v>0</v>
      </c>
      <c r="H17">
        <f ca="1">RANDBETWEEN(MatchData[[#This Row],[High Goal Low]],MatchData[[#This Row],[High Goal High]])</f>
        <v>0</v>
      </c>
      <c r="I17">
        <f ca="1">RANDBETWEEN(MatchData[[#This Row],[Low Goal Low]],MatchData[[#This Row],[Low Goal High]])</f>
        <v>6</v>
      </c>
      <c r="J17" s="6">
        <v>1</v>
      </c>
      <c r="K17" s="6"/>
      <c r="L17" s="6"/>
      <c r="M17" s="6">
        <v>1</v>
      </c>
      <c r="N17" s="6"/>
      <c r="O17" s="6">
        <v>1</v>
      </c>
      <c r="P17" s="6">
        <v>1</v>
      </c>
      <c r="Q17" s="5"/>
      <c r="R17" s="5">
        <v>1</v>
      </c>
      <c r="S17" s="5">
        <f ca="1">IF(MatchData[[#This Row],[Auto Crossing Test Generator]]=0,RANDBETWEEN(0,1),0)</f>
        <v>0</v>
      </c>
      <c r="T17" s="5">
        <f ca="1">IF(MatchData[Auto Crossing Test Generator]=1,1,0)</f>
        <v>0</v>
      </c>
      <c r="U17" s="5">
        <f ca="1">IF(MatchData[[#This Row],[Auto Crossing Test Generator]]=2,RANDBETWEEN(0,1),0)</f>
        <v>0</v>
      </c>
      <c r="V17" s="5">
        <f ca="1">IF(MatchData[[#This Row],[Auto Crossing Test Generator]]=3,RANDBETWEEN(0,1),0)</f>
        <v>0</v>
      </c>
      <c r="W17" s="5">
        <f ca="1">IF(MatchData[[#This Row],[Auto Crossing Test Generator]]=4,RANDBETWEEN(0,1),0)</f>
        <v>0</v>
      </c>
      <c r="X17" s="5">
        <f ca="1">IF(MatchData[[#This Row],[Auto Crossing Test Generator]]=5,RANDBETWEEN(0,1),0)</f>
        <v>0</v>
      </c>
      <c r="Y17" s="5">
        <f ca="1">IF(MatchData[[#This Row],[Auto Crossing Test Generator]]=6,RANDBETWEEN(0,1),0)</f>
        <v>0</v>
      </c>
      <c r="Z17" s="5">
        <f ca="1">IF(MatchData[[#This Row],[Auto Crossing Test Generator]]=7,RANDBETWEEN(0,1),0)</f>
        <v>0</v>
      </c>
      <c r="AA17" s="5">
        <f ca="1">IF(MatchData[[#This Row],[Auto Crossing Test Generator]]=8,RANDBETWEEN(0,1),0)</f>
        <v>0</v>
      </c>
      <c r="AB17" s="5">
        <f ca="1">IF(MatchData[[#This Row],[Auto Crossing Test Generator]]&gt;8,RANDBETWEEN(0,1),0)</f>
        <v>0</v>
      </c>
      <c r="AC17" s="5">
        <f ca="1">IF(MatchData[[#This Row],[Auto Crossing Test Generator]]=9,RANDBETWEEN(0,1),0)</f>
        <v>0</v>
      </c>
      <c r="AD17" s="5">
        <f ca="1">IF(MatchData[[#This Row],[Cheval Available]]=1,RANDBETWEEN(0,MatchData[[#This Row],[Cheval High]]),0)</f>
        <v>0</v>
      </c>
      <c r="AE17" s="5">
        <f ca="1">IF(MatchData[[#This Row],[Moat Available]]=1,RANDBETWEEN(0,MatchData[[#This Row],[Moat High]]),0)</f>
        <v>0</v>
      </c>
      <c r="AF17" s="5">
        <f ca="1">IF(MatchData[[#This Row],[Ramparts Available]]=1,RANDBETWEEN(0,MatchData[[#This Row],[Ramparts High]]),0)</f>
        <v>1</v>
      </c>
      <c r="AG17" s="5">
        <f ca="1">IF(MatchData[[#This Row],[Drawbridge Available]]=1,RANDBETWEEN(0,MatchData[[#This Row],[Drawbridge High]]),0)</f>
        <v>0</v>
      </c>
      <c r="AH17" s="5">
        <f ca="1">IF(MatchData[[#This Row],[Sally Port Available]]=1,RANDBETWEEN(0,MatchData[[#This Row],[Sally Port High]]),0)</f>
        <v>1</v>
      </c>
      <c r="AI17" s="5">
        <f ca="1">IF(MatchData[[#This Row],[Rock Wall Available]]=1,RANDBETWEEN(0,MatchData[[#This Row],[Rock Wall High]]),0)</f>
        <v>2</v>
      </c>
      <c r="AJ17" s="5">
        <f ca="1">IF(MatchData[[#This Row],[Rough Terrain Available]]=1,RANDBETWEEN(0,MatchData[[#This Row],[Rough Terrain High]]),0)</f>
        <v>0</v>
      </c>
      <c r="AK17" s="5">
        <f ca="1">IF(MatchData[[#This Row],[Low Bar Available]]=1,RANDBETWEEN(0,MatchData[[#This Row],[Low Bar High]]),0)</f>
        <v>4</v>
      </c>
      <c r="AL17" s="5">
        <f ca="1">IF(MatchData[Cheval Teleop Crossings]&gt;3,10, MatchData[Cheval Teleop Crossings]*5)</f>
        <v>0</v>
      </c>
      <c r="AM17" s="5">
        <f ca="1">IF(MatchData[Moat Teleop Crossings]&gt;3,10, MatchData[Moat Teleop Crossings]*5)</f>
        <v>0</v>
      </c>
      <c r="AN17" s="5">
        <f ca="1">IF(MatchData[Ramparts Teleop Crossings]&gt;3,10, MatchData[Ramparts Teleop Crossings]*5)</f>
        <v>5</v>
      </c>
      <c r="AO17" s="5">
        <f ca="1">IF(MatchData[Drawbridge Teleop Crossings]&gt;3,10, MatchData[Drawbridge Teleop Crossings]*5)</f>
        <v>0</v>
      </c>
      <c r="AP17" s="5">
        <f ca="1">IF(MatchData[Sally Port Teleop Crossings]&gt;3,10, MatchData[Sally Port Teleop Crossings]*5)</f>
        <v>5</v>
      </c>
      <c r="AQ17" s="5">
        <f ca="1">IF(MatchData[Rock Wall Teleop Crossings]&gt;3,10, MatchData[Rock Wall Teleop Crossings]*5)</f>
        <v>10</v>
      </c>
      <c r="AR17" s="5">
        <f ca="1">IF(MatchData[Rough Terrain Teleop Crossings]&gt;3,10, MatchData[Rough Terrain Teleop Crossings]*5)</f>
        <v>0</v>
      </c>
      <c r="AS17" s="5">
        <f ca="1">IF(MatchData[Low Bar Teleop Crossings]&gt;3,10, MatchData[Low Bar Teleop Crossings]*5)</f>
        <v>10</v>
      </c>
      <c r="AT17" s="5">
        <f ca="1">SUM(MatchData[[#This Row],[Portcullis Teleop Crossings]:[Low Bar Teleop Crossings]])</f>
        <v>8</v>
      </c>
      <c r="AU17" s="5">
        <f ca="1">IF(RANDBETWEEN(1,4)&gt;1,1,0)</f>
        <v>1</v>
      </c>
      <c r="AV17" s="5">
        <f ca="1">IF(MatchData[[#This Row],[Challenge Flag]]=1,0,IF(MatchData[[#This Row],[Climber]]=1,RANDBETWEEN(0,1),0))</f>
        <v>0</v>
      </c>
      <c r="AW17" s="5">
        <f ca="1">IF(MatchData[[#This Row],[Crossing Score]]&gt;=40,1,0)</f>
        <v>0</v>
      </c>
      <c r="AX17" s="5"/>
      <c r="AY17" s="5">
        <f ca="1">IF(RANDBETWEEN(1,100)&gt;95,1,0)</f>
        <v>0</v>
      </c>
      <c r="AZ17" s="5">
        <f ca="1">IF(RANDBETWEEN(1,100)&gt;80,1,0)</f>
        <v>0</v>
      </c>
      <c r="BA17" s="5">
        <f ca="1">IF(OR(MatchData[[#This Row],[Challenge Flag]],MatchData[[#This Row],[Climb Flag]]),1,0)</f>
        <v>1</v>
      </c>
      <c r="BB17" s="5">
        <f ca="1">MatchData[Auto High Goals]*10+MatchData[Teleop High Goals]*5</f>
        <v>0</v>
      </c>
      <c r="BC17" s="5">
        <f ca="1">MatchData[Auto Low Goals]*5+MatchData[Teleop Low Goals]*2</f>
        <v>12</v>
      </c>
      <c r="BD17" s="5">
        <f ca="1">MatchData[High Goal Score]+MatchData[Low Goal Score]</f>
        <v>12</v>
      </c>
      <c r="BE17" s="5">
        <f ca="1">MatchData[Teleop High Goals]+MatchData[Teleop Low Goals]</f>
        <v>6</v>
      </c>
      <c r="BF17" s="5">
        <f ca="1">MatchData[[#This Row],[Auto Reach Flag]]*2+SUM(MatchData[[#This Row],[Portcullis Auto Crossings]:[Low Bar Auto Crossings]])*10+MatchData[[#This Row],[Auto Low Goals]]*5+MatchData[Auto High Goals]*10</f>
        <v>0</v>
      </c>
      <c r="BG17" s="5">
        <f ca="1">SUM(MatchData[[#This Row],[Cheval Scored Teleop Crossings]:[Low Bar Scored Teleop Crossings]])</f>
        <v>30</v>
      </c>
      <c r="BH17" s="5">
        <f ca="1">MatchData[Challenge Flag]*5</f>
        <v>5</v>
      </c>
      <c r="BI17" s="5">
        <f ca="1">MatchData[Climb Flag]*15</f>
        <v>0</v>
      </c>
      <c r="BJ17" s="5">
        <f ca="1">SUM(MatchData[[#This Row],[Total Goal Score]],MatchData[[#This Row],[Crossing Score]],MatchData[[#This Row],[Challenge Score]],MatchData[[#This Row],[Climb Score]],MatchData[[#This Row],[Total Auto Score]])</f>
        <v>47</v>
      </c>
      <c r="BK17">
        <v>3</v>
      </c>
      <c r="BL17" s="5">
        <f ca="1">IF(RANDBETWEEN(0,10)&gt;=9,RANDBETWEEN(1,9),0)</f>
        <v>0</v>
      </c>
      <c r="BM17" s="5">
        <f>VLOOKUP(MatchData[[#This Row],[Persona]],Personas!$A$2:$O$5,3)</f>
        <v>2</v>
      </c>
      <c r="BN17" s="13">
        <f>VLOOKUP(MatchData[[#This Row],[Persona]],Personas!$A$2:$P$5,4)</f>
        <v>6</v>
      </c>
      <c r="BO17" s="13">
        <f>VLOOKUP(MatchData[[#This Row],[Persona]],Personas!$A$2:$P$5,5)</f>
        <v>0</v>
      </c>
      <c r="BP17" s="13">
        <f>VLOOKUP(MatchData[[#This Row],[Persona]],Personas!$A$2:$P$5,6)</f>
        <v>0</v>
      </c>
      <c r="BQ17" s="13">
        <f>VLOOKUP(MatchData[[#This Row],[Persona]],Personas!$A$2:$P$5,7)</f>
        <v>2</v>
      </c>
      <c r="BR17" s="13">
        <f>VLOOKUP(MatchData[[#This Row],[Persona]],Personas!$A$2:$P$5,8)</f>
        <v>2</v>
      </c>
      <c r="BS17" s="13">
        <f>VLOOKUP(MatchData[[#This Row],[Persona]],Personas!$A$2:$P$5,9)</f>
        <v>3</v>
      </c>
      <c r="BT17" s="13">
        <f>VLOOKUP(MatchData[[#This Row],[Persona]],Personas!$A$2:$P$5,10)</f>
        <v>3</v>
      </c>
      <c r="BU17" s="13">
        <f>VLOOKUP(MatchData[[#This Row],[Persona]],Personas!$A$2:$P$5,11)</f>
        <v>2</v>
      </c>
      <c r="BV17" s="13">
        <f>VLOOKUP(MatchData[[#This Row],[Persona]],Personas!$A$2:$P$5,12)</f>
        <v>2</v>
      </c>
      <c r="BW17" s="13">
        <f>VLOOKUP(MatchData[[#This Row],[Persona]],Personas!$A$2:$P$5,13)</f>
        <v>3</v>
      </c>
      <c r="BX17" s="13">
        <f>VLOOKUP(MatchData[[#This Row],[Persona]],Personas!$A$2:$P$5,14)</f>
        <v>3</v>
      </c>
      <c r="BY17" s="13">
        <f>VLOOKUP(MatchData[[#This Row],[Persona]],Personas!$A$2:$P$5,15)</f>
        <v>4</v>
      </c>
      <c r="BZ17" s="13">
        <f>VLOOKUP(MatchData[[#This Row],[Persona]],Personas!$A$2:$P$5,16)</f>
        <v>1</v>
      </c>
      <c r="CA17" s="14">
        <f ca="1">ROUND(SUMIF(MatchData[Team],MatchData[[#This Row],[Team]],MatchData[Teleop Low Goals])/COUNTIF(MatchData[Team],MatchData[[#This Row],[Team]]),2)</f>
        <v>4.5</v>
      </c>
      <c r="CB17" s="14">
        <f ca="1">ROUND(SUMIF(MatchData[Team],MatchData[[#This Row],[Team]],MatchData[Teleop High Goals])/COUNTIF(MatchData[Team],MatchData[[#This Row],[Team]]),2)</f>
        <v>0</v>
      </c>
      <c r="CC17" s="14">
        <f>COUNTIF(MatchData[Team],MatchData[[#This Row],[Team]])</f>
        <v>6</v>
      </c>
      <c r="CD17" s="14">
        <f>SUMIF(MatchData[Team],MatchData[[#This Row],[Team]],MatchData[Portcullis Available])</f>
        <v>4</v>
      </c>
      <c r="CE17" s="14">
        <f>SUMIF(MatchData[Team],MatchData[[#This Row],[Team]],MatchData[Cheval Available])</f>
        <v>2</v>
      </c>
      <c r="CF17" s="14">
        <f>SUMIF(MatchData[Team],MatchData[[#This Row],[Team]],MatchData[Moat Available])</f>
        <v>2</v>
      </c>
      <c r="CG17" s="14">
        <f>SUMIF(MatchData[Team],MatchData[[#This Row],[Team]],MatchData[Ramparts Available])</f>
        <v>4</v>
      </c>
      <c r="CH17" s="14">
        <f>SUMIF(MatchData[Team],MatchData[[#This Row],[Team]],MatchData[Drawbridge Available])</f>
        <v>3</v>
      </c>
      <c r="CI17" s="14">
        <f>SUMIF(MatchData[Team],MatchData[[#This Row],[Team]],MatchData[Sally Port Available])</f>
        <v>3</v>
      </c>
      <c r="CJ17" s="14">
        <f>SUMIF(MatchData[Team],MatchData[[#This Row],[Team]],MatchData[Rock Wall Available])</f>
        <v>3</v>
      </c>
      <c r="CK17" s="14">
        <f>SUMIF(MatchData[Team],MatchData[[#This Row],[Team]],MatchData[Rough Terrain Available])</f>
        <v>3</v>
      </c>
      <c r="CL17" s="14">
        <f>SUMIF(MatchData[Team],MatchData[[#This Row],[Team]],MatchData[Low Bar Available])</f>
        <v>6</v>
      </c>
      <c r="CM17" s="14">
        <f ca="1">SUMIF(MatchData[Team],MatchData[[#This Row],[Team]],MatchData[Portcullis Teleop Crossings])</f>
        <v>0</v>
      </c>
      <c r="CN17" s="14">
        <f ca="1">SUMIF(MatchData[Team],MatchData[[#This Row],[Team]],MatchData[Cheval Teleop Crossings])</f>
        <v>0</v>
      </c>
      <c r="CO17" s="14">
        <f ca="1">SUMIF(MatchData[Team],MatchData[[#This Row],[Team]],MatchData[Moat Teleop Crossings])</f>
        <v>3</v>
      </c>
      <c r="CP17" s="14">
        <f ca="1">SUMIF(MatchData[Team],MatchData[[#This Row],[Team]],MatchData[Ramparts Teleop Crossings])</f>
        <v>2</v>
      </c>
      <c r="CQ17" s="14">
        <f ca="1">SUMIF(MatchData[Team],MatchData[[#This Row],[Team]],MatchData[Drawbridge Teleop Crossings])</f>
        <v>3</v>
      </c>
      <c r="CR17" s="14">
        <f ca="1">SUMIF(MatchData[Team],MatchData[[#This Row],[Team]],MatchData[Sally Port Teleop Crossings])</f>
        <v>3</v>
      </c>
      <c r="CS17" s="14">
        <f ca="1">SUMIF(MatchData[Team],MatchData[[#This Row],[Team]],MatchData[Rock Wall Teleop Crossings])</f>
        <v>8</v>
      </c>
      <c r="CT17" s="14">
        <f ca="1">SUMIF(MatchData[Team],MatchData[[#This Row],[Team]],MatchData[Rough Terrain Teleop Crossings])</f>
        <v>9</v>
      </c>
      <c r="CU17" s="14">
        <f ca="1">SUMIF(MatchData[Team],MatchData[[#This Row],[Team]],MatchData[Low Bar Teleop Crossings])</f>
        <v>12</v>
      </c>
      <c r="CV17" s="14">
        <f ca="1">IFERROR(ROUND(MatchData[[#This Row],[Portcullis Sum]]/MatchData[[#This Row],[Portcullis Avail Count]],2),0)</f>
        <v>0</v>
      </c>
      <c r="CW17">
        <f ca="1">IFERROR(ROUND(MatchData[[#This Row],[Cheval Sum]]/MatchData[[#This Row],[Cheval Avail Count]],2),0)</f>
        <v>0</v>
      </c>
      <c r="CX17">
        <f ca="1">IFERROR(ROUND(MatchData[[#This Row],[Moat Sum]]/MatchData[[#This Row],[Moat Avail Count]],2),0)</f>
        <v>1.5</v>
      </c>
      <c r="CY17">
        <f ca="1">IFERROR(ROUND(MatchData[[#This Row],[Ramparts Sum]]/MatchData[[#This Row],[Ramparts Avail Count]],2),0)</f>
        <v>0.5</v>
      </c>
      <c r="CZ17">
        <f ca="1">IFERROR(ROUND(MatchData[[#This Row],[Drawbridge Sum]]/MatchData[[#This Row],[Drawbridge HAvail Countigh6]],2),0)</f>
        <v>1</v>
      </c>
      <c r="DA17">
        <f ca="1">IFERROR(ROUND(MatchData[[#This Row],[Sally Port Sum]]/MatchData[[#This Row],[Sally Port Avail Count]],2),0)</f>
        <v>1</v>
      </c>
      <c r="DB17">
        <f ca="1">IFERROR(ROUND(MatchData[[#This Row],[Rock Wall Sum]]/MatchData[[#This Row],[Rock Wall Avail Count]],2),0)</f>
        <v>2.67</v>
      </c>
      <c r="DC17">
        <f ca="1">IFERROR(ROUND(MatchData[[#This Row],[Rough Terrain Sum]]/MatchData[[#This Row],[Rough Terrain Avail Count]],2),0)</f>
        <v>3</v>
      </c>
      <c r="DD17">
        <f ca="1">IFERROR(ROUND(MatchData[[#This Row],[Low Bar Sum]]/MatchData[[#This Row],[Low Bar Avail Count]],2),0)</f>
        <v>2</v>
      </c>
      <c r="DE17" s="14">
        <f t="array" aca="1" ref="DE17" ca="1">MAX(IF(C$4:C$75=C17,BE$4:BE$75))</f>
        <v>6</v>
      </c>
      <c r="DF17" s="14">
        <f ca="1">AVERAGEIF(MatchData[Team],MatchData[Team],MatchData[Total Score])</f>
        <v>47.5</v>
      </c>
      <c r="DG17" s="14">
        <f ca="1">ROUND(AVERAGEIF(MatchData[Team],MatchData[Team],MatchData[Climb or Challenge Flag]),2)</f>
        <v>0.83</v>
      </c>
    </row>
    <row r="18" spans="1:111">
      <c r="A18" t="s">
        <v>54</v>
      </c>
      <c r="B18" s="4">
        <v>5</v>
      </c>
      <c r="C18">
        <v>1003</v>
      </c>
      <c r="D18" t="s">
        <v>56</v>
      </c>
      <c r="E18" t="s">
        <v>61</v>
      </c>
      <c r="F18">
        <f ca="1">IF(MatchData[[#This Row],[Persona]] = 4,RANDBETWEEN(0,1),0)</f>
        <v>0</v>
      </c>
      <c r="G18">
        <f ca="1">IF(MatchData[[#This Row],[Persona]] = 3,RANDBETWEEN(0,1),0)</f>
        <v>0</v>
      </c>
      <c r="H18">
        <f ca="1">RANDBETWEEN(MatchData[[#This Row],[High Goal Low]],MatchData[[#This Row],[High Goal High]])</f>
        <v>0</v>
      </c>
      <c r="I18">
        <f ca="1">RANDBETWEEN(MatchData[[#This Row],[Low Goal Low]],MatchData[[#This Row],[Low Goal High]])</f>
        <v>6</v>
      </c>
      <c r="J18" s="6">
        <v>1</v>
      </c>
      <c r="K18" s="6"/>
      <c r="L18" s="6"/>
      <c r="M18" s="6">
        <v>1</v>
      </c>
      <c r="N18" s="6">
        <v>1</v>
      </c>
      <c r="O18" s="6"/>
      <c r="P18" s="6"/>
      <c r="Q18" s="5">
        <v>1</v>
      </c>
      <c r="R18" s="5">
        <v>1</v>
      </c>
      <c r="S18" s="5">
        <f ca="1">IF(MatchData[[#This Row],[Auto Crossing Test Generator]]=0,RANDBETWEEN(0,1),0)</f>
        <v>1</v>
      </c>
      <c r="T18" s="5">
        <f ca="1">IF(MatchData[Auto Crossing Test Generator]=1,1,0)</f>
        <v>0</v>
      </c>
      <c r="U18" s="5">
        <f ca="1">IF(MatchData[[#This Row],[Auto Crossing Test Generator]]=2,RANDBETWEEN(0,1),0)</f>
        <v>0</v>
      </c>
      <c r="V18" s="5">
        <f ca="1">IF(MatchData[[#This Row],[Auto Crossing Test Generator]]=3,RANDBETWEEN(0,1),0)</f>
        <v>0</v>
      </c>
      <c r="W18" s="5">
        <f ca="1">IF(MatchData[[#This Row],[Auto Crossing Test Generator]]=4,RANDBETWEEN(0,1),0)</f>
        <v>0</v>
      </c>
      <c r="X18" s="5">
        <f ca="1">IF(MatchData[[#This Row],[Auto Crossing Test Generator]]=5,RANDBETWEEN(0,1),0)</f>
        <v>0</v>
      </c>
      <c r="Y18" s="5">
        <f ca="1">IF(MatchData[[#This Row],[Auto Crossing Test Generator]]=6,RANDBETWEEN(0,1),0)</f>
        <v>0</v>
      </c>
      <c r="Z18" s="5">
        <f ca="1">IF(MatchData[[#This Row],[Auto Crossing Test Generator]]=7,RANDBETWEEN(0,1),0)</f>
        <v>0</v>
      </c>
      <c r="AA18" s="5">
        <f ca="1">IF(MatchData[[#This Row],[Auto Crossing Test Generator]]=8,RANDBETWEEN(0,1),0)</f>
        <v>0</v>
      </c>
      <c r="AB18" s="5">
        <f ca="1">IF(MatchData[[#This Row],[Auto Crossing Test Generator]]&gt;8,RANDBETWEEN(0,1),0)</f>
        <v>0</v>
      </c>
      <c r="AC18" s="5">
        <f ca="1">IF(MatchData[[#This Row],[Auto Crossing Test Generator]]=9,RANDBETWEEN(0,1),0)</f>
        <v>0</v>
      </c>
      <c r="AD18" s="5">
        <f ca="1">IF(MatchData[[#This Row],[Cheval Available]]=1,RANDBETWEEN(0,MatchData[[#This Row],[Cheval High]]),0)</f>
        <v>0</v>
      </c>
      <c r="AE18" s="5">
        <f ca="1">IF(MatchData[[#This Row],[Moat Available]]=1,RANDBETWEEN(0,MatchData[[#This Row],[Moat High]]),0)</f>
        <v>0</v>
      </c>
      <c r="AF18" s="5">
        <f ca="1">IF(MatchData[[#This Row],[Ramparts Available]]=1,RANDBETWEEN(0,MatchData[[#This Row],[Ramparts High]]),0)</f>
        <v>1</v>
      </c>
      <c r="AG18" s="5">
        <f ca="1">IF(MatchData[[#This Row],[Drawbridge Available]]=1,RANDBETWEEN(0,MatchData[[#This Row],[Drawbridge High]]),0)</f>
        <v>1</v>
      </c>
      <c r="AH18" s="5">
        <f ca="1">IF(MatchData[[#This Row],[Sally Port Available]]=1,RANDBETWEEN(0,MatchData[[#This Row],[Sally Port High]]),0)</f>
        <v>0</v>
      </c>
      <c r="AI18" s="5">
        <f ca="1">IF(MatchData[[#This Row],[Rock Wall Available]]=1,RANDBETWEEN(0,MatchData[[#This Row],[Rock Wall High]]),0)</f>
        <v>0</v>
      </c>
      <c r="AJ18" s="5">
        <f ca="1">IF(MatchData[[#This Row],[Rough Terrain Available]]=1,RANDBETWEEN(0,MatchData[[#This Row],[Rough Terrain High]]),0)</f>
        <v>3</v>
      </c>
      <c r="AK18" s="5">
        <f ca="1">IF(MatchData[[#This Row],[Low Bar Available]]=1,RANDBETWEEN(0,MatchData[[#This Row],[Low Bar High]]),0)</f>
        <v>2</v>
      </c>
      <c r="AL18" s="5">
        <f ca="1">IF(MatchData[Cheval Teleop Crossings]&gt;3,10, MatchData[Cheval Teleop Crossings]*5)</f>
        <v>0</v>
      </c>
      <c r="AM18" s="5">
        <f ca="1">IF(MatchData[Moat Teleop Crossings]&gt;3,10, MatchData[Moat Teleop Crossings]*5)</f>
        <v>0</v>
      </c>
      <c r="AN18" s="5">
        <f ca="1">IF(MatchData[Ramparts Teleop Crossings]&gt;3,10, MatchData[Ramparts Teleop Crossings]*5)</f>
        <v>5</v>
      </c>
      <c r="AO18" s="5">
        <f ca="1">IF(MatchData[Drawbridge Teleop Crossings]&gt;3,10, MatchData[Drawbridge Teleop Crossings]*5)</f>
        <v>5</v>
      </c>
      <c r="AP18" s="5">
        <f ca="1">IF(MatchData[Sally Port Teleop Crossings]&gt;3,10, MatchData[Sally Port Teleop Crossings]*5)</f>
        <v>0</v>
      </c>
      <c r="AQ18" s="5">
        <f ca="1">IF(MatchData[Rock Wall Teleop Crossings]&gt;3,10, MatchData[Rock Wall Teleop Crossings]*5)</f>
        <v>0</v>
      </c>
      <c r="AR18" s="5">
        <f ca="1">IF(MatchData[Rough Terrain Teleop Crossings]&gt;3,10, MatchData[Rough Terrain Teleop Crossings]*5)</f>
        <v>15</v>
      </c>
      <c r="AS18" s="5">
        <f ca="1">IF(MatchData[Low Bar Teleop Crossings]&gt;3,10, MatchData[Low Bar Teleop Crossings]*5)</f>
        <v>10</v>
      </c>
      <c r="AT18" s="5">
        <f ca="1">SUM(MatchData[[#This Row],[Portcullis Teleop Crossings]:[Low Bar Teleop Crossings]])</f>
        <v>7</v>
      </c>
      <c r="AU18" s="5">
        <f ca="1">IF(RANDBETWEEN(1,4)&gt;1,1,0)</f>
        <v>1</v>
      </c>
      <c r="AV18" s="5">
        <f ca="1">IF(MatchData[[#This Row],[Challenge Flag]]=1,0,IF(MatchData[[#This Row],[Climber]]=1,RANDBETWEEN(0,1),0))</f>
        <v>0</v>
      </c>
      <c r="AW18" s="5">
        <f ca="1">IF(MatchData[[#This Row],[Crossing Score]]&gt;=40,1,0)</f>
        <v>0</v>
      </c>
      <c r="AX18" s="5"/>
      <c r="AY18" s="5">
        <f ca="1">IF(RANDBETWEEN(1,100)&gt;95,1,0)</f>
        <v>0</v>
      </c>
      <c r="AZ18" s="5">
        <f ca="1">IF(RANDBETWEEN(1,100)&gt;80,1,0)</f>
        <v>0</v>
      </c>
      <c r="BA18" s="5">
        <f ca="1">IF(OR(MatchData[[#This Row],[Challenge Flag]],MatchData[[#This Row],[Climb Flag]]),1,0)</f>
        <v>1</v>
      </c>
      <c r="BB18" s="5">
        <f ca="1">MatchData[Auto High Goals]*10+MatchData[Teleop High Goals]*5</f>
        <v>0</v>
      </c>
      <c r="BC18" s="5">
        <f ca="1">MatchData[Auto Low Goals]*5+MatchData[Teleop Low Goals]*2</f>
        <v>12</v>
      </c>
      <c r="BD18" s="5">
        <f ca="1">MatchData[High Goal Score]+MatchData[Low Goal Score]</f>
        <v>12</v>
      </c>
      <c r="BE18" s="5">
        <f ca="1">MatchData[Teleop High Goals]+MatchData[Teleop Low Goals]</f>
        <v>6</v>
      </c>
      <c r="BF18" s="5">
        <f ca="1">MatchData[[#This Row],[Auto Reach Flag]]*2+SUM(MatchData[[#This Row],[Portcullis Auto Crossings]:[Low Bar Auto Crossings]])*10+MatchData[[#This Row],[Auto Low Goals]]*5+MatchData[Auto High Goals]*10</f>
        <v>2</v>
      </c>
      <c r="BG18" s="5">
        <f ca="1">SUM(MatchData[[#This Row],[Cheval Scored Teleop Crossings]:[Low Bar Scored Teleop Crossings]])</f>
        <v>35</v>
      </c>
      <c r="BH18" s="5">
        <f ca="1">MatchData[Challenge Flag]*5</f>
        <v>5</v>
      </c>
      <c r="BI18" s="5">
        <f ca="1">MatchData[Climb Flag]*15</f>
        <v>0</v>
      </c>
      <c r="BJ18" s="5">
        <f ca="1">SUM(MatchData[[#This Row],[Total Goal Score]],MatchData[[#This Row],[Crossing Score]],MatchData[[#This Row],[Challenge Score]],MatchData[[#This Row],[Climb Score]],MatchData[[#This Row],[Total Auto Score]])</f>
        <v>54</v>
      </c>
      <c r="BK18">
        <v>3</v>
      </c>
      <c r="BL18" s="5">
        <f ca="1">IF(RANDBETWEEN(0,10)&gt;=9,RANDBETWEEN(1,9),0)</f>
        <v>0</v>
      </c>
      <c r="BM18" s="5">
        <f>VLOOKUP(MatchData[[#This Row],[Persona]],Personas!$A$2:$O$5,3)</f>
        <v>2</v>
      </c>
      <c r="BN18" s="13">
        <f>VLOOKUP(MatchData[[#This Row],[Persona]],Personas!$A$2:$P$5,4)</f>
        <v>6</v>
      </c>
      <c r="BO18" s="13">
        <f>VLOOKUP(MatchData[[#This Row],[Persona]],Personas!$A$2:$P$5,5)</f>
        <v>0</v>
      </c>
      <c r="BP18" s="13">
        <f>VLOOKUP(MatchData[[#This Row],[Persona]],Personas!$A$2:$P$5,6)</f>
        <v>0</v>
      </c>
      <c r="BQ18" s="13">
        <f>VLOOKUP(MatchData[[#This Row],[Persona]],Personas!$A$2:$P$5,7)</f>
        <v>2</v>
      </c>
      <c r="BR18" s="13">
        <f>VLOOKUP(MatchData[[#This Row],[Persona]],Personas!$A$2:$P$5,8)</f>
        <v>2</v>
      </c>
      <c r="BS18" s="13">
        <f>VLOOKUP(MatchData[[#This Row],[Persona]],Personas!$A$2:$P$5,9)</f>
        <v>3</v>
      </c>
      <c r="BT18" s="13">
        <f>VLOOKUP(MatchData[[#This Row],[Persona]],Personas!$A$2:$P$5,10)</f>
        <v>3</v>
      </c>
      <c r="BU18" s="13">
        <f>VLOOKUP(MatchData[[#This Row],[Persona]],Personas!$A$2:$P$5,11)</f>
        <v>2</v>
      </c>
      <c r="BV18" s="13">
        <f>VLOOKUP(MatchData[[#This Row],[Persona]],Personas!$A$2:$P$5,12)</f>
        <v>2</v>
      </c>
      <c r="BW18" s="13">
        <f>VLOOKUP(MatchData[[#This Row],[Persona]],Personas!$A$2:$P$5,13)</f>
        <v>3</v>
      </c>
      <c r="BX18" s="13">
        <f>VLOOKUP(MatchData[[#This Row],[Persona]],Personas!$A$2:$P$5,14)</f>
        <v>3</v>
      </c>
      <c r="BY18" s="13">
        <f>VLOOKUP(MatchData[[#This Row],[Persona]],Personas!$A$2:$P$5,15)</f>
        <v>4</v>
      </c>
      <c r="BZ18" s="13">
        <f>VLOOKUP(MatchData[[#This Row],[Persona]],Personas!$A$2:$P$5,16)</f>
        <v>1</v>
      </c>
      <c r="CA18" s="14">
        <f ca="1">ROUND(SUMIF(MatchData[Team],MatchData[[#This Row],[Team]],MatchData[Teleop Low Goals])/COUNTIF(MatchData[Team],MatchData[[#This Row],[Team]]),2)</f>
        <v>4.5</v>
      </c>
      <c r="CB18" s="14">
        <f ca="1">ROUND(SUMIF(MatchData[Team],MatchData[[#This Row],[Team]],MatchData[Teleop High Goals])/COUNTIF(MatchData[Team],MatchData[[#This Row],[Team]]),2)</f>
        <v>0</v>
      </c>
      <c r="CC18" s="14">
        <f>COUNTIF(MatchData[Team],MatchData[[#This Row],[Team]])</f>
        <v>6</v>
      </c>
      <c r="CD18" s="14">
        <f>SUMIF(MatchData[Team],MatchData[[#This Row],[Team]],MatchData[Portcullis Available])</f>
        <v>4</v>
      </c>
      <c r="CE18" s="14">
        <f>SUMIF(MatchData[Team],MatchData[[#This Row],[Team]],MatchData[Cheval Available])</f>
        <v>2</v>
      </c>
      <c r="CF18" s="14">
        <f>SUMIF(MatchData[Team],MatchData[[#This Row],[Team]],MatchData[Moat Available])</f>
        <v>2</v>
      </c>
      <c r="CG18" s="14">
        <f>SUMIF(MatchData[Team],MatchData[[#This Row],[Team]],MatchData[Ramparts Available])</f>
        <v>4</v>
      </c>
      <c r="CH18" s="14">
        <f>SUMIF(MatchData[Team],MatchData[[#This Row],[Team]],MatchData[Drawbridge Available])</f>
        <v>3</v>
      </c>
      <c r="CI18" s="14">
        <f>SUMIF(MatchData[Team],MatchData[[#This Row],[Team]],MatchData[Sally Port Available])</f>
        <v>3</v>
      </c>
      <c r="CJ18" s="14">
        <f>SUMIF(MatchData[Team],MatchData[[#This Row],[Team]],MatchData[Rock Wall Available])</f>
        <v>3</v>
      </c>
      <c r="CK18" s="14">
        <f>SUMIF(MatchData[Team],MatchData[[#This Row],[Team]],MatchData[Rough Terrain Available])</f>
        <v>3</v>
      </c>
      <c r="CL18" s="14">
        <f>SUMIF(MatchData[Team],MatchData[[#This Row],[Team]],MatchData[Low Bar Available])</f>
        <v>6</v>
      </c>
      <c r="CM18" s="14">
        <f ca="1">SUMIF(MatchData[Team],MatchData[[#This Row],[Team]],MatchData[Portcullis Teleop Crossings])</f>
        <v>0</v>
      </c>
      <c r="CN18" s="14">
        <f ca="1">SUMIF(MatchData[Team],MatchData[[#This Row],[Team]],MatchData[Cheval Teleop Crossings])</f>
        <v>0</v>
      </c>
      <c r="CO18" s="14">
        <f ca="1">SUMIF(MatchData[Team],MatchData[[#This Row],[Team]],MatchData[Moat Teleop Crossings])</f>
        <v>3</v>
      </c>
      <c r="CP18" s="14">
        <f ca="1">SUMIF(MatchData[Team],MatchData[[#This Row],[Team]],MatchData[Ramparts Teleop Crossings])</f>
        <v>2</v>
      </c>
      <c r="CQ18" s="14">
        <f ca="1">SUMIF(MatchData[Team],MatchData[[#This Row],[Team]],MatchData[Drawbridge Teleop Crossings])</f>
        <v>3</v>
      </c>
      <c r="CR18" s="14">
        <f ca="1">SUMIF(MatchData[Team],MatchData[[#This Row],[Team]],MatchData[Sally Port Teleop Crossings])</f>
        <v>3</v>
      </c>
      <c r="CS18" s="14">
        <f ca="1">SUMIF(MatchData[Team],MatchData[[#This Row],[Team]],MatchData[Rock Wall Teleop Crossings])</f>
        <v>8</v>
      </c>
      <c r="CT18" s="14">
        <f ca="1">SUMIF(MatchData[Team],MatchData[[#This Row],[Team]],MatchData[Rough Terrain Teleop Crossings])</f>
        <v>9</v>
      </c>
      <c r="CU18" s="14">
        <f ca="1">SUMIF(MatchData[Team],MatchData[[#This Row],[Team]],MatchData[Low Bar Teleop Crossings])</f>
        <v>12</v>
      </c>
      <c r="CV18" s="14">
        <f ca="1">IFERROR(ROUND(MatchData[[#This Row],[Portcullis Sum]]/MatchData[[#This Row],[Portcullis Avail Count]],2),0)</f>
        <v>0</v>
      </c>
      <c r="CW18">
        <f ca="1">IFERROR(ROUND(MatchData[[#This Row],[Cheval Sum]]/MatchData[[#This Row],[Cheval Avail Count]],2),0)</f>
        <v>0</v>
      </c>
      <c r="CX18">
        <f ca="1">IFERROR(ROUND(MatchData[[#This Row],[Moat Sum]]/MatchData[[#This Row],[Moat Avail Count]],2),0)</f>
        <v>1.5</v>
      </c>
      <c r="CY18">
        <f ca="1">IFERROR(ROUND(MatchData[[#This Row],[Ramparts Sum]]/MatchData[[#This Row],[Ramparts Avail Count]],2),0)</f>
        <v>0.5</v>
      </c>
      <c r="CZ18">
        <f ca="1">IFERROR(ROUND(MatchData[[#This Row],[Drawbridge Sum]]/MatchData[[#This Row],[Drawbridge HAvail Countigh6]],2),0)</f>
        <v>1</v>
      </c>
      <c r="DA18">
        <f ca="1">IFERROR(ROUND(MatchData[[#This Row],[Sally Port Sum]]/MatchData[[#This Row],[Sally Port Avail Count]],2),0)</f>
        <v>1</v>
      </c>
      <c r="DB18">
        <f ca="1">IFERROR(ROUND(MatchData[[#This Row],[Rock Wall Sum]]/MatchData[[#This Row],[Rock Wall Avail Count]],2),0)</f>
        <v>2.67</v>
      </c>
      <c r="DC18">
        <f ca="1">IFERROR(ROUND(MatchData[[#This Row],[Rough Terrain Sum]]/MatchData[[#This Row],[Rough Terrain Avail Count]],2),0)</f>
        <v>3</v>
      </c>
      <c r="DD18">
        <f ca="1">IFERROR(ROUND(MatchData[[#This Row],[Low Bar Sum]]/MatchData[[#This Row],[Low Bar Avail Count]],2),0)</f>
        <v>2</v>
      </c>
      <c r="DE18" s="14">
        <f t="array" aca="1" ref="DE18" ca="1">MAX(IF(C$4:C$75=C18,BE$4:BE$75))</f>
        <v>6</v>
      </c>
      <c r="DF18" s="14">
        <f ca="1">AVERAGEIF(MatchData[Team],MatchData[Team],MatchData[Total Score])</f>
        <v>47.5</v>
      </c>
      <c r="DG18" s="14">
        <f ca="1">ROUND(AVERAGEIF(MatchData[Team],MatchData[Team],MatchData[Climb or Challenge Flag]),2)</f>
        <v>0.83</v>
      </c>
    </row>
    <row r="19" spans="1:111">
      <c r="A19" t="s">
        <v>54</v>
      </c>
      <c r="B19" s="4">
        <v>7</v>
      </c>
      <c r="C19">
        <v>1003</v>
      </c>
      <c r="D19" t="s">
        <v>56</v>
      </c>
      <c r="E19" t="s">
        <v>58</v>
      </c>
      <c r="F19">
        <f ca="1">IF(MatchData[[#This Row],[Persona]] = 4,RANDBETWEEN(0,1),0)</f>
        <v>0</v>
      </c>
      <c r="G19">
        <f ca="1">IF(MatchData[[#This Row],[Persona]] = 3,RANDBETWEEN(0,1),0)</f>
        <v>0</v>
      </c>
      <c r="H19">
        <f ca="1">RANDBETWEEN(MatchData[[#This Row],[High Goal Low]],MatchData[[#This Row],[High Goal High]])</f>
        <v>0</v>
      </c>
      <c r="I19">
        <f ca="1">RANDBETWEEN(MatchData[[#This Row],[Low Goal Low]],MatchData[[#This Row],[Low Goal High]])</f>
        <v>3</v>
      </c>
      <c r="J19" s="6">
        <v>1</v>
      </c>
      <c r="K19" s="6"/>
      <c r="L19" s="6"/>
      <c r="M19" s="6">
        <v>1</v>
      </c>
      <c r="N19" s="6"/>
      <c r="O19" s="6">
        <v>1</v>
      </c>
      <c r="P19" s="6">
        <v>1</v>
      </c>
      <c r="Q19" s="5"/>
      <c r="R19" s="5">
        <v>1</v>
      </c>
      <c r="S19" s="5">
        <f ca="1">IF(MatchData[[#This Row],[Auto Crossing Test Generator]]=0,RANDBETWEEN(0,1),0)</f>
        <v>0</v>
      </c>
      <c r="T19" s="5">
        <f ca="1">IF(MatchData[Auto Crossing Test Generator]=1,1,0)</f>
        <v>0</v>
      </c>
      <c r="U19" s="5">
        <f ca="1">IF(MatchData[[#This Row],[Auto Crossing Test Generator]]=2,RANDBETWEEN(0,1),0)</f>
        <v>0</v>
      </c>
      <c r="V19" s="5">
        <f ca="1">IF(MatchData[[#This Row],[Auto Crossing Test Generator]]=3,RANDBETWEEN(0,1),0)</f>
        <v>0</v>
      </c>
      <c r="W19" s="5">
        <f ca="1">IF(MatchData[[#This Row],[Auto Crossing Test Generator]]=4,RANDBETWEEN(0,1),0)</f>
        <v>0</v>
      </c>
      <c r="X19" s="5">
        <f ca="1">IF(MatchData[[#This Row],[Auto Crossing Test Generator]]=5,RANDBETWEEN(0,1),0)</f>
        <v>0</v>
      </c>
      <c r="Y19" s="5">
        <f ca="1">IF(MatchData[[#This Row],[Auto Crossing Test Generator]]=6,RANDBETWEEN(0,1),0)</f>
        <v>0</v>
      </c>
      <c r="Z19" s="5">
        <f ca="1">IF(MatchData[[#This Row],[Auto Crossing Test Generator]]=7,RANDBETWEEN(0,1),0)</f>
        <v>0</v>
      </c>
      <c r="AA19" s="5">
        <f ca="1">IF(MatchData[[#This Row],[Auto Crossing Test Generator]]=8,RANDBETWEEN(0,1),0)</f>
        <v>0</v>
      </c>
      <c r="AB19" s="5">
        <f ca="1">IF(MatchData[[#This Row],[Auto Crossing Test Generator]]&gt;8,RANDBETWEEN(0,1),0)</f>
        <v>1</v>
      </c>
      <c r="AC19" s="5">
        <f ca="1">IF(MatchData[[#This Row],[Auto Crossing Test Generator]]=9,RANDBETWEEN(0,1),0)</f>
        <v>0</v>
      </c>
      <c r="AD19" s="5">
        <f ca="1">IF(MatchData[[#This Row],[Cheval Available]]=1,RANDBETWEEN(0,MatchData[[#This Row],[Cheval High]]),0)</f>
        <v>0</v>
      </c>
      <c r="AE19" s="5">
        <f ca="1">IF(MatchData[[#This Row],[Moat Available]]=1,RANDBETWEEN(0,MatchData[[#This Row],[Moat High]]),0)</f>
        <v>0</v>
      </c>
      <c r="AF19" s="5">
        <f ca="1">IF(MatchData[[#This Row],[Ramparts Available]]=1,RANDBETWEEN(0,MatchData[[#This Row],[Ramparts High]]),0)</f>
        <v>0</v>
      </c>
      <c r="AG19" s="5">
        <f ca="1">IF(MatchData[[#This Row],[Drawbridge Available]]=1,RANDBETWEEN(0,MatchData[[#This Row],[Drawbridge High]]),0)</f>
        <v>0</v>
      </c>
      <c r="AH19" s="5">
        <f ca="1">IF(MatchData[[#This Row],[Sally Port Available]]=1,RANDBETWEEN(0,MatchData[[#This Row],[Sally Port High]]),0)</f>
        <v>1</v>
      </c>
      <c r="AI19" s="5">
        <f ca="1">IF(MatchData[[#This Row],[Rock Wall Available]]=1,RANDBETWEEN(0,MatchData[[#This Row],[Rock Wall High]]),0)</f>
        <v>3</v>
      </c>
      <c r="AJ19" s="5">
        <f ca="1">IF(MatchData[[#This Row],[Rough Terrain Available]]=1,RANDBETWEEN(0,MatchData[[#This Row],[Rough Terrain High]]),0)</f>
        <v>0</v>
      </c>
      <c r="AK19" s="5">
        <f ca="1">IF(MatchData[[#This Row],[Low Bar Available]]=1,RANDBETWEEN(0,MatchData[[#This Row],[Low Bar High]]),0)</f>
        <v>0</v>
      </c>
      <c r="AL19" s="5">
        <f ca="1">IF(MatchData[Cheval Teleop Crossings]&gt;3,10, MatchData[Cheval Teleop Crossings]*5)</f>
        <v>0</v>
      </c>
      <c r="AM19" s="5">
        <f ca="1">IF(MatchData[Moat Teleop Crossings]&gt;3,10, MatchData[Moat Teleop Crossings]*5)</f>
        <v>0</v>
      </c>
      <c r="AN19" s="5">
        <f ca="1">IF(MatchData[Ramparts Teleop Crossings]&gt;3,10, MatchData[Ramparts Teleop Crossings]*5)</f>
        <v>0</v>
      </c>
      <c r="AO19" s="5">
        <f ca="1">IF(MatchData[Drawbridge Teleop Crossings]&gt;3,10, MatchData[Drawbridge Teleop Crossings]*5)</f>
        <v>0</v>
      </c>
      <c r="AP19" s="5">
        <f ca="1">IF(MatchData[Sally Port Teleop Crossings]&gt;3,10, MatchData[Sally Port Teleop Crossings]*5)</f>
        <v>5</v>
      </c>
      <c r="AQ19" s="5">
        <f ca="1">IF(MatchData[Rock Wall Teleop Crossings]&gt;3,10, MatchData[Rock Wall Teleop Crossings]*5)</f>
        <v>15</v>
      </c>
      <c r="AR19" s="5">
        <f ca="1">IF(MatchData[Rough Terrain Teleop Crossings]&gt;3,10, MatchData[Rough Terrain Teleop Crossings]*5)</f>
        <v>0</v>
      </c>
      <c r="AS19" s="5">
        <f ca="1">IF(MatchData[Low Bar Teleop Crossings]&gt;3,10, MatchData[Low Bar Teleop Crossings]*5)</f>
        <v>0</v>
      </c>
      <c r="AT19" s="5">
        <f ca="1">SUM(MatchData[[#This Row],[Portcullis Teleop Crossings]:[Low Bar Teleop Crossings]])</f>
        <v>4</v>
      </c>
      <c r="AU19" s="5">
        <f ca="1">IF(RANDBETWEEN(1,4)&gt;1,1,0)</f>
        <v>1</v>
      </c>
      <c r="AV19" s="5">
        <f ca="1">IF(MatchData[[#This Row],[Challenge Flag]]=1,0,IF(MatchData[[#This Row],[Climber]]=1,RANDBETWEEN(0,1),0))</f>
        <v>0</v>
      </c>
      <c r="AW19" s="5">
        <f ca="1">IF(MatchData[[#This Row],[Crossing Score]]&gt;=40,1,0)</f>
        <v>0</v>
      </c>
      <c r="AX19" s="5"/>
      <c r="AY19" s="5">
        <f ca="1">IF(RANDBETWEEN(1,100)&gt;95,1,0)</f>
        <v>0</v>
      </c>
      <c r="AZ19" s="5">
        <f ca="1">IF(RANDBETWEEN(1,100)&gt;80,1,0)</f>
        <v>0</v>
      </c>
      <c r="BA19" s="5">
        <f ca="1">IF(OR(MatchData[[#This Row],[Challenge Flag]],MatchData[[#This Row],[Climb Flag]]),1,0)</f>
        <v>1</v>
      </c>
      <c r="BB19" s="5">
        <f ca="1">MatchData[Auto High Goals]*10+MatchData[Teleop High Goals]*5</f>
        <v>0</v>
      </c>
      <c r="BC19" s="5">
        <f ca="1">MatchData[Auto Low Goals]*5+MatchData[Teleop Low Goals]*2</f>
        <v>6</v>
      </c>
      <c r="BD19" s="5">
        <f ca="1">MatchData[High Goal Score]+MatchData[Low Goal Score]</f>
        <v>6</v>
      </c>
      <c r="BE19" s="5">
        <f ca="1">MatchData[Teleop High Goals]+MatchData[Teleop Low Goals]</f>
        <v>3</v>
      </c>
      <c r="BF19" s="5">
        <f ca="1">MatchData[[#This Row],[Auto Reach Flag]]*2+SUM(MatchData[[#This Row],[Portcullis Auto Crossings]:[Low Bar Auto Crossings]])*10+MatchData[[#This Row],[Auto Low Goals]]*5+MatchData[Auto High Goals]*10</f>
        <v>10</v>
      </c>
      <c r="BG19" s="5">
        <f ca="1">SUM(MatchData[[#This Row],[Cheval Scored Teleop Crossings]:[Low Bar Scored Teleop Crossings]])</f>
        <v>20</v>
      </c>
      <c r="BH19" s="5">
        <f ca="1">MatchData[Challenge Flag]*5</f>
        <v>5</v>
      </c>
      <c r="BI19" s="5">
        <f ca="1">MatchData[Climb Flag]*15</f>
        <v>0</v>
      </c>
      <c r="BJ19" s="5">
        <f ca="1">SUM(MatchData[[#This Row],[Total Goal Score]],MatchData[[#This Row],[Crossing Score]],MatchData[[#This Row],[Challenge Score]],MatchData[[#This Row],[Climb Score]],MatchData[[#This Row],[Total Auto Score]])</f>
        <v>41</v>
      </c>
      <c r="BK19">
        <v>3</v>
      </c>
      <c r="BL19" s="5">
        <f ca="1">IF(RANDBETWEEN(0,10)&gt;=9,RANDBETWEEN(1,9),0)</f>
        <v>9</v>
      </c>
      <c r="BM19" s="5">
        <f>VLOOKUP(MatchData[[#This Row],[Persona]],Personas!$A$2:$O$5,3)</f>
        <v>2</v>
      </c>
      <c r="BN19" s="13">
        <f>VLOOKUP(MatchData[[#This Row],[Persona]],Personas!$A$2:$P$5,4)</f>
        <v>6</v>
      </c>
      <c r="BO19" s="13">
        <f>VLOOKUP(MatchData[[#This Row],[Persona]],Personas!$A$2:$P$5,5)</f>
        <v>0</v>
      </c>
      <c r="BP19" s="13">
        <f>VLOOKUP(MatchData[[#This Row],[Persona]],Personas!$A$2:$P$5,6)</f>
        <v>0</v>
      </c>
      <c r="BQ19" s="13">
        <f>VLOOKUP(MatchData[[#This Row],[Persona]],Personas!$A$2:$P$5,7)</f>
        <v>2</v>
      </c>
      <c r="BR19" s="13">
        <f>VLOOKUP(MatchData[[#This Row],[Persona]],Personas!$A$2:$P$5,8)</f>
        <v>2</v>
      </c>
      <c r="BS19" s="13">
        <f>VLOOKUP(MatchData[[#This Row],[Persona]],Personas!$A$2:$P$5,9)</f>
        <v>3</v>
      </c>
      <c r="BT19" s="13">
        <f>VLOOKUP(MatchData[[#This Row],[Persona]],Personas!$A$2:$P$5,10)</f>
        <v>3</v>
      </c>
      <c r="BU19" s="13">
        <f>VLOOKUP(MatchData[[#This Row],[Persona]],Personas!$A$2:$P$5,11)</f>
        <v>2</v>
      </c>
      <c r="BV19" s="13">
        <f>VLOOKUP(MatchData[[#This Row],[Persona]],Personas!$A$2:$P$5,12)</f>
        <v>2</v>
      </c>
      <c r="BW19" s="13">
        <f>VLOOKUP(MatchData[[#This Row],[Persona]],Personas!$A$2:$P$5,13)</f>
        <v>3</v>
      </c>
      <c r="BX19" s="13">
        <f>VLOOKUP(MatchData[[#This Row],[Persona]],Personas!$A$2:$P$5,14)</f>
        <v>3</v>
      </c>
      <c r="BY19" s="13">
        <f>VLOOKUP(MatchData[[#This Row],[Persona]],Personas!$A$2:$P$5,15)</f>
        <v>4</v>
      </c>
      <c r="BZ19" s="13">
        <f>VLOOKUP(MatchData[[#This Row],[Persona]],Personas!$A$2:$P$5,16)</f>
        <v>1</v>
      </c>
      <c r="CA19" s="14">
        <f ca="1">ROUND(SUMIF(MatchData[Team],MatchData[[#This Row],[Team]],MatchData[Teleop Low Goals])/COUNTIF(MatchData[Team],MatchData[[#This Row],[Team]]),2)</f>
        <v>4.5</v>
      </c>
      <c r="CB19" s="14">
        <f ca="1">ROUND(SUMIF(MatchData[Team],MatchData[[#This Row],[Team]],MatchData[Teleop High Goals])/COUNTIF(MatchData[Team],MatchData[[#This Row],[Team]]),2)</f>
        <v>0</v>
      </c>
      <c r="CC19" s="14">
        <f>COUNTIF(MatchData[Team],MatchData[[#This Row],[Team]])</f>
        <v>6</v>
      </c>
      <c r="CD19" s="14">
        <f>SUMIF(MatchData[Team],MatchData[[#This Row],[Team]],MatchData[Portcullis Available])</f>
        <v>4</v>
      </c>
      <c r="CE19" s="14">
        <f>SUMIF(MatchData[Team],MatchData[[#This Row],[Team]],MatchData[Cheval Available])</f>
        <v>2</v>
      </c>
      <c r="CF19" s="14">
        <f>SUMIF(MatchData[Team],MatchData[[#This Row],[Team]],MatchData[Moat Available])</f>
        <v>2</v>
      </c>
      <c r="CG19" s="14">
        <f>SUMIF(MatchData[Team],MatchData[[#This Row],[Team]],MatchData[Ramparts Available])</f>
        <v>4</v>
      </c>
      <c r="CH19" s="14">
        <f>SUMIF(MatchData[Team],MatchData[[#This Row],[Team]],MatchData[Drawbridge Available])</f>
        <v>3</v>
      </c>
      <c r="CI19" s="14">
        <f>SUMIF(MatchData[Team],MatchData[[#This Row],[Team]],MatchData[Sally Port Available])</f>
        <v>3</v>
      </c>
      <c r="CJ19" s="14">
        <f>SUMIF(MatchData[Team],MatchData[[#This Row],[Team]],MatchData[Rock Wall Available])</f>
        <v>3</v>
      </c>
      <c r="CK19" s="14">
        <f>SUMIF(MatchData[Team],MatchData[[#This Row],[Team]],MatchData[Rough Terrain Available])</f>
        <v>3</v>
      </c>
      <c r="CL19" s="14">
        <f>SUMIF(MatchData[Team],MatchData[[#This Row],[Team]],MatchData[Low Bar Available])</f>
        <v>6</v>
      </c>
      <c r="CM19" s="14">
        <f ca="1">SUMIF(MatchData[Team],MatchData[[#This Row],[Team]],MatchData[Portcullis Teleop Crossings])</f>
        <v>0</v>
      </c>
      <c r="CN19" s="14">
        <f ca="1">SUMIF(MatchData[Team],MatchData[[#This Row],[Team]],MatchData[Cheval Teleop Crossings])</f>
        <v>0</v>
      </c>
      <c r="CO19" s="14">
        <f ca="1">SUMIF(MatchData[Team],MatchData[[#This Row],[Team]],MatchData[Moat Teleop Crossings])</f>
        <v>3</v>
      </c>
      <c r="CP19" s="14">
        <f ca="1">SUMIF(MatchData[Team],MatchData[[#This Row],[Team]],MatchData[Ramparts Teleop Crossings])</f>
        <v>2</v>
      </c>
      <c r="CQ19" s="14">
        <f ca="1">SUMIF(MatchData[Team],MatchData[[#This Row],[Team]],MatchData[Drawbridge Teleop Crossings])</f>
        <v>3</v>
      </c>
      <c r="CR19" s="14">
        <f ca="1">SUMIF(MatchData[Team],MatchData[[#This Row],[Team]],MatchData[Sally Port Teleop Crossings])</f>
        <v>3</v>
      </c>
      <c r="CS19" s="14">
        <f ca="1">SUMIF(MatchData[Team],MatchData[[#This Row],[Team]],MatchData[Rock Wall Teleop Crossings])</f>
        <v>8</v>
      </c>
      <c r="CT19" s="14">
        <f ca="1">SUMIF(MatchData[Team],MatchData[[#This Row],[Team]],MatchData[Rough Terrain Teleop Crossings])</f>
        <v>9</v>
      </c>
      <c r="CU19" s="14">
        <f ca="1">SUMIF(MatchData[Team],MatchData[[#This Row],[Team]],MatchData[Low Bar Teleop Crossings])</f>
        <v>12</v>
      </c>
      <c r="CV19" s="14">
        <f ca="1">IFERROR(ROUND(MatchData[[#This Row],[Portcullis Sum]]/MatchData[[#This Row],[Portcullis Avail Count]],2),0)</f>
        <v>0</v>
      </c>
      <c r="CW19">
        <f ca="1">IFERROR(ROUND(MatchData[[#This Row],[Cheval Sum]]/MatchData[[#This Row],[Cheval Avail Count]],2),0)</f>
        <v>0</v>
      </c>
      <c r="CX19">
        <f ca="1">IFERROR(ROUND(MatchData[[#This Row],[Moat Sum]]/MatchData[[#This Row],[Moat Avail Count]],2),0)</f>
        <v>1.5</v>
      </c>
      <c r="CY19">
        <f ca="1">IFERROR(ROUND(MatchData[[#This Row],[Ramparts Sum]]/MatchData[[#This Row],[Ramparts Avail Count]],2),0)</f>
        <v>0.5</v>
      </c>
      <c r="CZ19">
        <f ca="1">IFERROR(ROUND(MatchData[[#This Row],[Drawbridge Sum]]/MatchData[[#This Row],[Drawbridge HAvail Countigh6]],2),0)</f>
        <v>1</v>
      </c>
      <c r="DA19">
        <f ca="1">IFERROR(ROUND(MatchData[[#This Row],[Sally Port Sum]]/MatchData[[#This Row],[Sally Port Avail Count]],2),0)</f>
        <v>1</v>
      </c>
      <c r="DB19">
        <f ca="1">IFERROR(ROUND(MatchData[[#This Row],[Rock Wall Sum]]/MatchData[[#This Row],[Rock Wall Avail Count]],2),0)</f>
        <v>2.67</v>
      </c>
      <c r="DC19">
        <f ca="1">IFERROR(ROUND(MatchData[[#This Row],[Rough Terrain Sum]]/MatchData[[#This Row],[Rough Terrain Avail Count]],2),0)</f>
        <v>3</v>
      </c>
      <c r="DD19">
        <f ca="1">IFERROR(ROUND(MatchData[[#This Row],[Low Bar Sum]]/MatchData[[#This Row],[Low Bar Avail Count]],2),0)</f>
        <v>2</v>
      </c>
      <c r="DE19" s="14">
        <f t="array" aca="1" ref="DE19" ca="1">MAX(IF(C$4:C$75=C19,BE$4:BE$75))</f>
        <v>6</v>
      </c>
      <c r="DF19" s="14">
        <f ca="1">AVERAGEIF(MatchData[Team],MatchData[Team],MatchData[Total Score])</f>
        <v>47.5</v>
      </c>
      <c r="DG19" s="14">
        <f ca="1">ROUND(AVERAGEIF(MatchData[Team],MatchData[Team],MatchData[Climb or Challenge Flag]),2)</f>
        <v>0.83</v>
      </c>
    </row>
    <row r="20" spans="1:111">
      <c r="A20" t="s">
        <v>54</v>
      </c>
      <c r="B20" s="4">
        <v>10</v>
      </c>
      <c r="C20">
        <v>1003</v>
      </c>
      <c r="D20" t="s">
        <v>55</v>
      </c>
      <c r="E20" t="s">
        <v>63</v>
      </c>
      <c r="F20">
        <f ca="1">IF(MatchData[[#This Row],[Persona]] = 4,RANDBETWEEN(0,1),0)</f>
        <v>0</v>
      </c>
      <c r="G20">
        <f ca="1">IF(MatchData[[#This Row],[Persona]] = 3,RANDBETWEEN(0,1),0)</f>
        <v>0</v>
      </c>
      <c r="H20">
        <f ca="1">RANDBETWEEN(MatchData[[#This Row],[High Goal Low]],MatchData[[#This Row],[High Goal High]])</f>
        <v>0</v>
      </c>
      <c r="I20">
        <f ca="1">RANDBETWEEN(MatchData[[#This Row],[Low Goal Low]],MatchData[[#This Row],[Low Goal High]])</f>
        <v>4</v>
      </c>
      <c r="J20" s="6"/>
      <c r="K20" s="6">
        <v>1</v>
      </c>
      <c r="L20" s="6">
        <v>1</v>
      </c>
      <c r="M20" s="6"/>
      <c r="N20" s="6">
        <v>1</v>
      </c>
      <c r="O20" s="6"/>
      <c r="P20" s="6"/>
      <c r="Q20" s="5">
        <v>1</v>
      </c>
      <c r="R20" s="5">
        <v>1</v>
      </c>
      <c r="S20" s="5">
        <f ca="1">IF(MatchData[[#This Row],[Auto Crossing Test Generator]]=0,RANDBETWEEN(0,1),0)</f>
        <v>1</v>
      </c>
      <c r="T20" s="5">
        <f ca="1">IF(MatchData[Auto Crossing Test Generator]=1,1,0)</f>
        <v>0</v>
      </c>
      <c r="U20" s="5">
        <f ca="1">IF(MatchData[[#This Row],[Auto Crossing Test Generator]]=2,RANDBETWEEN(0,1),0)</f>
        <v>0</v>
      </c>
      <c r="V20" s="5">
        <f ca="1">IF(MatchData[[#This Row],[Auto Crossing Test Generator]]=3,RANDBETWEEN(0,1),0)</f>
        <v>0</v>
      </c>
      <c r="W20" s="5">
        <f ca="1">IF(MatchData[[#This Row],[Auto Crossing Test Generator]]=4,RANDBETWEEN(0,1),0)</f>
        <v>0</v>
      </c>
      <c r="X20" s="5">
        <f ca="1">IF(MatchData[[#This Row],[Auto Crossing Test Generator]]=5,RANDBETWEEN(0,1),0)</f>
        <v>0</v>
      </c>
      <c r="Y20" s="5">
        <f ca="1">IF(MatchData[[#This Row],[Auto Crossing Test Generator]]=6,RANDBETWEEN(0,1),0)</f>
        <v>0</v>
      </c>
      <c r="Z20" s="5">
        <f ca="1">IF(MatchData[[#This Row],[Auto Crossing Test Generator]]=7,RANDBETWEEN(0,1),0)</f>
        <v>0</v>
      </c>
      <c r="AA20" s="5">
        <f ca="1">IF(MatchData[[#This Row],[Auto Crossing Test Generator]]=8,RANDBETWEEN(0,1),0)</f>
        <v>0</v>
      </c>
      <c r="AB20" s="5">
        <f ca="1">IF(MatchData[[#This Row],[Auto Crossing Test Generator]]&gt;8,RANDBETWEEN(0,1),0)</f>
        <v>0</v>
      </c>
      <c r="AC20" s="5">
        <f ca="1">IF(MatchData[[#This Row],[Auto Crossing Test Generator]]=9,RANDBETWEEN(0,1),0)</f>
        <v>0</v>
      </c>
      <c r="AD20" s="5">
        <f ca="1">IF(MatchData[[#This Row],[Cheval Available]]=1,RANDBETWEEN(0,MatchData[[#This Row],[Cheval High]]),0)</f>
        <v>0</v>
      </c>
      <c r="AE20" s="5">
        <f ca="1">IF(MatchData[[#This Row],[Moat Available]]=1,RANDBETWEEN(0,MatchData[[#This Row],[Moat High]]),0)</f>
        <v>2</v>
      </c>
      <c r="AF20" s="5">
        <f ca="1">IF(MatchData[[#This Row],[Ramparts Available]]=1,RANDBETWEEN(0,MatchData[[#This Row],[Ramparts High]]),0)</f>
        <v>0</v>
      </c>
      <c r="AG20" s="5">
        <f ca="1">IF(MatchData[[#This Row],[Drawbridge Available]]=1,RANDBETWEEN(0,MatchData[[#This Row],[Drawbridge High]]),0)</f>
        <v>2</v>
      </c>
      <c r="AH20" s="5">
        <f ca="1">IF(MatchData[[#This Row],[Sally Port Available]]=1,RANDBETWEEN(0,MatchData[[#This Row],[Sally Port High]]),0)</f>
        <v>0</v>
      </c>
      <c r="AI20" s="5">
        <f ca="1">IF(MatchData[[#This Row],[Rock Wall Available]]=1,RANDBETWEEN(0,MatchData[[#This Row],[Rock Wall High]]),0)</f>
        <v>0</v>
      </c>
      <c r="AJ20" s="5">
        <f ca="1">IF(MatchData[[#This Row],[Rough Terrain Available]]=1,RANDBETWEEN(0,MatchData[[#This Row],[Rough Terrain High]]),0)</f>
        <v>3</v>
      </c>
      <c r="AK20" s="5">
        <f ca="1">IF(MatchData[[#This Row],[Low Bar Available]]=1,RANDBETWEEN(0,MatchData[[#This Row],[Low Bar High]]),0)</f>
        <v>4</v>
      </c>
      <c r="AL20" s="5">
        <f ca="1">IF(MatchData[Cheval Teleop Crossings]&gt;3,10, MatchData[Cheval Teleop Crossings]*5)</f>
        <v>0</v>
      </c>
      <c r="AM20" s="5">
        <f ca="1">IF(MatchData[Moat Teleop Crossings]&gt;3,10, MatchData[Moat Teleop Crossings]*5)</f>
        <v>10</v>
      </c>
      <c r="AN20" s="5">
        <f ca="1">IF(MatchData[Ramparts Teleop Crossings]&gt;3,10, MatchData[Ramparts Teleop Crossings]*5)</f>
        <v>0</v>
      </c>
      <c r="AO20" s="5">
        <f ca="1">IF(MatchData[Drawbridge Teleop Crossings]&gt;3,10, MatchData[Drawbridge Teleop Crossings]*5)</f>
        <v>10</v>
      </c>
      <c r="AP20" s="5">
        <f ca="1">IF(MatchData[Sally Port Teleop Crossings]&gt;3,10, MatchData[Sally Port Teleop Crossings]*5)</f>
        <v>0</v>
      </c>
      <c r="AQ20" s="5">
        <f ca="1">IF(MatchData[Rock Wall Teleop Crossings]&gt;3,10, MatchData[Rock Wall Teleop Crossings]*5)</f>
        <v>0</v>
      </c>
      <c r="AR20" s="5">
        <f ca="1">IF(MatchData[Rough Terrain Teleop Crossings]&gt;3,10, MatchData[Rough Terrain Teleop Crossings]*5)</f>
        <v>15</v>
      </c>
      <c r="AS20" s="5">
        <f ca="1">IF(MatchData[Low Bar Teleop Crossings]&gt;3,10, MatchData[Low Bar Teleop Crossings]*5)</f>
        <v>10</v>
      </c>
      <c r="AT20" s="5">
        <f ca="1">SUM(MatchData[[#This Row],[Portcullis Teleop Crossings]:[Low Bar Teleop Crossings]])</f>
        <v>11</v>
      </c>
      <c r="AU20" s="5">
        <f ca="1">IF(RANDBETWEEN(1,4)&gt;1,1,0)</f>
        <v>0</v>
      </c>
      <c r="AV20" s="5">
        <f ca="1">IF(MatchData[[#This Row],[Challenge Flag]]=1,0,IF(MatchData[[#This Row],[Climber]]=1,RANDBETWEEN(0,1),0))</f>
        <v>0</v>
      </c>
      <c r="AW20" s="5">
        <f ca="1">IF(MatchData[[#This Row],[Crossing Score]]&gt;=40,1,0)</f>
        <v>1</v>
      </c>
      <c r="AX20" s="5"/>
      <c r="AY20" s="5">
        <f ca="1">IF(RANDBETWEEN(1,100)&gt;95,1,0)</f>
        <v>0</v>
      </c>
      <c r="AZ20" s="5">
        <f ca="1">IF(RANDBETWEEN(1,100)&gt;80,1,0)</f>
        <v>1</v>
      </c>
      <c r="BA20" s="5">
        <f ca="1">IF(OR(MatchData[[#This Row],[Challenge Flag]],MatchData[[#This Row],[Climb Flag]]),1,0)</f>
        <v>0</v>
      </c>
      <c r="BB20" s="5">
        <f ca="1">MatchData[Auto High Goals]*10+MatchData[Teleop High Goals]*5</f>
        <v>0</v>
      </c>
      <c r="BC20" s="5">
        <f ca="1">MatchData[Auto Low Goals]*5+MatchData[Teleop Low Goals]*2</f>
        <v>8</v>
      </c>
      <c r="BD20" s="5">
        <f ca="1">MatchData[High Goal Score]+MatchData[Low Goal Score]</f>
        <v>8</v>
      </c>
      <c r="BE20" s="5">
        <f ca="1">MatchData[Teleop High Goals]+MatchData[Teleop Low Goals]</f>
        <v>4</v>
      </c>
      <c r="BF20" s="5">
        <f ca="1">MatchData[[#This Row],[Auto Reach Flag]]*2+SUM(MatchData[[#This Row],[Portcullis Auto Crossings]:[Low Bar Auto Crossings]])*10+MatchData[[#This Row],[Auto Low Goals]]*5+MatchData[Auto High Goals]*10</f>
        <v>2</v>
      </c>
      <c r="BG20" s="5">
        <f ca="1">SUM(MatchData[[#This Row],[Cheval Scored Teleop Crossings]:[Low Bar Scored Teleop Crossings]])</f>
        <v>45</v>
      </c>
      <c r="BH20" s="5">
        <f ca="1">MatchData[Challenge Flag]*5</f>
        <v>0</v>
      </c>
      <c r="BI20" s="5">
        <f ca="1">MatchData[Climb Flag]*15</f>
        <v>0</v>
      </c>
      <c r="BJ20" s="5">
        <f ca="1">SUM(MatchData[[#This Row],[Total Goal Score]],MatchData[[#This Row],[Crossing Score]],MatchData[[#This Row],[Challenge Score]],MatchData[[#This Row],[Climb Score]],MatchData[[#This Row],[Total Auto Score]])</f>
        <v>55</v>
      </c>
      <c r="BK20">
        <v>3</v>
      </c>
      <c r="BL20" s="5">
        <f ca="1">IF(RANDBETWEEN(0,10)&gt;=9,RANDBETWEEN(1,9),0)</f>
        <v>0</v>
      </c>
      <c r="BM20" s="5">
        <f>VLOOKUP(MatchData[[#This Row],[Persona]],Personas!$A$2:$O$5,3)</f>
        <v>2</v>
      </c>
      <c r="BN20" s="13">
        <f>VLOOKUP(MatchData[[#This Row],[Persona]],Personas!$A$2:$P$5,4)</f>
        <v>6</v>
      </c>
      <c r="BO20" s="13">
        <f>VLOOKUP(MatchData[[#This Row],[Persona]],Personas!$A$2:$P$5,5)</f>
        <v>0</v>
      </c>
      <c r="BP20" s="13">
        <f>VLOOKUP(MatchData[[#This Row],[Persona]],Personas!$A$2:$P$5,6)</f>
        <v>0</v>
      </c>
      <c r="BQ20" s="13">
        <f>VLOOKUP(MatchData[[#This Row],[Persona]],Personas!$A$2:$P$5,7)</f>
        <v>2</v>
      </c>
      <c r="BR20" s="13">
        <f>VLOOKUP(MatchData[[#This Row],[Persona]],Personas!$A$2:$P$5,8)</f>
        <v>2</v>
      </c>
      <c r="BS20" s="13">
        <f>VLOOKUP(MatchData[[#This Row],[Persona]],Personas!$A$2:$P$5,9)</f>
        <v>3</v>
      </c>
      <c r="BT20" s="13">
        <f>VLOOKUP(MatchData[[#This Row],[Persona]],Personas!$A$2:$P$5,10)</f>
        <v>3</v>
      </c>
      <c r="BU20" s="13">
        <f>VLOOKUP(MatchData[[#This Row],[Persona]],Personas!$A$2:$P$5,11)</f>
        <v>2</v>
      </c>
      <c r="BV20" s="13">
        <f>VLOOKUP(MatchData[[#This Row],[Persona]],Personas!$A$2:$P$5,12)</f>
        <v>2</v>
      </c>
      <c r="BW20" s="13">
        <f>VLOOKUP(MatchData[[#This Row],[Persona]],Personas!$A$2:$P$5,13)</f>
        <v>3</v>
      </c>
      <c r="BX20" s="13">
        <f>VLOOKUP(MatchData[[#This Row],[Persona]],Personas!$A$2:$P$5,14)</f>
        <v>3</v>
      </c>
      <c r="BY20" s="13">
        <f>VLOOKUP(MatchData[[#This Row],[Persona]],Personas!$A$2:$P$5,15)</f>
        <v>4</v>
      </c>
      <c r="BZ20" s="13">
        <f>VLOOKUP(MatchData[[#This Row],[Persona]],Personas!$A$2:$P$5,16)</f>
        <v>1</v>
      </c>
      <c r="CA20" s="14">
        <f ca="1">ROUND(SUMIF(MatchData[Team],MatchData[[#This Row],[Team]],MatchData[Teleop Low Goals])/COUNTIF(MatchData[Team],MatchData[[#This Row],[Team]]),2)</f>
        <v>4.5</v>
      </c>
      <c r="CB20" s="14">
        <f ca="1">ROUND(SUMIF(MatchData[Team],MatchData[[#This Row],[Team]],MatchData[Teleop High Goals])/COUNTIF(MatchData[Team],MatchData[[#This Row],[Team]]),2)</f>
        <v>0</v>
      </c>
      <c r="CC20" s="14">
        <f>COUNTIF(MatchData[Team],MatchData[[#This Row],[Team]])</f>
        <v>6</v>
      </c>
      <c r="CD20" s="14">
        <f>SUMIF(MatchData[Team],MatchData[[#This Row],[Team]],MatchData[Portcullis Available])</f>
        <v>4</v>
      </c>
      <c r="CE20" s="14">
        <f>SUMIF(MatchData[Team],MatchData[[#This Row],[Team]],MatchData[Cheval Available])</f>
        <v>2</v>
      </c>
      <c r="CF20" s="14">
        <f>SUMIF(MatchData[Team],MatchData[[#This Row],[Team]],MatchData[Moat Available])</f>
        <v>2</v>
      </c>
      <c r="CG20" s="14">
        <f>SUMIF(MatchData[Team],MatchData[[#This Row],[Team]],MatchData[Ramparts Available])</f>
        <v>4</v>
      </c>
      <c r="CH20" s="14">
        <f>SUMIF(MatchData[Team],MatchData[[#This Row],[Team]],MatchData[Drawbridge Available])</f>
        <v>3</v>
      </c>
      <c r="CI20" s="14">
        <f>SUMIF(MatchData[Team],MatchData[[#This Row],[Team]],MatchData[Sally Port Available])</f>
        <v>3</v>
      </c>
      <c r="CJ20" s="14">
        <f>SUMIF(MatchData[Team],MatchData[[#This Row],[Team]],MatchData[Rock Wall Available])</f>
        <v>3</v>
      </c>
      <c r="CK20" s="14">
        <f>SUMIF(MatchData[Team],MatchData[[#This Row],[Team]],MatchData[Rough Terrain Available])</f>
        <v>3</v>
      </c>
      <c r="CL20" s="14">
        <f>SUMIF(MatchData[Team],MatchData[[#This Row],[Team]],MatchData[Low Bar Available])</f>
        <v>6</v>
      </c>
      <c r="CM20" s="14">
        <f ca="1">SUMIF(MatchData[Team],MatchData[[#This Row],[Team]],MatchData[Portcullis Teleop Crossings])</f>
        <v>0</v>
      </c>
      <c r="CN20" s="14">
        <f ca="1">SUMIF(MatchData[Team],MatchData[[#This Row],[Team]],MatchData[Cheval Teleop Crossings])</f>
        <v>0</v>
      </c>
      <c r="CO20" s="14">
        <f ca="1">SUMIF(MatchData[Team],MatchData[[#This Row],[Team]],MatchData[Moat Teleop Crossings])</f>
        <v>3</v>
      </c>
      <c r="CP20" s="14">
        <f ca="1">SUMIF(MatchData[Team],MatchData[[#This Row],[Team]],MatchData[Ramparts Teleop Crossings])</f>
        <v>2</v>
      </c>
      <c r="CQ20" s="14">
        <f ca="1">SUMIF(MatchData[Team],MatchData[[#This Row],[Team]],MatchData[Drawbridge Teleop Crossings])</f>
        <v>3</v>
      </c>
      <c r="CR20" s="14">
        <f ca="1">SUMIF(MatchData[Team],MatchData[[#This Row],[Team]],MatchData[Sally Port Teleop Crossings])</f>
        <v>3</v>
      </c>
      <c r="CS20" s="14">
        <f ca="1">SUMIF(MatchData[Team],MatchData[[#This Row],[Team]],MatchData[Rock Wall Teleop Crossings])</f>
        <v>8</v>
      </c>
      <c r="CT20" s="14">
        <f ca="1">SUMIF(MatchData[Team],MatchData[[#This Row],[Team]],MatchData[Rough Terrain Teleop Crossings])</f>
        <v>9</v>
      </c>
      <c r="CU20" s="14">
        <f ca="1">SUMIF(MatchData[Team],MatchData[[#This Row],[Team]],MatchData[Low Bar Teleop Crossings])</f>
        <v>12</v>
      </c>
      <c r="CV20" s="14">
        <f ca="1">IFERROR(ROUND(MatchData[[#This Row],[Portcullis Sum]]/MatchData[[#This Row],[Portcullis Avail Count]],2),0)</f>
        <v>0</v>
      </c>
      <c r="CW20">
        <f ca="1">IFERROR(ROUND(MatchData[[#This Row],[Cheval Sum]]/MatchData[[#This Row],[Cheval Avail Count]],2),0)</f>
        <v>0</v>
      </c>
      <c r="CX20">
        <f ca="1">IFERROR(ROUND(MatchData[[#This Row],[Moat Sum]]/MatchData[[#This Row],[Moat Avail Count]],2),0)</f>
        <v>1.5</v>
      </c>
      <c r="CY20">
        <f ca="1">IFERROR(ROUND(MatchData[[#This Row],[Ramparts Sum]]/MatchData[[#This Row],[Ramparts Avail Count]],2),0)</f>
        <v>0.5</v>
      </c>
      <c r="CZ20">
        <f ca="1">IFERROR(ROUND(MatchData[[#This Row],[Drawbridge Sum]]/MatchData[[#This Row],[Drawbridge HAvail Countigh6]],2),0)</f>
        <v>1</v>
      </c>
      <c r="DA20">
        <f ca="1">IFERROR(ROUND(MatchData[[#This Row],[Sally Port Sum]]/MatchData[[#This Row],[Sally Port Avail Count]],2),0)</f>
        <v>1</v>
      </c>
      <c r="DB20">
        <f ca="1">IFERROR(ROUND(MatchData[[#This Row],[Rock Wall Sum]]/MatchData[[#This Row],[Rock Wall Avail Count]],2),0)</f>
        <v>2.67</v>
      </c>
      <c r="DC20">
        <f ca="1">IFERROR(ROUND(MatchData[[#This Row],[Rough Terrain Sum]]/MatchData[[#This Row],[Rough Terrain Avail Count]],2),0)</f>
        <v>3</v>
      </c>
      <c r="DD20">
        <f ca="1">IFERROR(ROUND(MatchData[[#This Row],[Low Bar Sum]]/MatchData[[#This Row],[Low Bar Avail Count]],2),0)</f>
        <v>2</v>
      </c>
      <c r="DE20" s="14">
        <f t="array" aca="1" ref="DE20" ca="1">MAX(IF(C$4:C$75=C20,BE$4:BE$75))</f>
        <v>6</v>
      </c>
      <c r="DF20" s="14">
        <f ca="1">AVERAGEIF(MatchData[Team],MatchData[Team],MatchData[Total Score])</f>
        <v>47.5</v>
      </c>
      <c r="DG20" s="14">
        <f ca="1">ROUND(AVERAGEIF(MatchData[Team],MatchData[Team],MatchData[Climb or Challenge Flag]),2)</f>
        <v>0.83</v>
      </c>
    </row>
    <row r="21" spans="1:111">
      <c r="A21" t="s">
        <v>54</v>
      </c>
      <c r="B21" s="4">
        <v>12</v>
      </c>
      <c r="C21">
        <v>1003</v>
      </c>
      <c r="D21" t="s">
        <v>55</v>
      </c>
      <c r="E21" t="s">
        <v>60</v>
      </c>
      <c r="F21">
        <f ca="1">IF(MatchData[[#This Row],[Persona]] = 4,RANDBETWEEN(0,1),0)</f>
        <v>0</v>
      </c>
      <c r="G21">
        <f ca="1">IF(MatchData[[#This Row],[Persona]] = 3,RANDBETWEEN(0,1),0)</f>
        <v>1</v>
      </c>
      <c r="H21">
        <f ca="1">RANDBETWEEN(MatchData[[#This Row],[High Goal Low]],MatchData[[#This Row],[High Goal High]])</f>
        <v>0</v>
      </c>
      <c r="I21">
        <f ca="1">RANDBETWEEN(MatchData[[#This Row],[Low Goal Low]],MatchData[[#This Row],[Low Goal High]])</f>
        <v>3</v>
      </c>
      <c r="J21" s="6"/>
      <c r="K21" s="6">
        <v>1</v>
      </c>
      <c r="L21" s="6">
        <v>1</v>
      </c>
      <c r="M21" s="6"/>
      <c r="N21" s="6"/>
      <c r="O21" s="6">
        <v>1</v>
      </c>
      <c r="P21" s="6">
        <v>1</v>
      </c>
      <c r="Q21" s="5"/>
      <c r="R21" s="5">
        <v>1</v>
      </c>
      <c r="S21" s="5">
        <f ca="1">IF(MatchData[[#This Row],[Auto Crossing Test Generator]]=0,RANDBETWEEN(0,1),0)</f>
        <v>1</v>
      </c>
      <c r="T21" s="5">
        <f ca="1">IF(MatchData[Auto Crossing Test Generator]=1,1,0)</f>
        <v>0</v>
      </c>
      <c r="U21" s="5">
        <f ca="1">IF(MatchData[[#This Row],[Auto Crossing Test Generator]]=2,RANDBETWEEN(0,1),0)</f>
        <v>0</v>
      </c>
      <c r="V21" s="5">
        <f ca="1">IF(MatchData[[#This Row],[Auto Crossing Test Generator]]=3,RANDBETWEEN(0,1),0)</f>
        <v>0</v>
      </c>
      <c r="W21" s="5">
        <f ca="1">IF(MatchData[[#This Row],[Auto Crossing Test Generator]]=4,RANDBETWEEN(0,1),0)</f>
        <v>0</v>
      </c>
      <c r="X21" s="5">
        <f ca="1">IF(MatchData[[#This Row],[Auto Crossing Test Generator]]=5,RANDBETWEEN(0,1),0)</f>
        <v>0</v>
      </c>
      <c r="Y21" s="5">
        <f ca="1">IF(MatchData[[#This Row],[Auto Crossing Test Generator]]=6,RANDBETWEEN(0,1),0)</f>
        <v>0</v>
      </c>
      <c r="Z21" s="5">
        <f ca="1">IF(MatchData[[#This Row],[Auto Crossing Test Generator]]=7,RANDBETWEEN(0,1),0)</f>
        <v>0</v>
      </c>
      <c r="AA21" s="5">
        <f ca="1">IF(MatchData[[#This Row],[Auto Crossing Test Generator]]=8,RANDBETWEEN(0,1),0)</f>
        <v>0</v>
      </c>
      <c r="AB21" s="5">
        <f ca="1">IF(MatchData[[#This Row],[Auto Crossing Test Generator]]&gt;8,RANDBETWEEN(0,1),0)</f>
        <v>0</v>
      </c>
      <c r="AC21" s="5">
        <f ca="1">IF(MatchData[[#This Row],[Auto Crossing Test Generator]]=9,RANDBETWEEN(0,1),0)</f>
        <v>0</v>
      </c>
      <c r="AD21" s="5">
        <f ca="1">IF(MatchData[[#This Row],[Cheval Available]]=1,RANDBETWEEN(0,MatchData[[#This Row],[Cheval High]]),0)</f>
        <v>0</v>
      </c>
      <c r="AE21" s="5">
        <f ca="1">IF(MatchData[[#This Row],[Moat Available]]=1,RANDBETWEEN(0,MatchData[[#This Row],[Moat High]]),0)</f>
        <v>1</v>
      </c>
      <c r="AF21" s="5">
        <f ca="1">IF(MatchData[[#This Row],[Ramparts Available]]=1,RANDBETWEEN(0,MatchData[[#This Row],[Ramparts High]]),0)</f>
        <v>0</v>
      </c>
      <c r="AG21" s="5">
        <f ca="1">IF(MatchData[[#This Row],[Drawbridge Available]]=1,RANDBETWEEN(0,MatchData[[#This Row],[Drawbridge High]]),0)</f>
        <v>0</v>
      </c>
      <c r="AH21" s="5">
        <f ca="1">IF(MatchData[[#This Row],[Sally Port Available]]=1,RANDBETWEEN(0,MatchData[[#This Row],[Sally Port High]]),0)</f>
        <v>1</v>
      </c>
      <c r="AI21" s="5">
        <f ca="1">IF(MatchData[[#This Row],[Rock Wall Available]]=1,RANDBETWEEN(0,MatchData[[#This Row],[Rock Wall High]]),0)</f>
        <v>3</v>
      </c>
      <c r="AJ21" s="5">
        <f ca="1">IF(MatchData[[#This Row],[Rough Terrain Available]]=1,RANDBETWEEN(0,MatchData[[#This Row],[Rough Terrain High]]),0)</f>
        <v>0</v>
      </c>
      <c r="AK21" s="5">
        <f ca="1">IF(MatchData[[#This Row],[Low Bar Available]]=1,RANDBETWEEN(0,MatchData[[#This Row],[Low Bar High]]),0)</f>
        <v>0</v>
      </c>
      <c r="AL21" s="5">
        <f ca="1">IF(MatchData[Cheval Teleop Crossings]&gt;3,10, MatchData[Cheval Teleop Crossings]*5)</f>
        <v>0</v>
      </c>
      <c r="AM21" s="5">
        <f ca="1">IF(MatchData[Moat Teleop Crossings]&gt;3,10, MatchData[Moat Teleop Crossings]*5)</f>
        <v>5</v>
      </c>
      <c r="AN21" s="5">
        <f ca="1">IF(MatchData[Ramparts Teleop Crossings]&gt;3,10, MatchData[Ramparts Teleop Crossings]*5)</f>
        <v>0</v>
      </c>
      <c r="AO21" s="5">
        <f ca="1">IF(MatchData[Drawbridge Teleop Crossings]&gt;3,10, MatchData[Drawbridge Teleop Crossings]*5)</f>
        <v>0</v>
      </c>
      <c r="AP21" s="5">
        <f ca="1">IF(MatchData[Sally Port Teleop Crossings]&gt;3,10, MatchData[Sally Port Teleop Crossings]*5)</f>
        <v>5</v>
      </c>
      <c r="AQ21" s="5">
        <f ca="1">IF(MatchData[Rock Wall Teleop Crossings]&gt;3,10, MatchData[Rock Wall Teleop Crossings]*5)</f>
        <v>15</v>
      </c>
      <c r="AR21" s="5">
        <f ca="1">IF(MatchData[Rough Terrain Teleop Crossings]&gt;3,10, MatchData[Rough Terrain Teleop Crossings]*5)</f>
        <v>0</v>
      </c>
      <c r="AS21" s="5">
        <f ca="1">IF(MatchData[Low Bar Teleop Crossings]&gt;3,10, MatchData[Low Bar Teleop Crossings]*5)</f>
        <v>0</v>
      </c>
      <c r="AT21" s="5">
        <f ca="1">SUM(MatchData[[#This Row],[Portcullis Teleop Crossings]:[Low Bar Teleop Crossings]])</f>
        <v>5</v>
      </c>
      <c r="AU21" s="5">
        <f ca="1">IF(RANDBETWEEN(1,4)&gt;1,1,0)</f>
        <v>1</v>
      </c>
      <c r="AV21" s="5">
        <f ca="1">IF(MatchData[[#This Row],[Challenge Flag]]=1,0,IF(MatchData[[#This Row],[Climber]]=1,RANDBETWEEN(0,1),0))</f>
        <v>0</v>
      </c>
      <c r="AW21" s="5">
        <f ca="1">IF(MatchData[[#This Row],[Crossing Score]]&gt;=40,1,0)</f>
        <v>0</v>
      </c>
      <c r="AX21" s="5"/>
      <c r="AY21" s="5">
        <f ca="1">IF(RANDBETWEEN(1,100)&gt;95,1,0)</f>
        <v>0</v>
      </c>
      <c r="AZ21" s="5">
        <f ca="1">IF(RANDBETWEEN(1,100)&gt;80,1,0)</f>
        <v>0</v>
      </c>
      <c r="BA21" s="5">
        <f ca="1">IF(OR(MatchData[[#This Row],[Challenge Flag]],MatchData[[#This Row],[Climb Flag]]),1,0)</f>
        <v>1</v>
      </c>
      <c r="BB21" s="5">
        <f ca="1">MatchData[Auto High Goals]*10+MatchData[Teleop High Goals]*5</f>
        <v>0</v>
      </c>
      <c r="BC21" s="5">
        <f ca="1">MatchData[Auto Low Goals]*5+MatchData[Teleop Low Goals]*2</f>
        <v>11</v>
      </c>
      <c r="BD21" s="5">
        <f ca="1">MatchData[High Goal Score]+MatchData[Low Goal Score]</f>
        <v>11</v>
      </c>
      <c r="BE21" s="5">
        <f ca="1">MatchData[Teleop High Goals]+MatchData[Teleop Low Goals]</f>
        <v>3</v>
      </c>
      <c r="BF21" s="5">
        <f ca="1">MatchData[[#This Row],[Auto Reach Flag]]*2+SUM(MatchData[[#This Row],[Portcullis Auto Crossings]:[Low Bar Auto Crossings]])*10+MatchData[[#This Row],[Auto Low Goals]]*5+MatchData[Auto High Goals]*10</f>
        <v>7</v>
      </c>
      <c r="BG21" s="5">
        <f ca="1">SUM(MatchData[[#This Row],[Cheval Scored Teleop Crossings]:[Low Bar Scored Teleop Crossings]])</f>
        <v>25</v>
      </c>
      <c r="BH21" s="5">
        <f ca="1">MatchData[Challenge Flag]*5</f>
        <v>5</v>
      </c>
      <c r="BI21" s="5">
        <f ca="1">MatchData[Climb Flag]*15</f>
        <v>0</v>
      </c>
      <c r="BJ21" s="5">
        <f ca="1">SUM(MatchData[[#This Row],[Total Goal Score]],MatchData[[#This Row],[Crossing Score]],MatchData[[#This Row],[Challenge Score]],MatchData[[#This Row],[Climb Score]],MatchData[[#This Row],[Total Auto Score]])</f>
        <v>48</v>
      </c>
      <c r="BK21">
        <v>3</v>
      </c>
      <c r="BL21" s="5">
        <f ca="1">IF(RANDBETWEEN(0,10)&gt;=9,RANDBETWEEN(1,9),0)</f>
        <v>0</v>
      </c>
      <c r="BM21" s="5">
        <f>VLOOKUP(MatchData[[#This Row],[Persona]],Personas!$A$2:$O$5,3)</f>
        <v>2</v>
      </c>
      <c r="BN21" s="13">
        <f>VLOOKUP(MatchData[[#This Row],[Persona]],Personas!$A$2:$P$5,4)</f>
        <v>6</v>
      </c>
      <c r="BO21" s="13">
        <f>VLOOKUP(MatchData[[#This Row],[Persona]],Personas!$A$2:$P$5,5)</f>
        <v>0</v>
      </c>
      <c r="BP21" s="13">
        <f>VLOOKUP(MatchData[[#This Row],[Persona]],Personas!$A$2:$P$5,6)</f>
        <v>0</v>
      </c>
      <c r="BQ21" s="13">
        <f>VLOOKUP(MatchData[[#This Row],[Persona]],Personas!$A$2:$P$5,7)</f>
        <v>2</v>
      </c>
      <c r="BR21" s="13">
        <f>VLOOKUP(MatchData[[#This Row],[Persona]],Personas!$A$2:$P$5,8)</f>
        <v>2</v>
      </c>
      <c r="BS21" s="13">
        <f>VLOOKUP(MatchData[[#This Row],[Persona]],Personas!$A$2:$P$5,9)</f>
        <v>3</v>
      </c>
      <c r="BT21" s="13">
        <f>VLOOKUP(MatchData[[#This Row],[Persona]],Personas!$A$2:$P$5,10)</f>
        <v>3</v>
      </c>
      <c r="BU21" s="13">
        <f>VLOOKUP(MatchData[[#This Row],[Persona]],Personas!$A$2:$P$5,11)</f>
        <v>2</v>
      </c>
      <c r="BV21" s="13">
        <f>VLOOKUP(MatchData[[#This Row],[Persona]],Personas!$A$2:$P$5,12)</f>
        <v>2</v>
      </c>
      <c r="BW21" s="13">
        <f>VLOOKUP(MatchData[[#This Row],[Persona]],Personas!$A$2:$P$5,13)</f>
        <v>3</v>
      </c>
      <c r="BX21" s="13">
        <f>VLOOKUP(MatchData[[#This Row],[Persona]],Personas!$A$2:$P$5,14)</f>
        <v>3</v>
      </c>
      <c r="BY21" s="13">
        <f>VLOOKUP(MatchData[[#This Row],[Persona]],Personas!$A$2:$P$5,15)</f>
        <v>4</v>
      </c>
      <c r="BZ21" s="13">
        <f>VLOOKUP(MatchData[[#This Row],[Persona]],Personas!$A$2:$P$5,16)</f>
        <v>1</v>
      </c>
      <c r="CA21" s="14">
        <f ca="1">ROUND(SUMIF(MatchData[Team],MatchData[[#This Row],[Team]],MatchData[Teleop Low Goals])/COUNTIF(MatchData[Team],MatchData[[#This Row],[Team]]),2)</f>
        <v>4.5</v>
      </c>
      <c r="CB21" s="14">
        <f ca="1">ROUND(SUMIF(MatchData[Team],MatchData[[#This Row],[Team]],MatchData[Teleop High Goals])/COUNTIF(MatchData[Team],MatchData[[#This Row],[Team]]),2)</f>
        <v>0</v>
      </c>
      <c r="CC21" s="14">
        <f>COUNTIF(MatchData[Team],MatchData[[#This Row],[Team]])</f>
        <v>6</v>
      </c>
      <c r="CD21" s="14">
        <f>SUMIF(MatchData[Team],MatchData[[#This Row],[Team]],MatchData[Portcullis Available])</f>
        <v>4</v>
      </c>
      <c r="CE21" s="14">
        <f>SUMIF(MatchData[Team],MatchData[[#This Row],[Team]],MatchData[Cheval Available])</f>
        <v>2</v>
      </c>
      <c r="CF21" s="14">
        <f>SUMIF(MatchData[Team],MatchData[[#This Row],[Team]],MatchData[Moat Available])</f>
        <v>2</v>
      </c>
      <c r="CG21" s="14">
        <f>SUMIF(MatchData[Team],MatchData[[#This Row],[Team]],MatchData[Ramparts Available])</f>
        <v>4</v>
      </c>
      <c r="CH21" s="14">
        <f>SUMIF(MatchData[Team],MatchData[[#This Row],[Team]],MatchData[Drawbridge Available])</f>
        <v>3</v>
      </c>
      <c r="CI21" s="14">
        <f>SUMIF(MatchData[Team],MatchData[[#This Row],[Team]],MatchData[Sally Port Available])</f>
        <v>3</v>
      </c>
      <c r="CJ21" s="14">
        <f>SUMIF(MatchData[Team],MatchData[[#This Row],[Team]],MatchData[Rock Wall Available])</f>
        <v>3</v>
      </c>
      <c r="CK21" s="14">
        <f>SUMIF(MatchData[Team],MatchData[[#This Row],[Team]],MatchData[Rough Terrain Available])</f>
        <v>3</v>
      </c>
      <c r="CL21" s="14">
        <f>SUMIF(MatchData[Team],MatchData[[#This Row],[Team]],MatchData[Low Bar Available])</f>
        <v>6</v>
      </c>
      <c r="CM21" s="14">
        <f ca="1">SUMIF(MatchData[Team],MatchData[[#This Row],[Team]],MatchData[Portcullis Teleop Crossings])</f>
        <v>0</v>
      </c>
      <c r="CN21" s="14">
        <f ca="1">SUMIF(MatchData[Team],MatchData[[#This Row],[Team]],MatchData[Cheval Teleop Crossings])</f>
        <v>0</v>
      </c>
      <c r="CO21" s="14">
        <f ca="1">SUMIF(MatchData[Team],MatchData[[#This Row],[Team]],MatchData[Moat Teleop Crossings])</f>
        <v>3</v>
      </c>
      <c r="CP21" s="14">
        <f ca="1">SUMIF(MatchData[Team],MatchData[[#This Row],[Team]],MatchData[Ramparts Teleop Crossings])</f>
        <v>2</v>
      </c>
      <c r="CQ21" s="14">
        <f ca="1">SUMIF(MatchData[Team],MatchData[[#This Row],[Team]],MatchData[Drawbridge Teleop Crossings])</f>
        <v>3</v>
      </c>
      <c r="CR21" s="14">
        <f ca="1">SUMIF(MatchData[Team],MatchData[[#This Row],[Team]],MatchData[Sally Port Teleop Crossings])</f>
        <v>3</v>
      </c>
      <c r="CS21" s="14">
        <f ca="1">SUMIF(MatchData[Team],MatchData[[#This Row],[Team]],MatchData[Rock Wall Teleop Crossings])</f>
        <v>8</v>
      </c>
      <c r="CT21" s="14">
        <f ca="1">SUMIF(MatchData[Team],MatchData[[#This Row],[Team]],MatchData[Rough Terrain Teleop Crossings])</f>
        <v>9</v>
      </c>
      <c r="CU21" s="14">
        <f ca="1">SUMIF(MatchData[Team],MatchData[[#This Row],[Team]],MatchData[Low Bar Teleop Crossings])</f>
        <v>12</v>
      </c>
      <c r="CV21" s="14">
        <f ca="1">IFERROR(ROUND(MatchData[[#This Row],[Portcullis Sum]]/MatchData[[#This Row],[Portcullis Avail Count]],2),0)</f>
        <v>0</v>
      </c>
      <c r="CW21">
        <f ca="1">IFERROR(ROUND(MatchData[[#This Row],[Cheval Sum]]/MatchData[[#This Row],[Cheval Avail Count]],2),0)</f>
        <v>0</v>
      </c>
      <c r="CX21">
        <f ca="1">IFERROR(ROUND(MatchData[[#This Row],[Moat Sum]]/MatchData[[#This Row],[Moat Avail Count]],2),0)</f>
        <v>1.5</v>
      </c>
      <c r="CY21">
        <f ca="1">IFERROR(ROUND(MatchData[[#This Row],[Ramparts Sum]]/MatchData[[#This Row],[Ramparts Avail Count]],2),0)</f>
        <v>0.5</v>
      </c>
      <c r="CZ21">
        <f ca="1">IFERROR(ROUND(MatchData[[#This Row],[Drawbridge Sum]]/MatchData[[#This Row],[Drawbridge HAvail Countigh6]],2),0)</f>
        <v>1</v>
      </c>
      <c r="DA21">
        <f ca="1">IFERROR(ROUND(MatchData[[#This Row],[Sally Port Sum]]/MatchData[[#This Row],[Sally Port Avail Count]],2),0)</f>
        <v>1</v>
      </c>
      <c r="DB21">
        <f ca="1">IFERROR(ROUND(MatchData[[#This Row],[Rock Wall Sum]]/MatchData[[#This Row],[Rock Wall Avail Count]],2),0)</f>
        <v>2.67</v>
      </c>
      <c r="DC21">
        <f ca="1">IFERROR(ROUND(MatchData[[#This Row],[Rough Terrain Sum]]/MatchData[[#This Row],[Rough Terrain Avail Count]],2),0)</f>
        <v>3</v>
      </c>
      <c r="DD21">
        <f ca="1">IFERROR(ROUND(MatchData[[#This Row],[Low Bar Sum]]/MatchData[[#This Row],[Low Bar Avail Count]],2),0)</f>
        <v>2</v>
      </c>
      <c r="DE21" s="14">
        <f t="array" aca="1" ref="DE21" ca="1">MAX(IF(C$4:C$75=C21,BE$4:BE$75))</f>
        <v>6</v>
      </c>
      <c r="DF21" s="14">
        <f ca="1">AVERAGEIF(MatchData[Team],MatchData[Team],MatchData[Total Score])</f>
        <v>47.5</v>
      </c>
      <c r="DG21" s="14">
        <f ca="1">ROUND(AVERAGEIF(MatchData[Team],MatchData[Team],MatchData[Climb or Challenge Flag]),2)</f>
        <v>0.83</v>
      </c>
    </row>
    <row r="22" spans="1:111">
      <c r="A22" t="s">
        <v>54</v>
      </c>
      <c r="B22" s="4">
        <v>1</v>
      </c>
      <c r="C22">
        <v>1004</v>
      </c>
      <c r="D22" t="s">
        <v>56</v>
      </c>
      <c r="E22" t="s">
        <v>60</v>
      </c>
      <c r="F22">
        <f ca="1">IF(MatchData[[#This Row],[Persona]] = 4,RANDBETWEEN(0,1),0)</f>
        <v>1</v>
      </c>
      <c r="G22">
        <f ca="1">IF(MatchData[[#This Row],[Persona]] = 3,RANDBETWEEN(0,1),0)</f>
        <v>0</v>
      </c>
      <c r="H22">
        <f ca="1">RANDBETWEEN(MatchData[[#This Row],[High Goal Low]],MatchData[[#This Row],[High Goal High]])</f>
        <v>2</v>
      </c>
      <c r="I22">
        <f ca="1">RANDBETWEEN(MatchData[[#This Row],[Low Goal Low]],MatchData[[#This Row],[Low Goal High]])</f>
        <v>1</v>
      </c>
      <c r="J22" s="6">
        <v>1</v>
      </c>
      <c r="K22" s="6"/>
      <c r="L22" s="6"/>
      <c r="M22" s="6">
        <v>1</v>
      </c>
      <c r="N22" s="6">
        <v>1</v>
      </c>
      <c r="O22" s="6"/>
      <c r="P22" s="6"/>
      <c r="Q22" s="5">
        <v>1</v>
      </c>
      <c r="R22" s="5">
        <v>1</v>
      </c>
      <c r="S22" s="5">
        <f ca="1">IF(MatchData[[#This Row],[Auto Crossing Test Generator]]=0,RANDBETWEEN(0,1),0)</f>
        <v>1</v>
      </c>
      <c r="T22" s="5">
        <f ca="1">IF(MatchData[Auto Crossing Test Generator]=1,1,0)</f>
        <v>0</v>
      </c>
      <c r="U22" s="5">
        <f ca="1">IF(MatchData[[#This Row],[Auto Crossing Test Generator]]=2,RANDBETWEEN(0,1),0)</f>
        <v>0</v>
      </c>
      <c r="V22" s="5">
        <f ca="1">IF(MatchData[[#This Row],[Auto Crossing Test Generator]]=3,RANDBETWEEN(0,1),0)</f>
        <v>0</v>
      </c>
      <c r="W22" s="5">
        <f ca="1">IF(MatchData[[#This Row],[Auto Crossing Test Generator]]=4,RANDBETWEEN(0,1),0)</f>
        <v>0</v>
      </c>
      <c r="X22" s="5">
        <f ca="1">IF(MatchData[[#This Row],[Auto Crossing Test Generator]]=5,RANDBETWEEN(0,1),0)</f>
        <v>0</v>
      </c>
      <c r="Y22" s="5">
        <f ca="1">IF(MatchData[[#This Row],[Auto Crossing Test Generator]]=6,RANDBETWEEN(0,1),0)</f>
        <v>0</v>
      </c>
      <c r="Z22" s="5">
        <f ca="1">IF(MatchData[[#This Row],[Auto Crossing Test Generator]]=7,RANDBETWEEN(0,1),0)</f>
        <v>0</v>
      </c>
      <c r="AA22" s="5">
        <f ca="1">IF(MatchData[[#This Row],[Auto Crossing Test Generator]]=8,RANDBETWEEN(0,1),0)</f>
        <v>0</v>
      </c>
      <c r="AB22" s="5">
        <f ca="1">IF(MatchData[[#This Row],[Auto Crossing Test Generator]]&gt;8,RANDBETWEEN(0,1),0)</f>
        <v>0</v>
      </c>
      <c r="AC22" s="5">
        <f ca="1">IF(MatchData[[#This Row],[Auto Crossing Test Generator]]=9,RANDBETWEEN(0,1),0)</f>
        <v>0</v>
      </c>
      <c r="AD22" s="5">
        <f ca="1">IF(MatchData[[#This Row],[Cheval Available]]=1,RANDBETWEEN(0,MatchData[[#This Row],[Cheval High]]),0)</f>
        <v>0</v>
      </c>
      <c r="AE22" s="5">
        <f ca="1">IF(MatchData[[#This Row],[Moat Available]]=1,RANDBETWEEN(0,MatchData[[#This Row],[Moat High]]),0)</f>
        <v>0</v>
      </c>
      <c r="AF22" s="5">
        <f ca="1">IF(MatchData[[#This Row],[Ramparts Available]]=1,RANDBETWEEN(0,MatchData[[#This Row],[Ramparts High]]),0)</f>
        <v>3</v>
      </c>
      <c r="AG22" s="5">
        <f ca="1">IF(MatchData[[#This Row],[Drawbridge Available]]=1,RANDBETWEEN(0,MatchData[[#This Row],[Drawbridge High]]),0)</f>
        <v>0</v>
      </c>
      <c r="AH22" s="5">
        <f ca="1">IF(MatchData[[#This Row],[Sally Port Available]]=1,RANDBETWEEN(0,MatchData[[#This Row],[Sally Port High]]),0)</f>
        <v>0</v>
      </c>
      <c r="AI22" s="5">
        <f ca="1">IF(MatchData[[#This Row],[Rock Wall Available]]=1,RANDBETWEEN(0,MatchData[[#This Row],[Rock Wall High]]),0)</f>
        <v>0</v>
      </c>
      <c r="AJ22" s="5">
        <f ca="1">IF(MatchData[[#This Row],[Rough Terrain Available]]=1,RANDBETWEEN(0,MatchData[[#This Row],[Rough Terrain High]]),0)</f>
        <v>2</v>
      </c>
      <c r="AK22" s="5">
        <f ca="1">IF(MatchData[[#This Row],[Low Bar Available]]=1,RANDBETWEEN(0,MatchData[[#This Row],[Low Bar High]]),0)</f>
        <v>5</v>
      </c>
      <c r="AL22" s="5">
        <f ca="1">IF(MatchData[Cheval Teleop Crossings]&gt;3,10, MatchData[Cheval Teleop Crossings]*5)</f>
        <v>0</v>
      </c>
      <c r="AM22" s="5">
        <f ca="1">IF(MatchData[Moat Teleop Crossings]&gt;3,10, MatchData[Moat Teleop Crossings]*5)</f>
        <v>0</v>
      </c>
      <c r="AN22" s="5">
        <f ca="1">IF(MatchData[Ramparts Teleop Crossings]&gt;3,10, MatchData[Ramparts Teleop Crossings]*5)</f>
        <v>15</v>
      </c>
      <c r="AO22" s="5">
        <f ca="1">IF(MatchData[Drawbridge Teleop Crossings]&gt;3,10, MatchData[Drawbridge Teleop Crossings]*5)</f>
        <v>0</v>
      </c>
      <c r="AP22" s="5">
        <f ca="1">IF(MatchData[Sally Port Teleop Crossings]&gt;3,10, MatchData[Sally Port Teleop Crossings]*5)</f>
        <v>0</v>
      </c>
      <c r="AQ22" s="5">
        <f ca="1">IF(MatchData[Rock Wall Teleop Crossings]&gt;3,10, MatchData[Rock Wall Teleop Crossings]*5)</f>
        <v>0</v>
      </c>
      <c r="AR22" s="5">
        <f ca="1">IF(MatchData[Rough Terrain Teleop Crossings]&gt;3,10, MatchData[Rough Terrain Teleop Crossings]*5)</f>
        <v>10</v>
      </c>
      <c r="AS22" s="5">
        <f ca="1">IF(MatchData[Low Bar Teleop Crossings]&gt;3,10, MatchData[Low Bar Teleop Crossings]*5)</f>
        <v>10</v>
      </c>
      <c r="AT22" s="5">
        <f ca="1">SUM(MatchData[[#This Row],[Portcullis Teleop Crossings]:[Low Bar Teleop Crossings]])</f>
        <v>10</v>
      </c>
      <c r="AU22" s="5">
        <f ca="1">IF(RANDBETWEEN(1,4)&gt;1,1,0)</f>
        <v>1</v>
      </c>
      <c r="AV22" s="5">
        <f ca="1">IF(MatchData[[#This Row],[Challenge Flag]]=1,0,IF(MatchData[[#This Row],[Climber]]=1,RANDBETWEEN(0,1),0))</f>
        <v>0</v>
      </c>
      <c r="AW22" s="5">
        <f ca="1">IF(MatchData[[#This Row],[Crossing Score]]&gt;=40,1,0)</f>
        <v>0</v>
      </c>
      <c r="AX22" s="5"/>
      <c r="AY22" s="5">
        <f ca="1">IF(RANDBETWEEN(1,100)&gt;95,1,0)</f>
        <v>0</v>
      </c>
      <c r="AZ22" s="5">
        <f ca="1">IF(RANDBETWEEN(1,100)&gt;80,1,0)</f>
        <v>0</v>
      </c>
      <c r="BA22" s="5">
        <f ca="1">IF(OR(MatchData[[#This Row],[Challenge Flag]],MatchData[[#This Row],[Climb Flag]]),1,0)</f>
        <v>1</v>
      </c>
      <c r="BB22" s="5">
        <f ca="1">MatchData[Auto High Goals]*10+MatchData[Teleop High Goals]*5</f>
        <v>20</v>
      </c>
      <c r="BC22" s="5">
        <f ca="1">MatchData[Auto Low Goals]*5+MatchData[Teleop Low Goals]*2</f>
        <v>2</v>
      </c>
      <c r="BD22" s="5">
        <f ca="1">MatchData[High Goal Score]+MatchData[Low Goal Score]</f>
        <v>22</v>
      </c>
      <c r="BE22" s="5">
        <f ca="1">MatchData[Teleop High Goals]+MatchData[Teleop Low Goals]</f>
        <v>3</v>
      </c>
      <c r="BF22" s="5">
        <f ca="1">MatchData[[#This Row],[Auto Reach Flag]]*2+SUM(MatchData[[#This Row],[Portcullis Auto Crossings]:[Low Bar Auto Crossings]])*10+MatchData[[#This Row],[Auto Low Goals]]*5+MatchData[Auto High Goals]*10</f>
        <v>12</v>
      </c>
      <c r="BG22" s="5">
        <f ca="1">SUM(MatchData[[#This Row],[Cheval Scored Teleop Crossings]:[Low Bar Scored Teleop Crossings]])</f>
        <v>35</v>
      </c>
      <c r="BH22" s="5">
        <f ca="1">MatchData[Challenge Flag]*5</f>
        <v>5</v>
      </c>
      <c r="BI22" s="5">
        <f ca="1">MatchData[Climb Flag]*15</f>
        <v>0</v>
      </c>
      <c r="BJ22" s="5">
        <f ca="1">SUM(MatchData[[#This Row],[Total Goal Score]],MatchData[[#This Row],[Crossing Score]],MatchData[[#This Row],[Challenge Score]],MatchData[[#This Row],[Climb Score]],MatchData[[#This Row],[Total Auto Score]])</f>
        <v>74</v>
      </c>
      <c r="BK22">
        <v>4</v>
      </c>
      <c r="BL22" s="5">
        <f ca="1">IF(RANDBETWEEN(0,10)&gt;=9,RANDBETWEEN(1,9),0)</f>
        <v>0</v>
      </c>
      <c r="BM22" s="5">
        <f>VLOOKUP(MatchData[[#This Row],[Persona]],Personas!$A$2:$O$5,3)</f>
        <v>1</v>
      </c>
      <c r="BN22" s="13">
        <f>VLOOKUP(MatchData[[#This Row],[Persona]],Personas!$A$2:$P$5,4)</f>
        <v>4</v>
      </c>
      <c r="BO22" s="13">
        <f>VLOOKUP(MatchData[[#This Row],[Persona]],Personas!$A$2:$P$5,5)</f>
        <v>1</v>
      </c>
      <c r="BP22" s="13">
        <f>VLOOKUP(MatchData[[#This Row],[Persona]],Personas!$A$2:$P$5,6)</f>
        <v>4</v>
      </c>
      <c r="BQ22" s="13">
        <f>VLOOKUP(MatchData[[#This Row],[Persona]],Personas!$A$2:$P$5,7)</f>
        <v>3</v>
      </c>
      <c r="BR22" s="13">
        <f>VLOOKUP(MatchData[[#This Row],[Persona]],Personas!$A$2:$P$5,8)</f>
        <v>3</v>
      </c>
      <c r="BS22" s="13">
        <f>VLOOKUP(MatchData[[#This Row],[Persona]],Personas!$A$2:$P$5,9)</f>
        <v>4</v>
      </c>
      <c r="BT22" s="13">
        <f>VLOOKUP(MatchData[[#This Row],[Persona]],Personas!$A$2:$P$5,10)</f>
        <v>4</v>
      </c>
      <c r="BU22" s="13">
        <f>VLOOKUP(MatchData[[#This Row],[Persona]],Personas!$A$2:$P$5,11)</f>
        <v>3</v>
      </c>
      <c r="BV22" s="13">
        <f>VLOOKUP(MatchData[[#This Row],[Persona]],Personas!$A$2:$P$5,12)</f>
        <v>3</v>
      </c>
      <c r="BW22" s="13">
        <f>VLOOKUP(MatchData[[#This Row],[Persona]],Personas!$A$2:$P$5,13)</f>
        <v>4</v>
      </c>
      <c r="BX22" s="13">
        <f>VLOOKUP(MatchData[[#This Row],[Persona]],Personas!$A$2:$P$5,14)</f>
        <v>4</v>
      </c>
      <c r="BY22" s="13">
        <f>VLOOKUP(MatchData[[#This Row],[Persona]],Personas!$A$2:$P$5,15)</f>
        <v>5</v>
      </c>
      <c r="BZ22" s="13">
        <f>VLOOKUP(MatchData[[#This Row],[Persona]],Personas!$A$2:$P$5,16)</f>
        <v>0</v>
      </c>
      <c r="CA22" s="14">
        <f ca="1">ROUND(SUMIF(MatchData[Team],MatchData[[#This Row],[Team]],MatchData[Teleop Low Goals])/COUNTIF(MatchData[Team],MatchData[[#This Row],[Team]]),2)</f>
        <v>2.67</v>
      </c>
      <c r="CB22" s="14">
        <f ca="1">ROUND(SUMIF(MatchData[Team],MatchData[[#This Row],[Team]],MatchData[Teleop High Goals])/COUNTIF(MatchData[Team],MatchData[[#This Row],[Team]]),2)</f>
        <v>2.83</v>
      </c>
      <c r="CC22" s="14">
        <f>COUNTIF(MatchData[Team],MatchData[[#This Row],[Team]])</f>
        <v>6</v>
      </c>
      <c r="CD22" s="14">
        <f>SUMIF(MatchData[Team],MatchData[[#This Row],[Team]],MatchData[Portcullis Available])</f>
        <v>3</v>
      </c>
      <c r="CE22" s="14">
        <f>SUMIF(MatchData[Team],MatchData[[#This Row],[Team]],MatchData[Cheval Available])</f>
        <v>3</v>
      </c>
      <c r="CF22" s="14">
        <f>SUMIF(MatchData[Team],MatchData[[#This Row],[Team]],MatchData[Moat Available])</f>
        <v>3</v>
      </c>
      <c r="CG22" s="14">
        <f>SUMIF(MatchData[Team],MatchData[[#This Row],[Team]],MatchData[Ramparts Available])</f>
        <v>3</v>
      </c>
      <c r="CH22" s="14">
        <f>SUMIF(MatchData[Team],MatchData[[#This Row],[Team]],MatchData[Drawbridge Available])</f>
        <v>3</v>
      </c>
      <c r="CI22" s="14">
        <f>SUMIF(MatchData[Team],MatchData[[#This Row],[Team]],MatchData[Sally Port Available])</f>
        <v>3</v>
      </c>
      <c r="CJ22" s="14">
        <f>SUMIF(MatchData[Team],MatchData[[#This Row],[Team]],MatchData[Rock Wall Available])</f>
        <v>3</v>
      </c>
      <c r="CK22" s="14">
        <f>SUMIF(MatchData[Team],MatchData[[#This Row],[Team]],MatchData[Rough Terrain Available])</f>
        <v>3</v>
      </c>
      <c r="CL22" s="14">
        <f>SUMIF(MatchData[Team],MatchData[[#This Row],[Team]],MatchData[Low Bar Available])</f>
        <v>6</v>
      </c>
      <c r="CM22" s="14">
        <f ca="1">SUMIF(MatchData[Team],MatchData[[#This Row],[Team]],MatchData[Portcullis Teleop Crossings])</f>
        <v>0</v>
      </c>
      <c r="CN22" s="14">
        <f ca="1">SUMIF(MatchData[Team],MatchData[[#This Row],[Team]],MatchData[Cheval Teleop Crossings])</f>
        <v>5</v>
      </c>
      <c r="CO22" s="14">
        <f ca="1">SUMIF(MatchData[Team],MatchData[[#This Row],[Team]],MatchData[Moat Teleop Crossings])</f>
        <v>7</v>
      </c>
      <c r="CP22" s="14">
        <f ca="1">SUMIF(MatchData[Team],MatchData[[#This Row],[Team]],MatchData[Ramparts Teleop Crossings])</f>
        <v>7</v>
      </c>
      <c r="CQ22" s="14">
        <f ca="1">SUMIF(MatchData[Team],MatchData[[#This Row],[Team]],MatchData[Drawbridge Teleop Crossings])</f>
        <v>3</v>
      </c>
      <c r="CR22" s="14">
        <f ca="1">SUMIF(MatchData[Team],MatchData[[#This Row],[Team]],MatchData[Sally Port Teleop Crossings])</f>
        <v>5</v>
      </c>
      <c r="CS22" s="14">
        <f ca="1">SUMIF(MatchData[Team],MatchData[[#This Row],[Team]],MatchData[Rock Wall Teleop Crossings])</f>
        <v>2</v>
      </c>
      <c r="CT22" s="14">
        <f ca="1">SUMIF(MatchData[Team],MatchData[[#This Row],[Team]],MatchData[Rough Terrain Teleop Crossings])</f>
        <v>7</v>
      </c>
      <c r="CU22" s="14">
        <f ca="1">SUMIF(MatchData[Team],MatchData[[#This Row],[Team]],MatchData[Low Bar Teleop Crossings])</f>
        <v>20</v>
      </c>
      <c r="CV22" s="14">
        <f ca="1">IFERROR(ROUND(MatchData[[#This Row],[Portcullis Sum]]/MatchData[[#This Row],[Portcullis Avail Count]],2),0)</f>
        <v>0</v>
      </c>
      <c r="CW22">
        <f ca="1">IFERROR(ROUND(MatchData[[#This Row],[Cheval Sum]]/MatchData[[#This Row],[Cheval Avail Count]],2),0)</f>
        <v>1.67</v>
      </c>
      <c r="CX22">
        <f ca="1">IFERROR(ROUND(MatchData[[#This Row],[Moat Sum]]/MatchData[[#This Row],[Moat Avail Count]],2),0)</f>
        <v>2.33</v>
      </c>
      <c r="CY22">
        <f ca="1">IFERROR(ROUND(MatchData[[#This Row],[Ramparts Sum]]/MatchData[[#This Row],[Ramparts Avail Count]],2),0)</f>
        <v>2.33</v>
      </c>
      <c r="CZ22">
        <f ca="1">IFERROR(ROUND(MatchData[[#This Row],[Drawbridge Sum]]/MatchData[[#This Row],[Drawbridge HAvail Countigh6]],2),0)</f>
        <v>1</v>
      </c>
      <c r="DA22">
        <f ca="1">IFERROR(ROUND(MatchData[[#This Row],[Sally Port Sum]]/MatchData[[#This Row],[Sally Port Avail Count]],2),0)</f>
        <v>1.67</v>
      </c>
      <c r="DB22">
        <f ca="1">IFERROR(ROUND(MatchData[[#This Row],[Rock Wall Sum]]/MatchData[[#This Row],[Rock Wall Avail Count]],2),0)</f>
        <v>0.67</v>
      </c>
      <c r="DC22">
        <f ca="1">IFERROR(ROUND(MatchData[[#This Row],[Rough Terrain Sum]]/MatchData[[#This Row],[Rough Terrain Avail Count]],2),0)</f>
        <v>2.33</v>
      </c>
      <c r="DD22">
        <f ca="1">IFERROR(ROUND(MatchData[[#This Row],[Low Bar Sum]]/MatchData[[#This Row],[Low Bar Avail Count]],2),0)</f>
        <v>3.33</v>
      </c>
      <c r="DE22" s="14">
        <f t="array" aca="1" ref="DE22" ca="1">MAX(IF(C$4:C$75=C22,BE$4:BE$75))</f>
        <v>8</v>
      </c>
      <c r="DF22" s="14">
        <f ca="1">AVERAGEIF(MatchData[Team],MatchData[Team],MatchData[Total Score])</f>
        <v>75.5</v>
      </c>
      <c r="DG22" s="14">
        <f ca="1">ROUND(AVERAGEIF(MatchData[Team],MatchData[Team],MatchData[Climb or Challenge Flag]),2)</f>
        <v>1</v>
      </c>
    </row>
    <row r="23" spans="1:111">
      <c r="A23" t="s">
        <v>54</v>
      </c>
      <c r="B23" s="4">
        <v>3</v>
      </c>
      <c r="C23">
        <v>1004</v>
      </c>
      <c r="D23" t="s">
        <v>56</v>
      </c>
      <c r="E23" t="s">
        <v>57</v>
      </c>
      <c r="F23">
        <f ca="1">IF(MatchData[[#This Row],[Persona]] = 4,RANDBETWEEN(0,1),0)</f>
        <v>1</v>
      </c>
      <c r="G23">
        <f ca="1">IF(MatchData[[#This Row],[Persona]] = 3,RANDBETWEEN(0,1),0)</f>
        <v>0</v>
      </c>
      <c r="H23">
        <f ca="1">RANDBETWEEN(MatchData[[#This Row],[High Goal Low]],MatchData[[#This Row],[High Goal High]])</f>
        <v>4</v>
      </c>
      <c r="I23">
        <f ca="1">RANDBETWEEN(MatchData[[#This Row],[Low Goal Low]],MatchData[[#This Row],[Low Goal High]])</f>
        <v>4</v>
      </c>
      <c r="J23" s="6">
        <v>1</v>
      </c>
      <c r="K23" s="6"/>
      <c r="L23" s="6"/>
      <c r="M23" s="6">
        <v>1</v>
      </c>
      <c r="N23" s="6"/>
      <c r="O23" s="6">
        <v>1</v>
      </c>
      <c r="P23" s="6">
        <v>1</v>
      </c>
      <c r="Q23" s="5"/>
      <c r="R23" s="5">
        <v>1</v>
      </c>
      <c r="S23" s="5">
        <f ca="1">IF(MatchData[[#This Row],[Auto Crossing Test Generator]]=0,RANDBETWEEN(0,1),0)</f>
        <v>1</v>
      </c>
      <c r="T23" s="5">
        <f ca="1">IF(MatchData[Auto Crossing Test Generator]=1,1,0)</f>
        <v>0</v>
      </c>
      <c r="U23" s="5">
        <f ca="1">IF(MatchData[[#This Row],[Auto Crossing Test Generator]]=2,RANDBETWEEN(0,1),0)</f>
        <v>0</v>
      </c>
      <c r="V23" s="5">
        <f ca="1">IF(MatchData[[#This Row],[Auto Crossing Test Generator]]=3,RANDBETWEEN(0,1),0)</f>
        <v>0</v>
      </c>
      <c r="W23" s="5">
        <f ca="1">IF(MatchData[[#This Row],[Auto Crossing Test Generator]]=4,RANDBETWEEN(0,1),0)</f>
        <v>0</v>
      </c>
      <c r="X23" s="5">
        <f ca="1">IF(MatchData[[#This Row],[Auto Crossing Test Generator]]=5,RANDBETWEEN(0,1),0)</f>
        <v>0</v>
      </c>
      <c r="Y23" s="5">
        <f ca="1">IF(MatchData[[#This Row],[Auto Crossing Test Generator]]=6,RANDBETWEEN(0,1),0)</f>
        <v>0</v>
      </c>
      <c r="Z23" s="5">
        <f ca="1">IF(MatchData[[#This Row],[Auto Crossing Test Generator]]=7,RANDBETWEEN(0,1),0)</f>
        <v>0</v>
      </c>
      <c r="AA23" s="5">
        <f ca="1">IF(MatchData[[#This Row],[Auto Crossing Test Generator]]=8,RANDBETWEEN(0,1),0)</f>
        <v>0</v>
      </c>
      <c r="AB23" s="5">
        <f ca="1">IF(MatchData[[#This Row],[Auto Crossing Test Generator]]&gt;8,RANDBETWEEN(0,1),0)</f>
        <v>0</v>
      </c>
      <c r="AC23" s="5">
        <f ca="1">IF(MatchData[[#This Row],[Auto Crossing Test Generator]]=9,RANDBETWEEN(0,1),0)</f>
        <v>0</v>
      </c>
      <c r="AD23" s="5">
        <f ca="1">IF(MatchData[[#This Row],[Cheval Available]]=1,RANDBETWEEN(0,MatchData[[#This Row],[Cheval High]]),0)</f>
        <v>0</v>
      </c>
      <c r="AE23" s="5">
        <f ca="1">IF(MatchData[[#This Row],[Moat Available]]=1,RANDBETWEEN(0,MatchData[[#This Row],[Moat High]]),0)</f>
        <v>0</v>
      </c>
      <c r="AF23" s="5">
        <f ca="1">IF(MatchData[[#This Row],[Ramparts Available]]=1,RANDBETWEEN(0,MatchData[[#This Row],[Ramparts High]]),0)</f>
        <v>3</v>
      </c>
      <c r="AG23" s="5">
        <f ca="1">IF(MatchData[[#This Row],[Drawbridge Available]]=1,RANDBETWEEN(0,MatchData[[#This Row],[Drawbridge High]]),0)</f>
        <v>0</v>
      </c>
      <c r="AH23" s="5">
        <f ca="1">IF(MatchData[[#This Row],[Sally Port Available]]=1,RANDBETWEEN(0,MatchData[[#This Row],[Sally Port High]]),0)</f>
        <v>0</v>
      </c>
      <c r="AI23" s="5">
        <f ca="1">IF(MatchData[[#This Row],[Rock Wall Available]]=1,RANDBETWEEN(0,MatchData[[#This Row],[Rock Wall High]]),0)</f>
        <v>0</v>
      </c>
      <c r="AJ23" s="5">
        <f ca="1">IF(MatchData[[#This Row],[Rough Terrain Available]]=1,RANDBETWEEN(0,MatchData[[#This Row],[Rough Terrain High]]),0)</f>
        <v>0</v>
      </c>
      <c r="AK23" s="5">
        <f ca="1">IF(MatchData[[#This Row],[Low Bar Available]]=1,RANDBETWEEN(0,MatchData[[#This Row],[Low Bar High]]),0)</f>
        <v>5</v>
      </c>
      <c r="AL23" s="5">
        <f ca="1">IF(MatchData[Cheval Teleop Crossings]&gt;3,10, MatchData[Cheval Teleop Crossings]*5)</f>
        <v>0</v>
      </c>
      <c r="AM23" s="5">
        <f ca="1">IF(MatchData[Moat Teleop Crossings]&gt;3,10, MatchData[Moat Teleop Crossings]*5)</f>
        <v>0</v>
      </c>
      <c r="AN23" s="5">
        <f ca="1">IF(MatchData[Ramparts Teleop Crossings]&gt;3,10, MatchData[Ramparts Teleop Crossings]*5)</f>
        <v>15</v>
      </c>
      <c r="AO23" s="5">
        <f ca="1">IF(MatchData[Drawbridge Teleop Crossings]&gt;3,10, MatchData[Drawbridge Teleop Crossings]*5)</f>
        <v>0</v>
      </c>
      <c r="AP23" s="5">
        <f ca="1">IF(MatchData[Sally Port Teleop Crossings]&gt;3,10, MatchData[Sally Port Teleop Crossings]*5)</f>
        <v>0</v>
      </c>
      <c r="AQ23" s="5">
        <f ca="1">IF(MatchData[Rock Wall Teleop Crossings]&gt;3,10, MatchData[Rock Wall Teleop Crossings]*5)</f>
        <v>0</v>
      </c>
      <c r="AR23" s="5">
        <f ca="1">IF(MatchData[Rough Terrain Teleop Crossings]&gt;3,10, MatchData[Rough Terrain Teleop Crossings]*5)</f>
        <v>0</v>
      </c>
      <c r="AS23" s="5">
        <f ca="1">IF(MatchData[Low Bar Teleop Crossings]&gt;3,10, MatchData[Low Bar Teleop Crossings]*5)</f>
        <v>10</v>
      </c>
      <c r="AT23" s="5">
        <f ca="1">SUM(MatchData[[#This Row],[Portcullis Teleop Crossings]:[Low Bar Teleop Crossings]])</f>
        <v>8</v>
      </c>
      <c r="AU23" s="5">
        <f ca="1">IF(RANDBETWEEN(1,4)&gt;1,1,0)</f>
        <v>1</v>
      </c>
      <c r="AV23" s="5">
        <f ca="1">IF(MatchData[[#This Row],[Challenge Flag]]=1,0,IF(MatchData[[#This Row],[Climber]]=1,RANDBETWEEN(0,1),0))</f>
        <v>0</v>
      </c>
      <c r="AW23" s="5">
        <f ca="1">IF(MatchData[[#This Row],[Crossing Score]]&gt;=40,1,0)</f>
        <v>0</v>
      </c>
      <c r="AX23" s="5"/>
      <c r="AY23" s="5">
        <f ca="1">IF(RANDBETWEEN(1,100)&gt;95,1,0)</f>
        <v>0</v>
      </c>
      <c r="AZ23" s="5">
        <f ca="1">IF(RANDBETWEEN(1,100)&gt;80,1,0)</f>
        <v>0</v>
      </c>
      <c r="BA23" s="5">
        <f ca="1">IF(OR(MatchData[[#This Row],[Challenge Flag]],MatchData[[#This Row],[Climb Flag]]),1,0)</f>
        <v>1</v>
      </c>
      <c r="BB23" s="5">
        <f ca="1">MatchData[Auto High Goals]*10+MatchData[Teleop High Goals]*5</f>
        <v>30</v>
      </c>
      <c r="BC23" s="5">
        <f ca="1">MatchData[Auto Low Goals]*5+MatchData[Teleop Low Goals]*2</f>
        <v>8</v>
      </c>
      <c r="BD23" s="5">
        <f ca="1">MatchData[High Goal Score]+MatchData[Low Goal Score]</f>
        <v>38</v>
      </c>
      <c r="BE23" s="5">
        <f ca="1">MatchData[Teleop High Goals]+MatchData[Teleop Low Goals]</f>
        <v>8</v>
      </c>
      <c r="BF23" s="5">
        <f ca="1">MatchData[[#This Row],[Auto Reach Flag]]*2+SUM(MatchData[[#This Row],[Portcullis Auto Crossings]:[Low Bar Auto Crossings]])*10+MatchData[[#This Row],[Auto Low Goals]]*5+MatchData[Auto High Goals]*10</f>
        <v>12</v>
      </c>
      <c r="BG23" s="5">
        <f ca="1">SUM(MatchData[[#This Row],[Cheval Scored Teleop Crossings]:[Low Bar Scored Teleop Crossings]])</f>
        <v>25</v>
      </c>
      <c r="BH23" s="5">
        <f ca="1">MatchData[Challenge Flag]*5</f>
        <v>5</v>
      </c>
      <c r="BI23" s="5">
        <f ca="1">MatchData[Climb Flag]*15</f>
        <v>0</v>
      </c>
      <c r="BJ23" s="5">
        <f ca="1">SUM(MatchData[[#This Row],[Total Goal Score]],MatchData[[#This Row],[Crossing Score]],MatchData[[#This Row],[Challenge Score]],MatchData[[#This Row],[Climb Score]],MatchData[[#This Row],[Total Auto Score]])</f>
        <v>80</v>
      </c>
      <c r="BK23">
        <v>4</v>
      </c>
      <c r="BL23" s="5">
        <f ca="1">IF(RANDBETWEEN(0,10)&gt;=9,RANDBETWEEN(1,9),0)</f>
        <v>0</v>
      </c>
      <c r="BM23" s="5">
        <f>VLOOKUP(MatchData[[#This Row],[Persona]],Personas!$A$2:$O$5,3)</f>
        <v>1</v>
      </c>
      <c r="BN23" s="13">
        <f>VLOOKUP(MatchData[[#This Row],[Persona]],Personas!$A$2:$P$5,4)</f>
        <v>4</v>
      </c>
      <c r="BO23" s="13">
        <f>VLOOKUP(MatchData[[#This Row],[Persona]],Personas!$A$2:$P$5,5)</f>
        <v>1</v>
      </c>
      <c r="BP23" s="13">
        <f>VLOOKUP(MatchData[[#This Row],[Persona]],Personas!$A$2:$P$5,6)</f>
        <v>4</v>
      </c>
      <c r="BQ23" s="13">
        <f>VLOOKUP(MatchData[[#This Row],[Persona]],Personas!$A$2:$P$5,7)</f>
        <v>3</v>
      </c>
      <c r="BR23" s="13">
        <f>VLOOKUP(MatchData[[#This Row],[Persona]],Personas!$A$2:$P$5,8)</f>
        <v>3</v>
      </c>
      <c r="BS23" s="13">
        <f>VLOOKUP(MatchData[[#This Row],[Persona]],Personas!$A$2:$P$5,9)</f>
        <v>4</v>
      </c>
      <c r="BT23" s="13">
        <f>VLOOKUP(MatchData[[#This Row],[Persona]],Personas!$A$2:$P$5,10)</f>
        <v>4</v>
      </c>
      <c r="BU23" s="13">
        <f>VLOOKUP(MatchData[[#This Row],[Persona]],Personas!$A$2:$P$5,11)</f>
        <v>3</v>
      </c>
      <c r="BV23" s="13">
        <f>VLOOKUP(MatchData[[#This Row],[Persona]],Personas!$A$2:$P$5,12)</f>
        <v>3</v>
      </c>
      <c r="BW23" s="13">
        <f>VLOOKUP(MatchData[[#This Row],[Persona]],Personas!$A$2:$P$5,13)</f>
        <v>4</v>
      </c>
      <c r="BX23" s="13">
        <f>VLOOKUP(MatchData[[#This Row],[Persona]],Personas!$A$2:$P$5,14)</f>
        <v>4</v>
      </c>
      <c r="BY23" s="13">
        <f>VLOOKUP(MatchData[[#This Row],[Persona]],Personas!$A$2:$P$5,15)</f>
        <v>5</v>
      </c>
      <c r="BZ23" s="13">
        <f>VLOOKUP(MatchData[[#This Row],[Persona]],Personas!$A$2:$P$5,16)</f>
        <v>0</v>
      </c>
      <c r="CA23" s="14">
        <f ca="1">ROUND(SUMIF(MatchData[Team],MatchData[[#This Row],[Team]],MatchData[Teleop Low Goals])/COUNTIF(MatchData[Team],MatchData[[#This Row],[Team]]),2)</f>
        <v>2.67</v>
      </c>
      <c r="CB23" s="14">
        <f ca="1">ROUND(SUMIF(MatchData[Team],MatchData[[#This Row],[Team]],MatchData[Teleop High Goals])/COUNTIF(MatchData[Team],MatchData[[#This Row],[Team]]),2)</f>
        <v>2.83</v>
      </c>
      <c r="CC23" s="14">
        <f>COUNTIF(MatchData[Team],MatchData[[#This Row],[Team]])</f>
        <v>6</v>
      </c>
      <c r="CD23" s="14">
        <f>SUMIF(MatchData[Team],MatchData[[#This Row],[Team]],MatchData[Portcullis Available])</f>
        <v>3</v>
      </c>
      <c r="CE23" s="14">
        <f>SUMIF(MatchData[Team],MatchData[[#This Row],[Team]],MatchData[Cheval Available])</f>
        <v>3</v>
      </c>
      <c r="CF23" s="14">
        <f>SUMIF(MatchData[Team],MatchData[[#This Row],[Team]],MatchData[Moat Available])</f>
        <v>3</v>
      </c>
      <c r="CG23" s="14">
        <f>SUMIF(MatchData[Team],MatchData[[#This Row],[Team]],MatchData[Ramparts Available])</f>
        <v>3</v>
      </c>
      <c r="CH23" s="14">
        <f>SUMIF(MatchData[Team],MatchData[[#This Row],[Team]],MatchData[Drawbridge Available])</f>
        <v>3</v>
      </c>
      <c r="CI23" s="14">
        <f>SUMIF(MatchData[Team],MatchData[[#This Row],[Team]],MatchData[Sally Port Available])</f>
        <v>3</v>
      </c>
      <c r="CJ23" s="14">
        <f>SUMIF(MatchData[Team],MatchData[[#This Row],[Team]],MatchData[Rock Wall Available])</f>
        <v>3</v>
      </c>
      <c r="CK23" s="14">
        <f>SUMIF(MatchData[Team],MatchData[[#This Row],[Team]],MatchData[Rough Terrain Available])</f>
        <v>3</v>
      </c>
      <c r="CL23" s="14">
        <f>SUMIF(MatchData[Team],MatchData[[#This Row],[Team]],MatchData[Low Bar Available])</f>
        <v>6</v>
      </c>
      <c r="CM23" s="14">
        <f ca="1">SUMIF(MatchData[Team],MatchData[[#This Row],[Team]],MatchData[Portcullis Teleop Crossings])</f>
        <v>0</v>
      </c>
      <c r="CN23" s="14">
        <f ca="1">SUMIF(MatchData[Team],MatchData[[#This Row],[Team]],MatchData[Cheval Teleop Crossings])</f>
        <v>5</v>
      </c>
      <c r="CO23" s="14">
        <f ca="1">SUMIF(MatchData[Team],MatchData[[#This Row],[Team]],MatchData[Moat Teleop Crossings])</f>
        <v>7</v>
      </c>
      <c r="CP23" s="14">
        <f ca="1">SUMIF(MatchData[Team],MatchData[[#This Row],[Team]],MatchData[Ramparts Teleop Crossings])</f>
        <v>7</v>
      </c>
      <c r="CQ23" s="14">
        <f ca="1">SUMIF(MatchData[Team],MatchData[[#This Row],[Team]],MatchData[Drawbridge Teleop Crossings])</f>
        <v>3</v>
      </c>
      <c r="CR23" s="14">
        <f ca="1">SUMIF(MatchData[Team],MatchData[[#This Row],[Team]],MatchData[Sally Port Teleop Crossings])</f>
        <v>5</v>
      </c>
      <c r="CS23" s="14">
        <f ca="1">SUMIF(MatchData[Team],MatchData[[#This Row],[Team]],MatchData[Rock Wall Teleop Crossings])</f>
        <v>2</v>
      </c>
      <c r="CT23" s="14">
        <f ca="1">SUMIF(MatchData[Team],MatchData[[#This Row],[Team]],MatchData[Rough Terrain Teleop Crossings])</f>
        <v>7</v>
      </c>
      <c r="CU23" s="14">
        <f ca="1">SUMIF(MatchData[Team],MatchData[[#This Row],[Team]],MatchData[Low Bar Teleop Crossings])</f>
        <v>20</v>
      </c>
      <c r="CV23" s="14">
        <f ca="1">IFERROR(ROUND(MatchData[[#This Row],[Portcullis Sum]]/MatchData[[#This Row],[Portcullis Avail Count]],2),0)</f>
        <v>0</v>
      </c>
      <c r="CW23">
        <f ca="1">IFERROR(ROUND(MatchData[[#This Row],[Cheval Sum]]/MatchData[[#This Row],[Cheval Avail Count]],2),0)</f>
        <v>1.67</v>
      </c>
      <c r="CX23">
        <f ca="1">IFERROR(ROUND(MatchData[[#This Row],[Moat Sum]]/MatchData[[#This Row],[Moat Avail Count]],2),0)</f>
        <v>2.33</v>
      </c>
      <c r="CY23">
        <f ca="1">IFERROR(ROUND(MatchData[[#This Row],[Ramparts Sum]]/MatchData[[#This Row],[Ramparts Avail Count]],2),0)</f>
        <v>2.33</v>
      </c>
      <c r="CZ23">
        <f ca="1">IFERROR(ROUND(MatchData[[#This Row],[Drawbridge Sum]]/MatchData[[#This Row],[Drawbridge HAvail Countigh6]],2),0)</f>
        <v>1</v>
      </c>
      <c r="DA23">
        <f ca="1">IFERROR(ROUND(MatchData[[#This Row],[Sally Port Sum]]/MatchData[[#This Row],[Sally Port Avail Count]],2),0)</f>
        <v>1.67</v>
      </c>
      <c r="DB23">
        <f ca="1">IFERROR(ROUND(MatchData[[#This Row],[Rock Wall Sum]]/MatchData[[#This Row],[Rock Wall Avail Count]],2),0)</f>
        <v>0.67</v>
      </c>
      <c r="DC23">
        <f ca="1">IFERROR(ROUND(MatchData[[#This Row],[Rough Terrain Sum]]/MatchData[[#This Row],[Rough Terrain Avail Count]],2),0)</f>
        <v>2.33</v>
      </c>
      <c r="DD23">
        <f ca="1">IFERROR(ROUND(MatchData[[#This Row],[Low Bar Sum]]/MatchData[[#This Row],[Low Bar Avail Count]],2),0)</f>
        <v>3.33</v>
      </c>
      <c r="DE23" s="14">
        <f t="array" aca="1" ref="DE23" ca="1">MAX(IF(C$4:C$75=C23,BE$4:BE$75))</f>
        <v>8</v>
      </c>
      <c r="DF23" s="14">
        <f ca="1">AVERAGEIF(MatchData[Team],MatchData[Team],MatchData[Total Score])</f>
        <v>75.5</v>
      </c>
      <c r="DG23" s="14">
        <f ca="1">ROUND(AVERAGEIF(MatchData[Team],MatchData[Team],MatchData[Climb or Challenge Flag]),2)</f>
        <v>1</v>
      </c>
    </row>
    <row r="24" spans="1:111">
      <c r="A24" t="s">
        <v>54</v>
      </c>
      <c r="B24" s="4">
        <v>5</v>
      </c>
      <c r="C24">
        <v>1004</v>
      </c>
      <c r="D24" t="s">
        <v>56</v>
      </c>
      <c r="E24" t="s">
        <v>62</v>
      </c>
      <c r="F24">
        <f ca="1">IF(MatchData[[#This Row],[Persona]] = 4,RANDBETWEEN(0,1),0)</f>
        <v>1</v>
      </c>
      <c r="G24">
        <f ca="1">IF(MatchData[[#This Row],[Persona]] = 3,RANDBETWEEN(0,1),0)</f>
        <v>0</v>
      </c>
      <c r="H24">
        <f ca="1">RANDBETWEEN(MatchData[[#This Row],[High Goal Low]],MatchData[[#This Row],[High Goal High]])</f>
        <v>4</v>
      </c>
      <c r="I24">
        <f ca="1">RANDBETWEEN(MatchData[[#This Row],[Low Goal Low]],MatchData[[#This Row],[Low Goal High]])</f>
        <v>1</v>
      </c>
      <c r="J24" s="6">
        <v>1</v>
      </c>
      <c r="K24" s="6"/>
      <c r="L24" s="6"/>
      <c r="M24" s="6">
        <v>1</v>
      </c>
      <c r="N24" s="6">
        <v>1</v>
      </c>
      <c r="O24" s="6"/>
      <c r="P24" s="6"/>
      <c r="Q24" s="5">
        <v>1</v>
      </c>
      <c r="R24" s="5">
        <v>1</v>
      </c>
      <c r="S24" s="5">
        <f ca="1">IF(MatchData[[#This Row],[Auto Crossing Test Generator]]=0,RANDBETWEEN(0,1),0)</f>
        <v>0</v>
      </c>
      <c r="T24" s="5">
        <f ca="1">IF(MatchData[Auto Crossing Test Generator]=1,1,0)</f>
        <v>0</v>
      </c>
      <c r="U24" s="5">
        <f ca="1">IF(MatchData[[#This Row],[Auto Crossing Test Generator]]=2,RANDBETWEEN(0,1),0)</f>
        <v>0</v>
      </c>
      <c r="V24" s="5">
        <f ca="1">IF(MatchData[[#This Row],[Auto Crossing Test Generator]]=3,RANDBETWEEN(0,1),0)</f>
        <v>0</v>
      </c>
      <c r="W24" s="5">
        <f ca="1">IF(MatchData[[#This Row],[Auto Crossing Test Generator]]=4,RANDBETWEEN(0,1),0)</f>
        <v>0</v>
      </c>
      <c r="X24" s="5">
        <f ca="1">IF(MatchData[[#This Row],[Auto Crossing Test Generator]]=5,RANDBETWEEN(0,1),0)</f>
        <v>0</v>
      </c>
      <c r="Y24" s="5">
        <f ca="1">IF(MatchData[[#This Row],[Auto Crossing Test Generator]]=6,RANDBETWEEN(0,1),0)</f>
        <v>0</v>
      </c>
      <c r="Z24" s="5">
        <f ca="1">IF(MatchData[[#This Row],[Auto Crossing Test Generator]]=7,RANDBETWEEN(0,1),0)</f>
        <v>0</v>
      </c>
      <c r="AA24" s="5">
        <f ca="1">IF(MatchData[[#This Row],[Auto Crossing Test Generator]]=8,RANDBETWEEN(0,1),0)</f>
        <v>0</v>
      </c>
      <c r="AB24" s="5">
        <f ca="1">IF(MatchData[[#This Row],[Auto Crossing Test Generator]]&gt;8,RANDBETWEEN(0,1),0)</f>
        <v>0</v>
      </c>
      <c r="AC24" s="5">
        <f ca="1">IF(MatchData[[#This Row],[Auto Crossing Test Generator]]=9,RANDBETWEEN(0,1),0)</f>
        <v>0</v>
      </c>
      <c r="AD24" s="5">
        <f ca="1">IF(MatchData[[#This Row],[Cheval Available]]=1,RANDBETWEEN(0,MatchData[[#This Row],[Cheval High]]),0)</f>
        <v>0</v>
      </c>
      <c r="AE24" s="5">
        <f ca="1">IF(MatchData[[#This Row],[Moat Available]]=1,RANDBETWEEN(0,MatchData[[#This Row],[Moat High]]),0)</f>
        <v>0</v>
      </c>
      <c r="AF24" s="5">
        <f ca="1">IF(MatchData[[#This Row],[Ramparts Available]]=1,RANDBETWEEN(0,MatchData[[#This Row],[Ramparts High]]),0)</f>
        <v>1</v>
      </c>
      <c r="AG24" s="5">
        <f ca="1">IF(MatchData[[#This Row],[Drawbridge Available]]=1,RANDBETWEEN(0,MatchData[[#This Row],[Drawbridge High]]),0)</f>
        <v>3</v>
      </c>
      <c r="AH24" s="5">
        <f ca="1">IF(MatchData[[#This Row],[Sally Port Available]]=1,RANDBETWEEN(0,MatchData[[#This Row],[Sally Port High]]),0)</f>
        <v>0</v>
      </c>
      <c r="AI24" s="5">
        <f ca="1">IF(MatchData[[#This Row],[Rock Wall Available]]=1,RANDBETWEEN(0,MatchData[[#This Row],[Rock Wall High]]),0)</f>
        <v>0</v>
      </c>
      <c r="AJ24" s="5">
        <f ca="1">IF(MatchData[[#This Row],[Rough Terrain Available]]=1,RANDBETWEEN(0,MatchData[[#This Row],[Rough Terrain High]]),0)</f>
        <v>4</v>
      </c>
      <c r="AK24" s="5">
        <f ca="1">IF(MatchData[[#This Row],[Low Bar Available]]=1,RANDBETWEEN(0,MatchData[[#This Row],[Low Bar High]]),0)</f>
        <v>1</v>
      </c>
      <c r="AL24" s="5">
        <f ca="1">IF(MatchData[Cheval Teleop Crossings]&gt;3,10, MatchData[Cheval Teleop Crossings]*5)</f>
        <v>0</v>
      </c>
      <c r="AM24" s="5">
        <f ca="1">IF(MatchData[Moat Teleop Crossings]&gt;3,10, MatchData[Moat Teleop Crossings]*5)</f>
        <v>0</v>
      </c>
      <c r="AN24" s="5">
        <f ca="1">IF(MatchData[Ramparts Teleop Crossings]&gt;3,10, MatchData[Ramparts Teleop Crossings]*5)</f>
        <v>5</v>
      </c>
      <c r="AO24" s="5">
        <f ca="1">IF(MatchData[Drawbridge Teleop Crossings]&gt;3,10, MatchData[Drawbridge Teleop Crossings]*5)</f>
        <v>15</v>
      </c>
      <c r="AP24" s="5">
        <f ca="1">IF(MatchData[Sally Port Teleop Crossings]&gt;3,10, MatchData[Sally Port Teleop Crossings]*5)</f>
        <v>0</v>
      </c>
      <c r="AQ24" s="5">
        <f ca="1">IF(MatchData[Rock Wall Teleop Crossings]&gt;3,10, MatchData[Rock Wall Teleop Crossings]*5)</f>
        <v>0</v>
      </c>
      <c r="AR24" s="5">
        <f ca="1">IF(MatchData[Rough Terrain Teleop Crossings]&gt;3,10, MatchData[Rough Terrain Teleop Crossings]*5)</f>
        <v>10</v>
      </c>
      <c r="AS24" s="5">
        <f ca="1">IF(MatchData[Low Bar Teleop Crossings]&gt;3,10, MatchData[Low Bar Teleop Crossings]*5)</f>
        <v>5</v>
      </c>
      <c r="AT24" s="5">
        <f ca="1">SUM(MatchData[[#This Row],[Portcullis Teleop Crossings]:[Low Bar Teleop Crossings]])</f>
        <v>9</v>
      </c>
      <c r="AU24" s="5">
        <f ca="1">IF(RANDBETWEEN(1,4)&gt;1,1,0)</f>
        <v>1</v>
      </c>
      <c r="AV24" s="5">
        <f ca="1">IF(MatchData[[#This Row],[Challenge Flag]]=1,0,IF(MatchData[[#This Row],[Climber]]=1,RANDBETWEEN(0,1),0))</f>
        <v>0</v>
      </c>
      <c r="AW24" s="5">
        <f ca="1">IF(MatchData[[#This Row],[Crossing Score]]&gt;=40,1,0)</f>
        <v>0</v>
      </c>
      <c r="AX24" s="5"/>
      <c r="AY24" s="5">
        <f ca="1">IF(RANDBETWEEN(1,100)&gt;95,1,0)</f>
        <v>0</v>
      </c>
      <c r="AZ24" s="5">
        <f ca="1">IF(RANDBETWEEN(1,100)&gt;80,1,0)</f>
        <v>0</v>
      </c>
      <c r="BA24" s="5">
        <f ca="1">IF(OR(MatchData[[#This Row],[Challenge Flag]],MatchData[[#This Row],[Climb Flag]]),1,0)</f>
        <v>1</v>
      </c>
      <c r="BB24" s="5">
        <f ca="1">MatchData[Auto High Goals]*10+MatchData[Teleop High Goals]*5</f>
        <v>30</v>
      </c>
      <c r="BC24" s="5">
        <f ca="1">MatchData[Auto Low Goals]*5+MatchData[Teleop Low Goals]*2</f>
        <v>2</v>
      </c>
      <c r="BD24" s="5">
        <f ca="1">MatchData[High Goal Score]+MatchData[Low Goal Score]</f>
        <v>32</v>
      </c>
      <c r="BE24" s="5">
        <f ca="1">MatchData[Teleop High Goals]+MatchData[Teleop Low Goals]</f>
        <v>5</v>
      </c>
      <c r="BF24" s="5">
        <f ca="1">MatchData[[#This Row],[Auto Reach Flag]]*2+SUM(MatchData[[#This Row],[Portcullis Auto Crossings]:[Low Bar Auto Crossings]])*10+MatchData[[#This Row],[Auto Low Goals]]*5+MatchData[Auto High Goals]*10</f>
        <v>10</v>
      </c>
      <c r="BG24" s="5">
        <f ca="1">SUM(MatchData[[#This Row],[Cheval Scored Teleop Crossings]:[Low Bar Scored Teleop Crossings]])</f>
        <v>35</v>
      </c>
      <c r="BH24" s="5">
        <f ca="1">MatchData[Challenge Flag]*5</f>
        <v>5</v>
      </c>
      <c r="BI24" s="5">
        <f ca="1">MatchData[Climb Flag]*15</f>
        <v>0</v>
      </c>
      <c r="BJ24" s="5">
        <f ca="1">SUM(MatchData[[#This Row],[Total Goal Score]],MatchData[[#This Row],[Crossing Score]],MatchData[[#This Row],[Challenge Score]],MatchData[[#This Row],[Climb Score]],MatchData[[#This Row],[Total Auto Score]])</f>
        <v>82</v>
      </c>
      <c r="BK24">
        <v>4</v>
      </c>
      <c r="BL24" s="5">
        <f ca="1">IF(RANDBETWEEN(0,10)&gt;=9,RANDBETWEEN(1,9),0)</f>
        <v>0</v>
      </c>
      <c r="BM24" s="5">
        <f>VLOOKUP(MatchData[[#This Row],[Persona]],Personas!$A$2:$O$5,3)</f>
        <v>1</v>
      </c>
      <c r="BN24" s="13">
        <f>VLOOKUP(MatchData[[#This Row],[Persona]],Personas!$A$2:$P$5,4)</f>
        <v>4</v>
      </c>
      <c r="BO24" s="13">
        <f>VLOOKUP(MatchData[[#This Row],[Persona]],Personas!$A$2:$P$5,5)</f>
        <v>1</v>
      </c>
      <c r="BP24" s="13">
        <f>VLOOKUP(MatchData[[#This Row],[Persona]],Personas!$A$2:$P$5,6)</f>
        <v>4</v>
      </c>
      <c r="BQ24" s="13">
        <f>VLOOKUP(MatchData[[#This Row],[Persona]],Personas!$A$2:$P$5,7)</f>
        <v>3</v>
      </c>
      <c r="BR24" s="13">
        <f>VLOOKUP(MatchData[[#This Row],[Persona]],Personas!$A$2:$P$5,8)</f>
        <v>3</v>
      </c>
      <c r="BS24" s="13">
        <f>VLOOKUP(MatchData[[#This Row],[Persona]],Personas!$A$2:$P$5,9)</f>
        <v>4</v>
      </c>
      <c r="BT24" s="13">
        <f>VLOOKUP(MatchData[[#This Row],[Persona]],Personas!$A$2:$P$5,10)</f>
        <v>4</v>
      </c>
      <c r="BU24" s="13">
        <f>VLOOKUP(MatchData[[#This Row],[Persona]],Personas!$A$2:$P$5,11)</f>
        <v>3</v>
      </c>
      <c r="BV24" s="13">
        <f>VLOOKUP(MatchData[[#This Row],[Persona]],Personas!$A$2:$P$5,12)</f>
        <v>3</v>
      </c>
      <c r="BW24" s="13">
        <f>VLOOKUP(MatchData[[#This Row],[Persona]],Personas!$A$2:$P$5,13)</f>
        <v>4</v>
      </c>
      <c r="BX24" s="13">
        <f>VLOOKUP(MatchData[[#This Row],[Persona]],Personas!$A$2:$P$5,14)</f>
        <v>4</v>
      </c>
      <c r="BY24" s="13">
        <f>VLOOKUP(MatchData[[#This Row],[Persona]],Personas!$A$2:$P$5,15)</f>
        <v>5</v>
      </c>
      <c r="BZ24" s="13">
        <f>VLOOKUP(MatchData[[#This Row],[Persona]],Personas!$A$2:$P$5,16)</f>
        <v>0</v>
      </c>
      <c r="CA24" s="14">
        <f ca="1">ROUND(SUMIF(MatchData[Team],MatchData[[#This Row],[Team]],MatchData[Teleop Low Goals])/COUNTIF(MatchData[Team],MatchData[[#This Row],[Team]]),2)</f>
        <v>2.67</v>
      </c>
      <c r="CB24" s="14">
        <f ca="1">ROUND(SUMIF(MatchData[Team],MatchData[[#This Row],[Team]],MatchData[Teleop High Goals])/COUNTIF(MatchData[Team],MatchData[[#This Row],[Team]]),2)</f>
        <v>2.83</v>
      </c>
      <c r="CC24" s="14">
        <f>COUNTIF(MatchData[Team],MatchData[[#This Row],[Team]])</f>
        <v>6</v>
      </c>
      <c r="CD24" s="14">
        <f>SUMIF(MatchData[Team],MatchData[[#This Row],[Team]],MatchData[Portcullis Available])</f>
        <v>3</v>
      </c>
      <c r="CE24" s="14">
        <f>SUMIF(MatchData[Team],MatchData[[#This Row],[Team]],MatchData[Cheval Available])</f>
        <v>3</v>
      </c>
      <c r="CF24" s="14">
        <f>SUMIF(MatchData[Team],MatchData[[#This Row],[Team]],MatchData[Moat Available])</f>
        <v>3</v>
      </c>
      <c r="CG24" s="14">
        <f>SUMIF(MatchData[Team],MatchData[[#This Row],[Team]],MatchData[Ramparts Available])</f>
        <v>3</v>
      </c>
      <c r="CH24" s="14">
        <f>SUMIF(MatchData[Team],MatchData[[#This Row],[Team]],MatchData[Drawbridge Available])</f>
        <v>3</v>
      </c>
      <c r="CI24" s="14">
        <f>SUMIF(MatchData[Team],MatchData[[#This Row],[Team]],MatchData[Sally Port Available])</f>
        <v>3</v>
      </c>
      <c r="CJ24" s="14">
        <f>SUMIF(MatchData[Team],MatchData[[#This Row],[Team]],MatchData[Rock Wall Available])</f>
        <v>3</v>
      </c>
      <c r="CK24" s="14">
        <f>SUMIF(MatchData[Team],MatchData[[#This Row],[Team]],MatchData[Rough Terrain Available])</f>
        <v>3</v>
      </c>
      <c r="CL24" s="14">
        <f>SUMIF(MatchData[Team],MatchData[[#This Row],[Team]],MatchData[Low Bar Available])</f>
        <v>6</v>
      </c>
      <c r="CM24" s="14">
        <f ca="1">SUMIF(MatchData[Team],MatchData[[#This Row],[Team]],MatchData[Portcullis Teleop Crossings])</f>
        <v>0</v>
      </c>
      <c r="CN24" s="14">
        <f ca="1">SUMIF(MatchData[Team],MatchData[[#This Row],[Team]],MatchData[Cheval Teleop Crossings])</f>
        <v>5</v>
      </c>
      <c r="CO24" s="14">
        <f ca="1">SUMIF(MatchData[Team],MatchData[[#This Row],[Team]],MatchData[Moat Teleop Crossings])</f>
        <v>7</v>
      </c>
      <c r="CP24" s="14">
        <f ca="1">SUMIF(MatchData[Team],MatchData[[#This Row],[Team]],MatchData[Ramparts Teleop Crossings])</f>
        <v>7</v>
      </c>
      <c r="CQ24" s="14">
        <f ca="1">SUMIF(MatchData[Team],MatchData[[#This Row],[Team]],MatchData[Drawbridge Teleop Crossings])</f>
        <v>3</v>
      </c>
      <c r="CR24" s="14">
        <f ca="1">SUMIF(MatchData[Team],MatchData[[#This Row],[Team]],MatchData[Sally Port Teleop Crossings])</f>
        <v>5</v>
      </c>
      <c r="CS24" s="14">
        <f ca="1">SUMIF(MatchData[Team],MatchData[[#This Row],[Team]],MatchData[Rock Wall Teleop Crossings])</f>
        <v>2</v>
      </c>
      <c r="CT24" s="14">
        <f ca="1">SUMIF(MatchData[Team],MatchData[[#This Row],[Team]],MatchData[Rough Terrain Teleop Crossings])</f>
        <v>7</v>
      </c>
      <c r="CU24" s="14">
        <f ca="1">SUMIF(MatchData[Team],MatchData[[#This Row],[Team]],MatchData[Low Bar Teleop Crossings])</f>
        <v>20</v>
      </c>
      <c r="CV24" s="14">
        <f ca="1">IFERROR(ROUND(MatchData[[#This Row],[Portcullis Sum]]/MatchData[[#This Row],[Portcullis Avail Count]],2),0)</f>
        <v>0</v>
      </c>
      <c r="CW24">
        <f ca="1">IFERROR(ROUND(MatchData[[#This Row],[Cheval Sum]]/MatchData[[#This Row],[Cheval Avail Count]],2),0)</f>
        <v>1.67</v>
      </c>
      <c r="CX24">
        <f ca="1">IFERROR(ROUND(MatchData[[#This Row],[Moat Sum]]/MatchData[[#This Row],[Moat Avail Count]],2),0)</f>
        <v>2.33</v>
      </c>
      <c r="CY24">
        <f ca="1">IFERROR(ROUND(MatchData[[#This Row],[Ramparts Sum]]/MatchData[[#This Row],[Ramparts Avail Count]],2),0)</f>
        <v>2.33</v>
      </c>
      <c r="CZ24">
        <f ca="1">IFERROR(ROUND(MatchData[[#This Row],[Drawbridge Sum]]/MatchData[[#This Row],[Drawbridge HAvail Countigh6]],2),0)</f>
        <v>1</v>
      </c>
      <c r="DA24">
        <f ca="1">IFERROR(ROUND(MatchData[[#This Row],[Sally Port Sum]]/MatchData[[#This Row],[Sally Port Avail Count]],2),0)</f>
        <v>1.67</v>
      </c>
      <c r="DB24">
        <f ca="1">IFERROR(ROUND(MatchData[[#This Row],[Rock Wall Sum]]/MatchData[[#This Row],[Rock Wall Avail Count]],2),0)</f>
        <v>0.67</v>
      </c>
      <c r="DC24">
        <f ca="1">IFERROR(ROUND(MatchData[[#This Row],[Rough Terrain Sum]]/MatchData[[#This Row],[Rough Terrain Avail Count]],2),0)</f>
        <v>2.33</v>
      </c>
      <c r="DD24">
        <f ca="1">IFERROR(ROUND(MatchData[[#This Row],[Low Bar Sum]]/MatchData[[#This Row],[Low Bar Avail Count]],2),0)</f>
        <v>3.33</v>
      </c>
      <c r="DE24" s="14">
        <f t="array" aca="1" ref="DE24" ca="1">MAX(IF(C$4:C$75=C24,BE$4:BE$75))</f>
        <v>8</v>
      </c>
      <c r="DF24" s="14">
        <f ca="1">AVERAGEIF(MatchData[Team],MatchData[Team],MatchData[Total Score])</f>
        <v>75.5</v>
      </c>
      <c r="DG24" s="14">
        <f ca="1">ROUND(AVERAGEIF(MatchData[Team],MatchData[Team],MatchData[Climb or Challenge Flag]),2)</f>
        <v>1</v>
      </c>
    </row>
    <row r="25" spans="1:111">
      <c r="A25" t="s">
        <v>54</v>
      </c>
      <c r="B25" s="4">
        <v>8</v>
      </c>
      <c r="C25">
        <v>1004</v>
      </c>
      <c r="D25" t="s">
        <v>55</v>
      </c>
      <c r="E25" t="s">
        <v>59</v>
      </c>
      <c r="F25">
        <f ca="1">IF(MatchData[[#This Row],[Persona]] = 4,RANDBETWEEN(0,1),0)</f>
        <v>0</v>
      </c>
      <c r="G25">
        <f ca="1">IF(MatchData[[#This Row],[Persona]] = 3,RANDBETWEEN(0,1),0)</f>
        <v>0</v>
      </c>
      <c r="H25">
        <f ca="1">RANDBETWEEN(MatchData[[#This Row],[High Goal Low]],MatchData[[#This Row],[High Goal High]])</f>
        <v>3</v>
      </c>
      <c r="I25">
        <f ca="1">RANDBETWEEN(MatchData[[#This Row],[Low Goal Low]],MatchData[[#This Row],[Low Goal High]])</f>
        <v>3</v>
      </c>
      <c r="J25" s="6"/>
      <c r="K25" s="6">
        <v>1</v>
      </c>
      <c r="L25" s="6">
        <v>1</v>
      </c>
      <c r="M25" s="6"/>
      <c r="N25" s="6"/>
      <c r="O25" s="6">
        <v>1</v>
      </c>
      <c r="P25" s="6">
        <v>1</v>
      </c>
      <c r="Q25" s="5"/>
      <c r="R25" s="5">
        <v>1</v>
      </c>
      <c r="S25" s="5">
        <f ca="1">IF(MatchData[[#This Row],[Auto Crossing Test Generator]]=0,RANDBETWEEN(0,1),0)</f>
        <v>0</v>
      </c>
      <c r="T25" s="5">
        <f ca="1">IF(MatchData[Auto Crossing Test Generator]=1,1,0)</f>
        <v>0</v>
      </c>
      <c r="U25" s="5">
        <f ca="1">IF(MatchData[[#This Row],[Auto Crossing Test Generator]]=2,RANDBETWEEN(0,1),0)</f>
        <v>0</v>
      </c>
      <c r="V25" s="5">
        <f ca="1">IF(MatchData[[#This Row],[Auto Crossing Test Generator]]=3,RANDBETWEEN(0,1),0)</f>
        <v>0</v>
      </c>
      <c r="W25" s="5">
        <f ca="1">IF(MatchData[[#This Row],[Auto Crossing Test Generator]]=4,RANDBETWEEN(0,1),0)</f>
        <v>0</v>
      </c>
      <c r="X25" s="5">
        <f ca="1">IF(MatchData[[#This Row],[Auto Crossing Test Generator]]=5,RANDBETWEEN(0,1),0)</f>
        <v>0</v>
      </c>
      <c r="Y25" s="5">
        <f ca="1">IF(MatchData[[#This Row],[Auto Crossing Test Generator]]=6,RANDBETWEEN(0,1),0)</f>
        <v>0</v>
      </c>
      <c r="Z25" s="5">
        <f ca="1">IF(MatchData[[#This Row],[Auto Crossing Test Generator]]=7,RANDBETWEEN(0,1),0)</f>
        <v>0</v>
      </c>
      <c r="AA25" s="5">
        <f ca="1">IF(MatchData[[#This Row],[Auto Crossing Test Generator]]=8,RANDBETWEEN(0,1),0)</f>
        <v>0</v>
      </c>
      <c r="AB25" s="5">
        <f ca="1">IF(MatchData[[#This Row],[Auto Crossing Test Generator]]&gt;8,RANDBETWEEN(0,1),0)</f>
        <v>0</v>
      </c>
      <c r="AC25" s="5">
        <f ca="1">IF(MatchData[[#This Row],[Auto Crossing Test Generator]]=9,RANDBETWEEN(0,1),0)</f>
        <v>0</v>
      </c>
      <c r="AD25" s="5">
        <f ca="1">IF(MatchData[[#This Row],[Cheval Available]]=1,RANDBETWEEN(0,MatchData[[#This Row],[Cheval High]]),0)</f>
        <v>0</v>
      </c>
      <c r="AE25" s="5">
        <f ca="1">IF(MatchData[[#This Row],[Moat Available]]=1,RANDBETWEEN(0,MatchData[[#This Row],[Moat High]]),0)</f>
        <v>3</v>
      </c>
      <c r="AF25" s="5">
        <f ca="1">IF(MatchData[[#This Row],[Ramparts Available]]=1,RANDBETWEEN(0,MatchData[[#This Row],[Ramparts High]]),0)</f>
        <v>0</v>
      </c>
      <c r="AG25" s="5">
        <f ca="1">IF(MatchData[[#This Row],[Drawbridge Available]]=1,RANDBETWEEN(0,MatchData[[#This Row],[Drawbridge High]]),0)</f>
        <v>0</v>
      </c>
      <c r="AH25" s="5">
        <f ca="1">IF(MatchData[[#This Row],[Sally Port Available]]=1,RANDBETWEEN(0,MatchData[[#This Row],[Sally Port High]]),0)</f>
        <v>2</v>
      </c>
      <c r="AI25" s="5">
        <f ca="1">IF(MatchData[[#This Row],[Rock Wall Available]]=1,RANDBETWEEN(0,MatchData[[#This Row],[Rock Wall High]]),0)</f>
        <v>0</v>
      </c>
      <c r="AJ25" s="5">
        <f ca="1">IF(MatchData[[#This Row],[Rough Terrain Available]]=1,RANDBETWEEN(0,MatchData[[#This Row],[Rough Terrain High]]),0)</f>
        <v>0</v>
      </c>
      <c r="AK25" s="5">
        <f ca="1">IF(MatchData[[#This Row],[Low Bar Available]]=1,RANDBETWEEN(0,MatchData[[#This Row],[Low Bar High]]),0)</f>
        <v>4</v>
      </c>
      <c r="AL25" s="5">
        <f ca="1">IF(MatchData[Cheval Teleop Crossings]&gt;3,10, MatchData[Cheval Teleop Crossings]*5)</f>
        <v>0</v>
      </c>
      <c r="AM25" s="5">
        <f ca="1">IF(MatchData[Moat Teleop Crossings]&gt;3,10, MatchData[Moat Teleop Crossings]*5)</f>
        <v>15</v>
      </c>
      <c r="AN25" s="5">
        <f ca="1">IF(MatchData[Ramparts Teleop Crossings]&gt;3,10, MatchData[Ramparts Teleop Crossings]*5)</f>
        <v>0</v>
      </c>
      <c r="AO25" s="5">
        <f ca="1">IF(MatchData[Drawbridge Teleop Crossings]&gt;3,10, MatchData[Drawbridge Teleop Crossings]*5)</f>
        <v>0</v>
      </c>
      <c r="AP25" s="5">
        <f ca="1">IF(MatchData[Sally Port Teleop Crossings]&gt;3,10, MatchData[Sally Port Teleop Crossings]*5)</f>
        <v>10</v>
      </c>
      <c r="AQ25" s="5">
        <f ca="1">IF(MatchData[Rock Wall Teleop Crossings]&gt;3,10, MatchData[Rock Wall Teleop Crossings]*5)</f>
        <v>0</v>
      </c>
      <c r="AR25" s="5">
        <f ca="1">IF(MatchData[Rough Terrain Teleop Crossings]&gt;3,10, MatchData[Rough Terrain Teleop Crossings]*5)</f>
        <v>0</v>
      </c>
      <c r="AS25" s="5">
        <f ca="1">IF(MatchData[Low Bar Teleop Crossings]&gt;3,10, MatchData[Low Bar Teleop Crossings]*5)</f>
        <v>10</v>
      </c>
      <c r="AT25" s="5">
        <f ca="1">SUM(MatchData[[#This Row],[Portcullis Teleop Crossings]:[Low Bar Teleop Crossings]])</f>
        <v>9</v>
      </c>
      <c r="AU25" s="5">
        <f ca="1">IF(RANDBETWEEN(1,4)&gt;1,1,0)</f>
        <v>1</v>
      </c>
      <c r="AV25" s="5">
        <f ca="1">IF(MatchData[[#This Row],[Challenge Flag]]=1,0,IF(MatchData[[#This Row],[Climber]]=1,RANDBETWEEN(0,1),0))</f>
        <v>0</v>
      </c>
      <c r="AW25" s="5">
        <f ca="1">IF(MatchData[[#This Row],[Crossing Score]]&gt;=40,1,0)</f>
        <v>0</v>
      </c>
      <c r="AX25" s="5"/>
      <c r="AY25" s="5">
        <f ca="1">IF(RANDBETWEEN(1,100)&gt;95,1,0)</f>
        <v>0</v>
      </c>
      <c r="AZ25" s="5">
        <f ca="1">IF(RANDBETWEEN(1,100)&gt;80,1,0)</f>
        <v>0</v>
      </c>
      <c r="BA25" s="5">
        <f ca="1">IF(OR(MatchData[[#This Row],[Challenge Flag]],MatchData[[#This Row],[Climb Flag]]),1,0)</f>
        <v>1</v>
      </c>
      <c r="BB25" s="5">
        <f ca="1">MatchData[Auto High Goals]*10+MatchData[Teleop High Goals]*5</f>
        <v>15</v>
      </c>
      <c r="BC25" s="5">
        <f ca="1">MatchData[Auto Low Goals]*5+MatchData[Teleop Low Goals]*2</f>
        <v>6</v>
      </c>
      <c r="BD25" s="5">
        <f ca="1">MatchData[High Goal Score]+MatchData[Low Goal Score]</f>
        <v>21</v>
      </c>
      <c r="BE25" s="5">
        <f ca="1">MatchData[Teleop High Goals]+MatchData[Teleop Low Goals]</f>
        <v>6</v>
      </c>
      <c r="BF25" s="5">
        <f ca="1">MatchData[[#This Row],[Auto Reach Flag]]*2+SUM(MatchData[[#This Row],[Portcullis Auto Crossings]:[Low Bar Auto Crossings]])*10+MatchData[[#This Row],[Auto Low Goals]]*5+MatchData[Auto High Goals]*10</f>
        <v>0</v>
      </c>
      <c r="BG25" s="5">
        <f ca="1">SUM(MatchData[[#This Row],[Cheval Scored Teleop Crossings]:[Low Bar Scored Teleop Crossings]])</f>
        <v>35</v>
      </c>
      <c r="BH25" s="5">
        <f ca="1">MatchData[Challenge Flag]*5</f>
        <v>5</v>
      </c>
      <c r="BI25" s="5">
        <f ca="1">MatchData[Climb Flag]*15</f>
        <v>0</v>
      </c>
      <c r="BJ25" s="5">
        <f ca="1">SUM(MatchData[[#This Row],[Total Goal Score]],MatchData[[#This Row],[Crossing Score]],MatchData[[#This Row],[Challenge Score]],MatchData[[#This Row],[Climb Score]],MatchData[[#This Row],[Total Auto Score]])</f>
        <v>61</v>
      </c>
      <c r="BK25">
        <v>4</v>
      </c>
      <c r="BL25" s="5">
        <f ca="1">IF(RANDBETWEEN(0,10)&gt;=9,RANDBETWEEN(1,9),0)</f>
        <v>0</v>
      </c>
      <c r="BM25" s="5">
        <f>VLOOKUP(MatchData[[#This Row],[Persona]],Personas!$A$2:$O$5,3)</f>
        <v>1</v>
      </c>
      <c r="BN25" s="13">
        <f>VLOOKUP(MatchData[[#This Row],[Persona]],Personas!$A$2:$P$5,4)</f>
        <v>4</v>
      </c>
      <c r="BO25" s="13">
        <f>VLOOKUP(MatchData[[#This Row],[Persona]],Personas!$A$2:$P$5,5)</f>
        <v>1</v>
      </c>
      <c r="BP25" s="13">
        <f>VLOOKUP(MatchData[[#This Row],[Persona]],Personas!$A$2:$P$5,6)</f>
        <v>4</v>
      </c>
      <c r="BQ25" s="13">
        <f>VLOOKUP(MatchData[[#This Row],[Persona]],Personas!$A$2:$P$5,7)</f>
        <v>3</v>
      </c>
      <c r="BR25" s="13">
        <f>VLOOKUP(MatchData[[#This Row],[Persona]],Personas!$A$2:$P$5,8)</f>
        <v>3</v>
      </c>
      <c r="BS25" s="13">
        <f>VLOOKUP(MatchData[[#This Row],[Persona]],Personas!$A$2:$P$5,9)</f>
        <v>4</v>
      </c>
      <c r="BT25" s="13">
        <f>VLOOKUP(MatchData[[#This Row],[Persona]],Personas!$A$2:$P$5,10)</f>
        <v>4</v>
      </c>
      <c r="BU25" s="13">
        <f>VLOOKUP(MatchData[[#This Row],[Persona]],Personas!$A$2:$P$5,11)</f>
        <v>3</v>
      </c>
      <c r="BV25" s="13">
        <f>VLOOKUP(MatchData[[#This Row],[Persona]],Personas!$A$2:$P$5,12)</f>
        <v>3</v>
      </c>
      <c r="BW25" s="13">
        <f>VLOOKUP(MatchData[[#This Row],[Persona]],Personas!$A$2:$P$5,13)</f>
        <v>4</v>
      </c>
      <c r="BX25" s="13">
        <f>VLOOKUP(MatchData[[#This Row],[Persona]],Personas!$A$2:$P$5,14)</f>
        <v>4</v>
      </c>
      <c r="BY25" s="13">
        <f>VLOOKUP(MatchData[[#This Row],[Persona]],Personas!$A$2:$P$5,15)</f>
        <v>5</v>
      </c>
      <c r="BZ25" s="13">
        <f>VLOOKUP(MatchData[[#This Row],[Persona]],Personas!$A$2:$P$5,16)</f>
        <v>0</v>
      </c>
      <c r="CA25" s="14">
        <f ca="1">ROUND(SUMIF(MatchData[Team],MatchData[[#This Row],[Team]],MatchData[Teleop Low Goals])/COUNTIF(MatchData[Team],MatchData[[#This Row],[Team]]),2)</f>
        <v>2.67</v>
      </c>
      <c r="CB25" s="14">
        <f ca="1">ROUND(SUMIF(MatchData[Team],MatchData[[#This Row],[Team]],MatchData[Teleop High Goals])/COUNTIF(MatchData[Team],MatchData[[#This Row],[Team]]),2)</f>
        <v>2.83</v>
      </c>
      <c r="CC25" s="14">
        <f>COUNTIF(MatchData[Team],MatchData[[#This Row],[Team]])</f>
        <v>6</v>
      </c>
      <c r="CD25" s="14">
        <f>SUMIF(MatchData[Team],MatchData[[#This Row],[Team]],MatchData[Portcullis Available])</f>
        <v>3</v>
      </c>
      <c r="CE25" s="14">
        <f>SUMIF(MatchData[Team],MatchData[[#This Row],[Team]],MatchData[Cheval Available])</f>
        <v>3</v>
      </c>
      <c r="CF25" s="14">
        <f>SUMIF(MatchData[Team],MatchData[[#This Row],[Team]],MatchData[Moat Available])</f>
        <v>3</v>
      </c>
      <c r="CG25" s="14">
        <f>SUMIF(MatchData[Team],MatchData[[#This Row],[Team]],MatchData[Ramparts Available])</f>
        <v>3</v>
      </c>
      <c r="CH25" s="14">
        <f>SUMIF(MatchData[Team],MatchData[[#This Row],[Team]],MatchData[Drawbridge Available])</f>
        <v>3</v>
      </c>
      <c r="CI25" s="14">
        <f>SUMIF(MatchData[Team],MatchData[[#This Row],[Team]],MatchData[Sally Port Available])</f>
        <v>3</v>
      </c>
      <c r="CJ25" s="14">
        <f>SUMIF(MatchData[Team],MatchData[[#This Row],[Team]],MatchData[Rock Wall Available])</f>
        <v>3</v>
      </c>
      <c r="CK25" s="14">
        <f>SUMIF(MatchData[Team],MatchData[[#This Row],[Team]],MatchData[Rough Terrain Available])</f>
        <v>3</v>
      </c>
      <c r="CL25" s="14">
        <f>SUMIF(MatchData[Team],MatchData[[#This Row],[Team]],MatchData[Low Bar Available])</f>
        <v>6</v>
      </c>
      <c r="CM25" s="14">
        <f ca="1">SUMIF(MatchData[Team],MatchData[[#This Row],[Team]],MatchData[Portcullis Teleop Crossings])</f>
        <v>0</v>
      </c>
      <c r="CN25" s="14">
        <f ca="1">SUMIF(MatchData[Team],MatchData[[#This Row],[Team]],MatchData[Cheval Teleop Crossings])</f>
        <v>5</v>
      </c>
      <c r="CO25" s="14">
        <f ca="1">SUMIF(MatchData[Team],MatchData[[#This Row],[Team]],MatchData[Moat Teleop Crossings])</f>
        <v>7</v>
      </c>
      <c r="CP25" s="14">
        <f ca="1">SUMIF(MatchData[Team],MatchData[[#This Row],[Team]],MatchData[Ramparts Teleop Crossings])</f>
        <v>7</v>
      </c>
      <c r="CQ25" s="14">
        <f ca="1">SUMIF(MatchData[Team],MatchData[[#This Row],[Team]],MatchData[Drawbridge Teleop Crossings])</f>
        <v>3</v>
      </c>
      <c r="CR25" s="14">
        <f ca="1">SUMIF(MatchData[Team],MatchData[[#This Row],[Team]],MatchData[Sally Port Teleop Crossings])</f>
        <v>5</v>
      </c>
      <c r="CS25" s="14">
        <f ca="1">SUMIF(MatchData[Team],MatchData[[#This Row],[Team]],MatchData[Rock Wall Teleop Crossings])</f>
        <v>2</v>
      </c>
      <c r="CT25" s="14">
        <f ca="1">SUMIF(MatchData[Team],MatchData[[#This Row],[Team]],MatchData[Rough Terrain Teleop Crossings])</f>
        <v>7</v>
      </c>
      <c r="CU25" s="14">
        <f ca="1">SUMIF(MatchData[Team],MatchData[[#This Row],[Team]],MatchData[Low Bar Teleop Crossings])</f>
        <v>20</v>
      </c>
      <c r="CV25" s="14">
        <f ca="1">IFERROR(ROUND(MatchData[[#This Row],[Portcullis Sum]]/MatchData[[#This Row],[Portcullis Avail Count]],2),0)</f>
        <v>0</v>
      </c>
      <c r="CW25">
        <f ca="1">IFERROR(ROUND(MatchData[[#This Row],[Cheval Sum]]/MatchData[[#This Row],[Cheval Avail Count]],2),0)</f>
        <v>1.67</v>
      </c>
      <c r="CX25">
        <f ca="1">IFERROR(ROUND(MatchData[[#This Row],[Moat Sum]]/MatchData[[#This Row],[Moat Avail Count]],2),0)</f>
        <v>2.33</v>
      </c>
      <c r="CY25">
        <f ca="1">IFERROR(ROUND(MatchData[[#This Row],[Ramparts Sum]]/MatchData[[#This Row],[Ramparts Avail Count]],2),0)</f>
        <v>2.33</v>
      </c>
      <c r="CZ25">
        <f ca="1">IFERROR(ROUND(MatchData[[#This Row],[Drawbridge Sum]]/MatchData[[#This Row],[Drawbridge HAvail Countigh6]],2),0)</f>
        <v>1</v>
      </c>
      <c r="DA25">
        <f ca="1">IFERROR(ROUND(MatchData[[#This Row],[Sally Port Sum]]/MatchData[[#This Row],[Sally Port Avail Count]],2),0)</f>
        <v>1.67</v>
      </c>
      <c r="DB25">
        <f ca="1">IFERROR(ROUND(MatchData[[#This Row],[Rock Wall Sum]]/MatchData[[#This Row],[Rock Wall Avail Count]],2),0)</f>
        <v>0.67</v>
      </c>
      <c r="DC25">
        <f ca="1">IFERROR(ROUND(MatchData[[#This Row],[Rough Terrain Sum]]/MatchData[[#This Row],[Rough Terrain Avail Count]],2),0)</f>
        <v>2.33</v>
      </c>
      <c r="DD25">
        <f ca="1">IFERROR(ROUND(MatchData[[#This Row],[Low Bar Sum]]/MatchData[[#This Row],[Low Bar Avail Count]],2),0)</f>
        <v>3.33</v>
      </c>
      <c r="DE25" s="14">
        <f t="array" aca="1" ref="DE25" ca="1">MAX(IF(C$4:C$75=C25,BE$4:BE$75))</f>
        <v>8</v>
      </c>
      <c r="DF25" s="14">
        <f ca="1">AVERAGEIF(MatchData[Team],MatchData[Team],MatchData[Total Score])</f>
        <v>75.5</v>
      </c>
      <c r="DG25" s="14">
        <f ca="1">ROUND(AVERAGEIF(MatchData[Team],MatchData[Team],MatchData[Climb or Challenge Flag]),2)</f>
        <v>1</v>
      </c>
    </row>
    <row r="26" spans="1:111">
      <c r="A26" t="s">
        <v>54</v>
      </c>
      <c r="B26" s="4">
        <v>10</v>
      </c>
      <c r="C26">
        <v>1004</v>
      </c>
      <c r="D26" t="s">
        <v>55</v>
      </c>
      <c r="E26" t="s">
        <v>64</v>
      </c>
      <c r="F26">
        <f ca="1">IF(MatchData[[#This Row],[Persona]] = 4,RANDBETWEEN(0,1),0)</f>
        <v>1</v>
      </c>
      <c r="G26">
        <f ca="1">IF(MatchData[[#This Row],[Persona]] = 3,RANDBETWEEN(0,1),0)</f>
        <v>0</v>
      </c>
      <c r="H26">
        <f ca="1">RANDBETWEEN(MatchData[[#This Row],[High Goal Low]],MatchData[[#This Row],[High Goal High]])</f>
        <v>2</v>
      </c>
      <c r="I26">
        <f ca="1">RANDBETWEEN(MatchData[[#This Row],[Low Goal Low]],MatchData[[#This Row],[Low Goal High]])</f>
        <v>3</v>
      </c>
      <c r="J26" s="6"/>
      <c r="K26" s="6">
        <v>1</v>
      </c>
      <c r="L26" s="6">
        <v>1</v>
      </c>
      <c r="M26" s="6"/>
      <c r="N26" s="6">
        <v>1</v>
      </c>
      <c r="O26" s="6"/>
      <c r="P26" s="6"/>
      <c r="Q26" s="5">
        <v>1</v>
      </c>
      <c r="R26" s="5">
        <v>1</v>
      </c>
      <c r="S26" s="5">
        <f ca="1">IF(MatchData[[#This Row],[Auto Crossing Test Generator]]=0,RANDBETWEEN(0,1),0)</f>
        <v>1</v>
      </c>
      <c r="T26" s="5">
        <f ca="1">IF(MatchData[Auto Crossing Test Generator]=1,1,0)</f>
        <v>0</v>
      </c>
      <c r="U26" s="5">
        <f ca="1">IF(MatchData[[#This Row],[Auto Crossing Test Generator]]=2,RANDBETWEEN(0,1),0)</f>
        <v>0</v>
      </c>
      <c r="V26" s="5">
        <f ca="1">IF(MatchData[[#This Row],[Auto Crossing Test Generator]]=3,RANDBETWEEN(0,1),0)</f>
        <v>0</v>
      </c>
      <c r="W26" s="5">
        <f ca="1">IF(MatchData[[#This Row],[Auto Crossing Test Generator]]=4,RANDBETWEEN(0,1),0)</f>
        <v>0</v>
      </c>
      <c r="X26" s="5">
        <f ca="1">IF(MatchData[[#This Row],[Auto Crossing Test Generator]]=5,RANDBETWEEN(0,1),0)</f>
        <v>0</v>
      </c>
      <c r="Y26" s="5">
        <f ca="1">IF(MatchData[[#This Row],[Auto Crossing Test Generator]]=6,RANDBETWEEN(0,1),0)</f>
        <v>0</v>
      </c>
      <c r="Z26" s="5">
        <f ca="1">IF(MatchData[[#This Row],[Auto Crossing Test Generator]]=7,RANDBETWEEN(0,1),0)</f>
        <v>0</v>
      </c>
      <c r="AA26" s="5">
        <f ca="1">IF(MatchData[[#This Row],[Auto Crossing Test Generator]]=8,RANDBETWEEN(0,1),0)</f>
        <v>0</v>
      </c>
      <c r="AB26" s="5">
        <f ca="1">IF(MatchData[[#This Row],[Auto Crossing Test Generator]]&gt;8,RANDBETWEEN(0,1),0)</f>
        <v>0</v>
      </c>
      <c r="AC26" s="5">
        <f ca="1">IF(MatchData[[#This Row],[Auto Crossing Test Generator]]=9,RANDBETWEEN(0,1),0)</f>
        <v>0</v>
      </c>
      <c r="AD26" s="5">
        <f ca="1">IF(MatchData[[#This Row],[Cheval Available]]=1,RANDBETWEEN(0,MatchData[[#This Row],[Cheval High]]),0)</f>
        <v>2</v>
      </c>
      <c r="AE26" s="5">
        <f ca="1">IF(MatchData[[#This Row],[Moat Available]]=1,RANDBETWEEN(0,MatchData[[#This Row],[Moat High]]),0)</f>
        <v>0</v>
      </c>
      <c r="AF26" s="5">
        <f ca="1">IF(MatchData[[#This Row],[Ramparts Available]]=1,RANDBETWEEN(0,MatchData[[#This Row],[Ramparts High]]),0)</f>
        <v>0</v>
      </c>
      <c r="AG26" s="5">
        <f ca="1">IF(MatchData[[#This Row],[Drawbridge Available]]=1,RANDBETWEEN(0,MatchData[[#This Row],[Drawbridge High]]),0)</f>
        <v>0</v>
      </c>
      <c r="AH26" s="5">
        <f ca="1">IF(MatchData[[#This Row],[Sally Port Available]]=1,RANDBETWEEN(0,MatchData[[#This Row],[Sally Port High]]),0)</f>
        <v>0</v>
      </c>
      <c r="AI26" s="5">
        <f ca="1">IF(MatchData[[#This Row],[Rock Wall Available]]=1,RANDBETWEEN(0,MatchData[[#This Row],[Rock Wall High]]),0)</f>
        <v>0</v>
      </c>
      <c r="AJ26" s="5">
        <f ca="1">IF(MatchData[[#This Row],[Rough Terrain Available]]=1,RANDBETWEEN(0,MatchData[[#This Row],[Rough Terrain High]]),0)</f>
        <v>1</v>
      </c>
      <c r="AK26" s="5">
        <f ca="1">IF(MatchData[[#This Row],[Low Bar Available]]=1,RANDBETWEEN(0,MatchData[[#This Row],[Low Bar High]]),0)</f>
        <v>3</v>
      </c>
      <c r="AL26" s="5">
        <f ca="1">IF(MatchData[Cheval Teleop Crossings]&gt;3,10, MatchData[Cheval Teleop Crossings]*5)</f>
        <v>10</v>
      </c>
      <c r="AM26" s="5">
        <f ca="1">IF(MatchData[Moat Teleop Crossings]&gt;3,10, MatchData[Moat Teleop Crossings]*5)</f>
        <v>0</v>
      </c>
      <c r="AN26" s="5">
        <f ca="1">IF(MatchData[Ramparts Teleop Crossings]&gt;3,10, MatchData[Ramparts Teleop Crossings]*5)</f>
        <v>0</v>
      </c>
      <c r="AO26" s="5">
        <f ca="1">IF(MatchData[Drawbridge Teleop Crossings]&gt;3,10, MatchData[Drawbridge Teleop Crossings]*5)</f>
        <v>0</v>
      </c>
      <c r="AP26" s="5">
        <f ca="1">IF(MatchData[Sally Port Teleop Crossings]&gt;3,10, MatchData[Sally Port Teleop Crossings]*5)</f>
        <v>0</v>
      </c>
      <c r="AQ26" s="5">
        <f ca="1">IF(MatchData[Rock Wall Teleop Crossings]&gt;3,10, MatchData[Rock Wall Teleop Crossings]*5)</f>
        <v>0</v>
      </c>
      <c r="AR26" s="5">
        <f ca="1">IF(MatchData[Rough Terrain Teleop Crossings]&gt;3,10, MatchData[Rough Terrain Teleop Crossings]*5)</f>
        <v>5</v>
      </c>
      <c r="AS26" s="5">
        <f ca="1">IF(MatchData[Low Bar Teleop Crossings]&gt;3,10, MatchData[Low Bar Teleop Crossings]*5)</f>
        <v>15</v>
      </c>
      <c r="AT26" s="5">
        <f ca="1">SUM(MatchData[[#This Row],[Portcullis Teleop Crossings]:[Low Bar Teleop Crossings]])</f>
        <v>6</v>
      </c>
      <c r="AU26" s="5">
        <f ca="1">IF(RANDBETWEEN(1,4)&gt;1,1,0)</f>
        <v>1</v>
      </c>
      <c r="AV26" s="5">
        <f ca="1">IF(MatchData[[#This Row],[Challenge Flag]]=1,0,IF(MatchData[[#This Row],[Climber]]=1,RANDBETWEEN(0,1),0))</f>
        <v>0</v>
      </c>
      <c r="AW26" s="5">
        <f ca="1">IF(MatchData[[#This Row],[Crossing Score]]&gt;=40,1,0)</f>
        <v>0</v>
      </c>
      <c r="AX26" s="5"/>
      <c r="AY26" s="5">
        <f ca="1">IF(RANDBETWEEN(1,100)&gt;95,1,0)</f>
        <v>0</v>
      </c>
      <c r="AZ26" s="5">
        <f ca="1">IF(RANDBETWEEN(1,100)&gt;80,1,0)</f>
        <v>0</v>
      </c>
      <c r="BA26" s="5">
        <f ca="1">IF(OR(MatchData[[#This Row],[Challenge Flag]],MatchData[[#This Row],[Climb Flag]]),1,0)</f>
        <v>1</v>
      </c>
      <c r="BB26" s="5">
        <f ca="1">MatchData[Auto High Goals]*10+MatchData[Teleop High Goals]*5</f>
        <v>20</v>
      </c>
      <c r="BC26" s="5">
        <f ca="1">MatchData[Auto Low Goals]*5+MatchData[Teleop Low Goals]*2</f>
        <v>6</v>
      </c>
      <c r="BD26" s="5">
        <f ca="1">MatchData[High Goal Score]+MatchData[Low Goal Score]</f>
        <v>26</v>
      </c>
      <c r="BE26" s="5">
        <f ca="1">MatchData[Teleop High Goals]+MatchData[Teleop Low Goals]</f>
        <v>5</v>
      </c>
      <c r="BF26" s="5">
        <f ca="1">MatchData[[#This Row],[Auto Reach Flag]]*2+SUM(MatchData[[#This Row],[Portcullis Auto Crossings]:[Low Bar Auto Crossings]])*10+MatchData[[#This Row],[Auto Low Goals]]*5+MatchData[Auto High Goals]*10</f>
        <v>12</v>
      </c>
      <c r="BG26" s="5">
        <f ca="1">SUM(MatchData[[#This Row],[Cheval Scored Teleop Crossings]:[Low Bar Scored Teleop Crossings]])</f>
        <v>30</v>
      </c>
      <c r="BH26" s="5">
        <f ca="1">MatchData[Challenge Flag]*5</f>
        <v>5</v>
      </c>
      <c r="BI26" s="5">
        <f ca="1">MatchData[Climb Flag]*15</f>
        <v>0</v>
      </c>
      <c r="BJ26" s="5">
        <f ca="1">SUM(MatchData[[#This Row],[Total Goal Score]],MatchData[[#This Row],[Crossing Score]],MatchData[[#This Row],[Challenge Score]],MatchData[[#This Row],[Climb Score]],MatchData[[#This Row],[Total Auto Score]])</f>
        <v>73</v>
      </c>
      <c r="BK26">
        <v>4</v>
      </c>
      <c r="BL26" s="5">
        <f ca="1">IF(RANDBETWEEN(0,10)&gt;=9,RANDBETWEEN(1,9),0)</f>
        <v>0</v>
      </c>
      <c r="BM26" s="5">
        <f>VLOOKUP(MatchData[[#This Row],[Persona]],Personas!$A$2:$O$5,3)</f>
        <v>1</v>
      </c>
      <c r="BN26" s="13">
        <f>VLOOKUP(MatchData[[#This Row],[Persona]],Personas!$A$2:$P$5,4)</f>
        <v>4</v>
      </c>
      <c r="BO26" s="13">
        <f>VLOOKUP(MatchData[[#This Row],[Persona]],Personas!$A$2:$P$5,5)</f>
        <v>1</v>
      </c>
      <c r="BP26" s="13">
        <f>VLOOKUP(MatchData[[#This Row],[Persona]],Personas!$A$2:$P$5,6)</f>
        <v>4</v>
      </c>
      <c r="BQ26" s="13">
        <f>VLOOKUP(MatchData[[#This Row],[Persona]],Personas!$A$2:$P$5,7)</f>
        <v>3</v>
      </c>
      <c r="BR26" s="13">
        <f>VLOOKUP(MatchData[[#This Row],[Persona]],Personas!$A$2:$P$5,8)</f>
        <v>3</v>
      </c>
      <c r="BS26" s="13">
        <f>VLOOKUP(MatchData[[#This Row],[Persona]],Personas!$A$2:$P$5,9)</f>
        <v>4</v>
      </c>
      <c r="BT26" s="13">
        <f>VLOOKUP(MatchData[[#This Row],[Persona]],Personas!$A$2:$P$5,10)</f>
        <v>4</v>
      </c>
      <c r="BU26" s="13">
        <f>VLOOKUP(MatchData[[#This Row],[Persona]],Personas!$A$2:$P$5,11)</f>
        <v>3</v>
      </c>
      <c r="BV26" s="13">
        <f>VLOOKUP(MatchData[[#This Row],[Persona]],Personas!$A$2:$P$5,12)</f>
        <v>3</v>
      </c>
      <c r="BW26" s="13">
        <f>VLOOKUP(MatchData[[#This Row],[Persona]],Personas!$A$2:$P$5,13)</f>
        <v>4</v>
      </c>
      <c r="BX26" s="13">
        <f>VLOOKUP(MatchData[[#This Row],[Persona]],Personas!$A$2:$P$5,14)</f>
        <v>4</v>
      </c>
      <c r="BY26" s="13">
        <f>VLOOKUP(MatchData[[#This Row],[Persona]],Personas!$A$2:$P$5,15)</f>
        <v>5</v>
      </c>
      <c r="BZ26" s="13">
        <f>VLOOKUP(MatchData[[#This Row],[Persona]],Personas!$A$2:$P$5,16)</f>
        <v>0</v>
      </c>
      <c r="CA26" s="14">
        <f ca="1">ROUND(SUMIF(MatchData[Team],MatchData[[#This Row],[Team]],MatchData[Teleop Low Goals])/COUNTIF(MatchData[Team],MatchData[[#This Row],[Team]]),2)</f>
        <v>2.67</v>
      </c>
      <c r="CB26" s="14">
        <f ca="1">ROUND(SUMIF(MatchData[Team],MatchData[[#This Row],[Team]],MatchData[Teleop High Goals])/COUNTIF(MatchData[Team],MatchData[[#This Row],[Team]]),2)</f>
        <v>2.83</v>
      </c>
      <c r="CC26" s="14">
        <f>COUNTIF(MatchData[Team],MatchData[[#This Row],[Team]])</f>
        <v>6</v>
      </c>
      <c r="CD26" s="14">
        <f>SUMIF(MatchData[Team],MatchData[[#This Row],[Team]],MatchData[Portcullis Available])</f>
        <v>3</v>
      </c>
      <c r="CE26" s="14">
        <f>SUMIF(MatchData[Team],MatchData[[#This Row],[Team]],MatchData[Cheval Available])</f>
        <v>3</v>
      </c>
      <c r="CF26" s="14">
        <f>SUMIF(MatchData[Team],MatchData[[#This Row],[Team]],MatchData[Moat Available])</f>
        <v>3</v>
      </c>
      <c r="CG26" s="14">
        <f>SUMIF(MatchData[Team],MatchData[[#This Row],[Team]],MatchData[Ramparts Available])</f>
        <v>3</v>
      </c>
      <c r="CH26" s="14">
        <f>SUMIF(MatchData[Team],MatchData[[#This Row],[Team]],MatchData[Drawbridge Available])</f>
        <v>3</v>
      </c>
      <c r="CI26" s="14">
        <f>SUMIF(MatchData[Team],MatchData[[#This Row],[Team]],MatchData[Sally Port Available])</f>
        <v>3</v>
      </c>
      <c r="CJ26" s="14">
        <f>SUMIF(MatchData[Team],MatchData[[#This Row],[Team]],MatchData[Rock Wall Available])</f>
        <v>3</v>
      </c>
      <c r="CK26" s="14">
        <f>SUMIF(MatchData[Team],MatchData[[#This Row],[Team]],MatchData[Rough Terrain Available])</f>
        <v>3</v>
      </c>
      <c r="CL26" s="14">
        <f>SUMIF(MatchData[Team],MatchData[[#This Row],[Team]],MatchData[Low Bar Available])</f>
        <v>6</v>
      </c>
      <c r="CM26" s="14">
        <f ca="1">SUMIF(MatchData[Team],MatchData[[#This Row],[Team]],MatchData[Portcullis Teleop Crossings])</f>
        <v>0</v>
      </c>
      <c r="CN26" s="14">
        <f ca="1">SUMIF(MatchData[Team],MatchData[[#This Row],[Team]],MatchData[Cheval Teleop Crossings])</f>
        <v>5</v>
      </c>
      <c r="CO26" s="14">
        <f ca="1">SUMIF(MatchData[Team],MatchData[[#This Row],[Team]],MatchData[Moat Teleop Crossings])</f>
        <v>7</v>
      </c>
      <c r="CP26" s="14">
        <f ca="1">SUMIF(MatchData[Team],MatchData[[#This Row],[Team]],MatchData[Ramparts Teleop Crossings])</f>
        <v>7</v>
      </c>
      <c r="CQ26" s="14">
        <f ca="1">SUMIF(MatchData[Team],MatchData[[#This Row],[Team]],MatchData[Drawbridge Teleop Crossings])</f>
        <v>3</v>
      </c>
      <c r="CR26" s="14">
        <f ca="1">SUMIF(MatchData[Team],MatchData[[#This Row],[Team]],MatchData[Sally Port Teleop Crossings])</f>
        <v>5</v>
      </c>
      <c r="CS26" s="14">
        <f ca="1">SUMIF(MatchData[Team],MatchData[[#This Row],[Team]],MatchData[Rock Wall Teleop Crossings])</f>
        <v>2</v>
      </c>
      <c r="CT26" s="14">
        <f ca="1">SUMIF(MatchData[Team],MatchData[[#This Row],[Team]],MatchData[Rough Terrain Teleop Crossings])</f>
        <v>7</v>
      </c>
      <c r="CU26" s="14">
        <f ca="1">SUMIF(MatchData[Team],MatchData[[#This Row],[Team]],MatchData[Low Bar Teleop Crossings])</f>
        <v>20</v>
      </c>
      <c r="CV26" s="14">
        <f ca="1">IFERROR(ROUND(MatchData[[#This Row],[Portcullis Sum]]/MatchData[[#This Row],[Portcullis Avail Count]],2),0)</f>
        <v>0</v>
      </c>
      <c r="CW26">
        <f ca="1">IFERROR(ROUND(MatchData[[#This Row],[Cheval Sum]]/MatchData[[#This Row],[Cheval Avail Count]],2),0)</f>
        <v>1.67</v>
      </c>
      <c r="CX26">
        <f ca="1">IFERROR(ROUND(MatchData[[#This Row],[Moat Sum]]/MatchData[[#This Row],[Moat Avail Count]],2),0)</f>
        <v>2.33</v>
      </c>
      <c r="CY26">
        <f ca="1">IFERROR(ROUND(MatchData[[#This Row],[Ramparts Sum]]/MatchData[[#This Row],[Ramparts Avail Count]],2),0)</f>
        <v>2.33</v>
      </c>
      <c r="CZ26">
        <f ca="1">IFERROR(ROUND(MatchData[[#This Row],[Drawbridge Sum]]/MatchData[[#This Row],[Drawbridge HAvail Countigh6]],2),0)</f>
        <v>1</v>
      </c>
      <c r="DA26">
        <f ca="1">IFERROR(ROUND(MatchData[[#This Row],[Sally Port Sum]]/MatchData[[#This Row],[Sally Port Avail Count]],2),0)</f>
        <v>1.67</v>
      </c>
      <c r="DB26">
        <f ca="1">IFERROR(ROUND(MatchData[[#This Row],[Rock Wall Sum]]/MatchData[[#This Row],[Rock Wall Avail Count]],2),0)</f>
        <v>0.67</v>
      </c>
      <c r="DC26">
        <f ca="1">IFERROR(ROUND(MatchData[[#This Row],[Rough Terrain Sum]]/MatchData[[#This Row],[Rough Terrain Avail Count]],2),0)</f>
        <v>2.33</v>
      </c>
      <c r="DD26">
        <f ca="1">IFERROR(ROUND(MatchData[[#This Row],[Low Bar Sum]]/MatchData[[#This Row],[Low Bar Avail Count]],2),0)</f>
        <v>3.33</v>
      </c>
      <c r="DE26" s="14">
        <f t="array" aca="1" ref="DE26" ca="1">MAX(IF(C$4:C$75=C26,BE$4:BE$75))</f>
        <v>8</v>
      </c>
      <c r="DF26" s="14">
        <f ca="1">AVERAGEIF(MatchData[Team],MatchData[Team],MatchData[Total Score])</f>
        <v>75.5</v>
      </c>
      <c r="DG26" s="14">
        <f ca="1">ROUND(AVERAGEIF(MatchData[Team],MatchData[Team],MatchData[Climb or Challenge Flag]),2)</f>
        <v>1</v>
      </c>
    </row>
    <row r="27" spans="1:111">
      <c r="A27" t="s">
        <v>54</v>
      </c>
      <c r="B27" s="4">
        <v>12</v>
      </c>
      <c r="C27">
        <v>1004</v>
      </c>
      <c r="D27" t="s">
        <v>55</v>
      </c>
      <c r="E27" t="s">
        <v>61</v>
      </c>
      <c r="F27">
        <f ca="1">IF(MatchData[[#This Row],[Persona]] = 4,RANDBETWEEN(0,1),0)</f>
        <v>0</v>
      </c>
      <c r="G27">
        <f ca="1">IF(MatchData[[#This Row],[Persona]] = 3,RANDBETWEEN(0,1),0)</f>
        <v>0</v>
      </c>
      <c r="H27">
        <f ca="1">RANDBETWEEN(MatchData[[#This Row],[High Goal Low]],MatchData[[#This Row],[High Goal High]])</f>
        <v>2</v>
      </c>
      <c r="I27">
        <f ca="1">RANDBETWEEN(MatchData[[#This Row],[Low Goal Low]],MatchData[[#This Row],[Low Goal High]])</f>
        <v>4</v>
      </c>
      <c r="J27" s="6"/>
      <c r="K27" s="6">
        <v>1</v>
      </c>
      <c r="L27" s="6">
        <v>1</v>
      </c>
      <c r="M27" s="6"/>
      <c r="N27" s="6"/>
      <c r="O27" s="6">
        <v>1</v>
      </c>
      <c r="P27" s="6">
        <v>1</v>
      </c>
      <c r="Q27" s="5"/>
      <c r="R27" s="5">
        <v>1</v>
      </c>
      <c r="S27" s="5">
        <f ca="1">IF(MatchData[[#This Row],[Auto Crossing Test Generator]]=0,RANDBETWEEN(0,1),0)</f>
        <v>0</v>
      </c>
      <c r="T27" s="5">
        <f ca="1">IF(MatchData[Auto Crossing Test Generator]=1,1,0)</f>
        <v>0</v>
      </c>
      <c r="U27" s="5">
        <f ca="1">IF(MatchData[[#This Row],[Auto Crossing Test Generator]]=2,RANDBETWEEN(0,1),0)</f>
        <v>0</v>
      </c>
      <c r="V27" s="5">
        <f ca="1">IF(MatchData[[#This Row],[Auto Crossing Test Generator]]=3,RANDBETWEEN(0,1),0)</f>
        <v>0</v>
      </c>
      <c r="W27" s="5">
        <f ca="1">IF(MatchData[[#This Row],[Auto Crossing Test Generator]]=4,RANDBETWEEN(0,1),0)</f>
        <v>0</v>
      </c>
      <c r="X27" s="5">
        <f ca="1">IF(MatchData[[#This Row],[Auto Crossing Test Generator]]=5,RANDBETWEEN(0,1),0)</f>
        <v>0</v>
      </c>
      <c r="Y27" s="5">
        <f ca="1">IF(MatchData[[#This Row],[Auto Crossing Test Generator]]=6,RANDBETWEEN(0,1),0)</f>
        <v>0</v>
      </c>
      <c r="Z27" s="5">
        <f ca="1">IF(MatchData[[#This Row],[Auto Crossing Test Generator]]=7,RANDBETWEEN(0,1),0)</f>
        <v>0</v>
      </c>
      <c r="AA27" s="5">
        <f ca="1">IF(MatchData[[#This Row],[Auto Crossing Test Generator]]=8,RANDBETWEEN(0,1),0)</f>
        <v>0</v>
      </c>
      <c r="AB27" s="5">
        <f ca="1">IF(MatchData[[#This Row],[Auto Crossing Test Generator]]&gt;8,RANDBETWEEN(0,1),0)</f>
        <v>0</v>
      </c>
      <c r="AC27" s="5">
        <f ca="1">IF(MatchData[[#This Row],[Auto Crossing Test Generator]]=9,RANDBETWEEN(0,1),0)</f>
        <v>0</v>
      </c>
      <c r="AD27" s="5">
        <f ca="1">IF(MatchData[[#This Row],[Cheval Available]]=1,RANDBETWEEN(0,MatchData[[#This Row],[Cheval High]]),0)</f>
        <v>3</v>
      </c>
      <c r="AE27" s="5">
        <f ca="1">IF(MatchData[[#This Row],[Moat Available]]=1,RANDBETWEEN(0,MatchData[[#This Row],[Moat High]]),0)</f>
        <v>4</v>
      </c>
      <c r="AF27" s="5">
        <f ca="1">IF(MatchData[[#This Row],[Ramparts Available]]=1,RANDBETWEEN(0,MatchData[[#This Row],[Ramparts High]]),0)</f>
        <v>0</v>
      </c>
      <c r="AG27" s="5">
        <f ca="1">IF(MatchData[[#This Row],[Drawbridge Available]]=1,RANDBETWEEN(0,MatchData[[#This Row],[Drawbridge High]]),0)</f>
        <v>0</v>
      </c>
      <c r="AH27" s="5">
        <f ca="1">IF(MatchData[[#This Row],[Sally Port Available]]=1,RANDBETWEEN(0,MatchData[[#This Row],[Sally Port High]]),0)</f>
        <v>3</v>
      </c>
      <c r="AI27" s="5">
        <f ca="1">IF(MatchData[[#This Row],[Rock Wall Available]]=1,RANDBETWEEN(0,MatchData[[#This Row],[Rock Wall High]]),0)</f>
        <v>2</v>
      </c>
      <c r="AJ27" s="5">
        <f ca="1">IF(MatchData[[#This Row],[Rough Terrain Available]]=1,RANDBETWEEN(0,MatchData[[#This Row],[Rough Terrain High]]),0)</f>
        <v>0</v>
      </c>
      <c r="AK27" s="5">
        <f ca="1">IF(MatchData[[#This Row],[Low Bar Available]]=1,RANDBETWEEN(0,MatchData[[#This Row],[Low Bar High]]),0)</f>
        <v>2</v>
      </c>
      <c r="AL27" s="5">
        <f ca="1">IF(MatchData[Cheval Teleop Crossings]&gt;3,10, MatchData[Cheval Teleop Crossings]*5)</f>
        <v>15</v>
      </c>
      <c r="AM27" s="5">
        <f ca="1">IF(MatchData[Moat Teleop Crossings]&gt;3,10, MatchData[Moat Teleop Crossings]*5)</f>
        <v>10</v>
      </c>
      <c r="AN27" s="5">
        <f ca="1">IF(MatchData[Ramparts Teleop Crossings]&gt;3,10, MatchData[Ramparts Teleop Crossings]*5)</f>
        <v>0</v>
      </c>
      <c r="AO27" s="5">
        <f ca="1">IF(MatchData[Drawbridge Teleop Crossings]&gt;3,10, MatchData[Drawbridge Teleop Crossings]*5)</f>
        <v>0</v>
      </c>
      <c r="AP27" s="5">
        <f ca="1">IF(MatchData[Sally Port Teleop Crossings]&gt;3,10, MatchData[Sally Port Teleop Crossings]*5)</f>
        <v>15</v>
      </c>
      <c r="AQ27" s="5">
        <f ca="1">IF(MatchData[Rock Wall Teleop Crossings]&gt;3,10, MatchData[Rock Wall Teleop Crossings]*5)</f>
        <v>10</v>
      </c>
      <c r="AR27" s="5">
        <f ca="1">IF(MatchData[Rough Terrain Teleop Crossings]&gt;3,10, MatchData[Rough Terrain Teleop Crossings]*5)</f>
        <v>0</v>
      </c>
      <c r="AS27" s="5">
        <f ca="1">IF(MatchData[Low Bar Teleop Crossings]&gt;3,10, MatchData[Low Bar Teleop Crossings]*5)</f>
        <v>10</v>
      </c>
      <c r="AT27" s="5">
        <f ca="1">SUM(MatchData[[#This Row],[Portcullis Teleop Crossings]:[Low Bar Teleop Crossings]])</f>
        <v>14</v>
      </c>
      <c r="AU27" s="5">
        <f ca="1">IF(RANDBETWEEN(1,4)&gt;1,1,0)</f>
        <v>1</v>
      </c>
      <c r="AV27" s="5">
        <f ca="1">IF(MatchData[[#This Row],[Challenge Flag]]=1,0,IF(MatchData[[#This Row],[Climber]]=1,RANDBETWEEN(0,1),0))</f>
        <v>0</v>
      </c>
      <c r="AW27" s="5">
        <f ca="1">IF(MatchData[[#This Row],[Crossing Score]]&gt;=40,1,0)</f>
        <v>1</v>
      </c>
      <c r="AX27" s="5"/>
      <c r="AY27" s="5">
        <f ca="1">IF(RANDBETWEEN(1,100)&gt;95,1,0)</f>
        <v>0</v>
      </c>
      <c r="AZ27" s="5">
        <f ca="1">IF(RANDBETWEEN(1,100)&gt;80,1,0)</f>
        <v>0</v>
      </c>
      <c r="BA27" s="5">
        <f ca="1">IF(OR(MatchData[[#This Row],[Challenge Flag]],MatchData[[#This Row],[Climb Flag]]),1,0)</f>
        <v>1</v>
      </c>
      <c r="BB27" s="5">
        <f ca="1">MatchData[Auto High Goals]*10+MatchData[Teleop High Goals]*5</f>
        <v>10</v>
      </c>
      <c r="BC27" s="5">
        <f ca="1">MatchData[Auto Low Goals]*5+MatchData[Teleop Low Goals]*2</f>
        <v>8</v>
      </c>
      <c r="BD27" s="5">
        <f ca="1">MatchData[High Goal Score]+MatchData[Low Goal Score]</f>
        <v>18</v>
      </c>
      <c r="BE27" s="5">
        <f ca="1">MatchData[Teleop High Goals]+MatchData[Teleop Low Goals]</f>
        <v>6</v>
      </c>
      <c r="BF27" s="5">
        <f ca="1">MatchData[[#This Row],[Auto Reach Flag]]*2+SUM(MatchData[[#This Row],[Portcullis Auto Crossings]:[Low Bar Auto Crossings]])*10+MatchData[[#This Row],[Auto Low Goals]]*5+MatchData[Auto High Goals]*10</f>
        <v>0</v>
      </c>
      <c r="BG27" s="5">
        <f ca="1">SUM(MatchData[[#This Row],[Cheval Scored Teleop Crossings]:[Low Bar Scored Teleop Crossings]])</f>
        <v>60</v>
      </c>
      <c r="BH27" s="5">
        <f ca="1">MatchData[Challenge Flag]*5</f>
        <v>5</v>
      </c>
      <c r="BI27" s="5">
        <f ca="1">MatchData[Climb Flag]*15</f>
        <v>0</v>
      </c>
      <c r="BJ27" s="5">
        <f ca="1">SUM(MatchData[[#This Row],[Total Goal Score]],MatchData[[#This Row],[Crossing Score]],MatchData[[#This Row],[Challenge Score]],MatchData[[#This Row],[Climb Score]],MatchData[[#This Row],[Total Auto Score]])</f>
        <v>83</v>
      </c>
      <c r="BK27">
        <v>4</v>
      </c>
      <c r="BL27" s="5">
        <f ca="1">IF(RANDBETWEEN(0,10)&gt;=9,RANDBETWEEN(1,9),0)</f>
        <v>0</v>
      </c>
      <c r="BM27" s="5">
        <f>VLOOKUP(MatchData[[#This Row],[Persona]],Personas!$A$2:$O$5,3)</f>
        <v>1</v>
      </c>
      <c r="BN27" s="13">
        <f>VLOOKUP(MatchData[[#This Row],[Persona]],Personas!$A$2:$P$5,4)</f>
        <v>4</v>
      </c>
      <c r="BO27" s="13">
        <f>VLOOKUP(MatchData[[#This Row],[Persona]],Personas!$A$2:$P$5,5)</f>
        <v>1</v>
      </c>
      <c r="BP27" s="13">
        <f>VLOOKUP(MatchData[[#This Row],[Persona]],Personas!$A$2:$P$5,6)</f>
        <v>4</v>
      </c>
      <c r="BQ27" s="13">
        <f>VLOOKUP(MatchData[[#This Row],[Persona]],Personas!$A$2:$P$5,7)</f>
        <v>3</v>
      </c>
      <c r="BR27" s="13">
        <f>VLOOKUP(MatchData[[#This Row],[Persona]],Personas!$A$2:$P$5,8)</f>
        <v>3</v>
      </c>
      <c r="BS27" s="13">
        <f>VLOOKUP(MatchData[[#This Row],[Persona]],Personas!$A$2:$P$5,9)</f>
        <v>4</v>
      </c>
      <c r="BT27" s="13">
        <f>VLOOKUP(MatchData[[#This Row],[Persona]],Personas!$A$2:$P$5,10)</f>
        <v>4</v>
      </c>
      <c r="BU27" s="13">
        <f>VLOOKUP(MatchData[[#This Row],[Persona]],Personas!$A$2:$P$5,11)</f>
        <v>3</v>
      </c>
      <c r="BV27" s="13">
        <f>VLOOKUP(MatchData[[#This Row],[Persona]],Personas!$A$2:$P$5,12)</f>
        <v>3</v>
      </c>
      <c r="BW27" s="13">
        <f>VLOOKUP(MatchData[[#This Row],[Persona]],Personas!$A$2:$P$5,13)</f>
        <v>4</v>
      </c>
      <c r="BX27" s="13">
        <f>VLOOKUP(MatchData[[#This Row],[Persona]],Personas!$A$2:$P$5,14)</f>
        <v>4</v>
      </c>
      <c r="BY27" s="13">
        <f>VLOOKUP(MatchData[[#This Row],[Persona]],Personas!$A$2:$P$5,15)</f>
        <v>5</v>
      </c>
      <c r="BZ27" s="13">
        <f>VLOOKUP(MatchData[[#This Row],[Persona]],Personas!$A$2:$P$5,16)</f>
        <v>0</v>
      </c>
      <c r="CA27" s="14">
        <f ca="1">ROUND(SUMIF(MatchData[Team],MatchData[[#This Row],[Team]],MatchData[Teleop Low Goals])/COUNTIF(MatchData[Team],MatchData[[#This Row],[Team]]),2)</f>
        <v>2.67</v>
      </c>
      <c r="CB27" s="14">
        <f ca="1">ROUND(SUMIF(MatchData[Team],MatchData[[#This Row],[Team]],MatchData[Teleop High Goals])/COUNTIF(MatchData[Team],MatchData[[#This Row],[Team]]),2)</f>
        <v>2.83</v>
      </c>
      <c r="CC27" s="14">
        <f>COUNTIF(MatchData[Team],MatchData[[#This Row],[Team]])</f>
        <v>6</v>
      </c>
      <c r="CD27" s="14">
        <f>SUMIF(MatchData[Team],MatchData[[#This Row],[Team]],MatchData[Portcullis Available])</f>
        <v>3</v>
      </c>
      <c r="CE27" s="14">
        <f>SUMIF(MatchData[Team],MatchData[[#This Row],[Team]],MatchData[Cheval Available])</f>
        <v>3</v>
      </c>
      <c r="CF27" s="14">
        <f>SUMIF(MatchData[Team],MatchData[[#This Row],[Team]],MatchData[Moat Available])</f>
        <v>3</v>
      </c>
      <c r="CG27" s="14">
        <f>SUMIF(MatchData[Team],MatchData[[#This Row],[Team]],MatchData[Ramparts Available])</f>
        <v>3</v>
      </c>
      <c r="CH27" s="14">
        <f>SUMIF(MatchData[Team],MatchData[[#This Row],[Team]],MatchData[Drawbridge Available])</f>
        <v>3</v>
      </c>
      <c r="CI27" s="14">
        <f>SUMIF(MatchData[Team],MatchData[[#This Row],[Team]],MatchData[Sally Port Available])</f>
        <v>3</v>
      </c>
      <c r="CJ27" s="14">
        <f>SUMIF(MatchData[Team],MatchData[[#This Row],[Team]],MatchData[Rock Wall Available])</f>
        <v>3</v>
      </c>
      <c r="CK27" s="14">
        <f>SUMIF(MatchData[Team],MatchData[[#This Row],[Team]],MatchData[Rough Terrain Available])</f>
        <v>3</v>
      </c>
      <c r="CL27" s="14">
        <f>SUMIF(MatchData[Team],MatchData[[#This Row],[Team]],MatchData[Low Bar Available])</f>
        <v>6</v>
      </c>
      <c r="CM27" s="14">
        <f ca="1">SUMIF(MatchData[Team],MatchData[[#This Row],[Team]],MatchData[Portcullis Teleop Crossings])</f>
        <v>0</v>
      </c>
      <c r="CN27" s="14">
        <f ca="1">SUMIF(MatchData[Team],MatchData[[#This Row],[Team]],MatchData[Cheval Teleop Crossings])</f>
        <v>5</v>
      </c>
      <c r="CO27" s="14">
        <f ca="1">SUMIF(MatchData[Team],MatchData[[#This Row],[Team]],MatchData[Moat Teleop Crossings])</f>
        <v>7</v>
      </c>
      <c r="CP27" s="14">
        <f ca="1">SUMIF(MatchData[Team],MatchData[[#This Row],[Team]],MatchData[Ramparts Teleop Crossings])</f>
        <v>7</v>
      </c>
      <c r="CQ27" s="14">
        <f ca="1">SUMIF(MatchData[Team],MatchData[[#This Row],[Team]],MatchData[Drawbridge Teleop Crossings])</f>
        <v>3</v>
      </c>
      <c r="CR27" s="14">
        <f ca="1">SUMIF(MatchData[Team],MatchData[[#This Row],[Team]],MatchData[Sally Port Teleop Crossings])</f>
        <v>5</v>
      </c>
      <c r="CS27" s="14">
        <f ca="1">SUMIF(MatchData[Team],MatchData[[#This Row],[Team]],MatchData[Rock Wall Teleop Crossings])</f>
        <v>2</v>
      </c>
      <c r="CT27" s="14">
        <f ca="1">SUMIF(MatchData[Team],MatchData[[#This Row],[Team]],MatchData[Rough Terrain Teleop Crossings])</f>
        <v>7</v>
      </c>
      <c r="CU27" s="14">
        <f ca="1">SUMIF(MatchData[Team],MatchData[[#This Row],[Team]],MatchData[Low Bar Teleop Crossings])</f>
        <v>20</v>
      </c>
      <c r="CV27" s="14">
        <f ca="1">IFERROR(ROUND(MatchData[[#This Row],[Portcullis Sum]]/MatchData[[#This Row],[Portcullis Avail Count]],2),0)</f>
        <v>0</v>
      </c>
      <c r="CW27">
        <f ca="1">IFERROR(ROUND(MatchData[[#This Row],[Cheval Sum]]/MatchData[[#This Row],[Cheval Avail Count]],2),0)</f>
        <v>1.67</v>
      </c>
      <c r="CX27">
        <f ca="1">IFERROR(ROUND(MatchData[[#This Row],[Moat Sum]]/MatchData[[#This Row],[Moat Avail Count]],2),0)</f>
        <v>2.33</v>
      </c>
      <c r="CY27">
        <f ca="1">IFERROR(ROUND(MatchData[[#This Row],[Ramparts Sum]]/MatchData[[#This Row],[Ramparts Avail Count]],2),0)</f>
        <v>2.33</v>
      </c>
      <c r="CZ27">
        <f ca="1">IFERROR(ROUND(MatchData[[#This Row],[Drawbridge Sum]]/MatchData[[#This Row],[Drawbridge HAvail Countigh6]],2),0)</f>
        <v>1</v>
      </c>
      <c r="DA27">
        <f ca="1">IFERROR(ROUND(MatchData[[#This Row],[Sally Port Sum]]/MatchData[[#This Row],[Sally Port Avail Count]],2),0)</f>
        <v>1.67</v>
      </c>
      <c r="DB27">
        <f ca="1">IFERROR(ROUND(MatchData[[#This Row],[Rock Wall Sum]]/MatchData[[#This Row],[Rock Wall Avail Count]],2),0)</f>
        <v>0.67</v>
      </c>
      <c r="DC27">
        <f ca="1">IFERROR(ROUND(MatchData[[#This Row],[Rough Terrain Sum]]/MatchData[[#This Row],[Rough Terrain Avail Count]],2),0)</f>
        <v>2.33</v>
      </c>
      <c r="DD27">
        <f ca="1">IFERROR(ROUND(MatchData[[#This Row],[Low Bar Sum]]/MatchData[[#This Row],[Low Bar Avail Count]],2),0)</f>
        <v>3.33</v>
      </c>
      <c r="DE27" s="14">
        <f t="array" aca="1" ref="DE27" ca="1">MAX(IF(C$4:C$75=C27,BE$4:BE$75))</f>
        <v>8</v>
      </c>
      <c r="DF27" s="14">
        <f ca="1">AVERAGEIF(MatchData[Team],MatchData[Team],MatchData[Total Score])</f>
        <v>75.5</v>
      </c>
      <c r="DG27" s="14">
        <f ca="1">ROUND(AVERAGEIF(MatchData[Team],MatchData[Team],MatchData[Climb or Challenge Flag]),2)</f>
        <v>1</v>
      </c>
    </row>
    <row r="28" spans="1:111">
      <c r="A28" t="s">
        <v>54</v>
      </c>
      <c r="B28" s="4">
        <v>1</v>
      </c>
      <c r="C28">
        <v>1005</v>
      </c>
      <c r="D28" t="s">
        <v>56</v>
      </c>
      <c r="E28" t="s">
        <v>61</v>
      </c>
      <c r="F28">
        <f ca="1">IF(MatchData[[#This Row],[Persona]] = 4,RANDBETWEEN(0,1),0)</f>
        <v>0</v>
      </c>
      <c r="G28">
        <f ca="1">IF(MatchData[[#This Row],[Persona]] = 3,RANDBETWEEN(0,1),0)</f>
        <v>0</v>
      </c>
      <c r="H28">
        <f ca="1">RANDBETWEEN(MatchData[[#This Row],[High Goal Low]],MatchData[[#This Row],[High Goal High]])</f>
        <v>0</v>
      </c>
      <c r="I28">
        <f ca="1">RANDBETWEEN(MatchData[[#This Row],[Low Goal Low]],MatchData[[#This Row],[Low Goal High]])</f>
        <v>0</v>
      </c>
      <c r="J28" s="6">
        <v>1</v>
      </c>
      <c r="K28" s="6"/>
      <c r="L28" s="6"/>
      <c r="M28" s="6">
        <v>1</v>
      </c>
      <c r="N28" s="6">
        <v>1</v>
      </c>
      <c r="O28" s="6"/>
      <c r="P28" s="6"/>
      <c r="Q28" s="5">
        <v>1</v>
      </c>
      <c r="R28" s="5">
        <v>1</v>
      </c>
      <c r="S28" s="5">
        <f ca="1">IF(MatchData[[#This Row],[Auto Crossing Test Generator]]=0,RANDBETWEEN(0,1),0)</f>
        <v>1</v>
      </c>
      <c r="T28" s="5">
        <f ca="1">IF(MatchData[Auto Crossing Test Generator]=1,1,0)</f>
        <v>0</v>
      </c>
      <c r="U28" s="5">
        <f ca="1">IF(MatchData[[#This Row],[Auto Crossing Test Generator]]=2,RANDBETWEEN(0,1),0)</f>
        <v>0</v>
      </c>
      <c r="V28" s="5">
        <f ca="1">IF(MatchData[[#This Row],[Auto Crossing Test Generator]]=3,RANDBETWEEN(0,1),0)</f>
        <v>0</v>
      </c>
      <c r="W28" s="5">
        <f ca="1">IF(MatchData[[#This Row],[Auto Crossing Test Generator]]=4,RANDBETWEEN(0,1),0)</f>
        <v>0</v>
      </c>
      <c r="X28" s="5">
        <f ca="1">IF(MatchData[[#This Row],[Auto Crossing Test Generator]]=5,RANDBETWEEN(0,1),0)</f>
        <v>0</v>
      </c>
      <c r="Y28" s="5">
        <f ca="1">IF(MatchData[[#This Row],[Auto Crossing Test Generator]]=6,RANDBETWEEN(0,1),0)</f>
        <v>0</v>
      </c>
      <c r="Z28" s="5">
        <f ca="1">IF(MatchData[[#This Row],[Auto Crossing Test Generator]]=7,RANDBETWEEN(0,1),0)</f>
        <v>0</v>
      </c>
      <c r="AA28" s="5">
        <f ca="1">IF(MatchData[[#This Row],[Auto Crossing Test Generator]]=8,RANDBETWEEN(0,1),0)</f>
        <v>0</v>
      </c>
      <c r="AB28" s="5">
        <f ca="1">IF(MatchData[[#This Row],[Auto Crossing Test Generator]]&gt;8,RANDBETWEEN(0,1),0)</f>
        <v>0</v>
      </c>
      <c r="AC28" s="5">
        <f ca="1">IF(MatchData[[#This Row],[Auto Crossing Test Generator]]=9,RANDBETWEEN(0,1),0)</f>
        <v>0</v>
      </c>
      <c r="AD28" s="5">
        <f ca="1">IF(MatchData[[#This Row],[Cheval Available]]=1,RANDBETWEEN(0,MatchData[[#This Row],[Cheval High]]),0)</f>
        <v>0</v>
      </c>
      <c r="AE28" s="5">
        <f ca="1">IF(MatchData[[#This Row],[Moat Available]]=1,RANDBETWEEN(0,MatchData[[#This Row],[Moat High]]),0)</f>
        <v>0</v>
      </c>
      <c r="AF28" s="5">
        <f ca="1">IF(MatchData[[#This Row],[Ramparts Available]]=1,RANDBETWEEN(0,MatchData[[#This Row],[Ramparts High]]),0)</f>
        <v>0</v>
      </c>
      <c r="AG28" s="5">
        <f ca="1">IF(MatchData[[#This Row],[Drawbridge Available]]=1,RANDBETWEEN(0,MatchData[[#This Row],[Drawbridge High]]),0)</f>
        <v>0</v>
      </c>
      <c r="AH28" s="5">
        <f ca="1">IF(MatchData[[#This Row],[Sally Port Available]]=1,RANDBETWEEN(0,MatchData[[#This Row],[Sally Port High]]),0)</f>
        <v>0</v>
      </c>
      <c r="AI28" s="5">
        <f ca="1">IF(MatchData[[#This Row],[Rock Wall Available]]=1,RANDBETWEEN(0,MatchData[[#This Row],[Rock Wall High]]),0)</f>
        <v>0</v>
      </c>
      <c r="AJ28" s="5">
        <f ca="1">IF(MatchData[[#This Row],[Rough Terrain Available]]=1,RANDBETWEEN(0,MatchData[[#This Row],[Rough Terrain High]]),0)</f>
        <v>2</v>
      </c>
      <c r="AK28" s="5">
        <f ca="1">IF(MatchData[[#This Row],[Low Bar Available]]=1,RANDBETWEEN(0,MatchData[[#This Row],[Low Bar High]]),0)</f>
        <v>0</v>
      </c>
      <c r="AL28" s="5">
        <f ca="1">IF(MatchData[Cheval Teleop Crossings]&gt;3,10, MatchData[Cheval Teleop Crossings]*5)</f>
        <v>0</v>
      </c>
      <c r="AM28" s="5">
        <f ca="1">IF(MatchData[Moat Teleop Crossings]&gt;3,10, MatchData[Moat Teleop Crossings]*5)</f>
        <v>0</v>
      </c>
      <c r="AN28" s="5">
        <f ca="1">IF(MatchData[Ramparts Teleop Crossings]&gt;3,10, MatchData[Ramparts Teleop Crossings]*5)</f>
        <v>0</v>
      </c>
      <c r="AO28" s="5">
        <f ca="1">IF(MatchData[Drawbridge Teleop Crossings]&gt;3,10, MatchData[Drawbridge Teleop Crossings]*5)</f>
        <v>0</v>
      </c>
      <c r="AP28" s="5">
        <f ca="1">IF(MatchData[Sally Port Teleop Crossings]&gt;3,10, MatchData[Sally Port Teleop Crossings]*5)</f>
        <v>0</v>
      </c>
      <c r="AQ28" s="5">
        <f ca="1">IF(MatchData[Rock Wall Teleop Crossings]&gt;3,10, MatchData[Rock Wall Teleop Crossings]*5)</f>
        <v>0</v>
      </c>
      <c r="AR28" s="5">
        <f ca="1">IF(MatchData[Rough Terrain Teleop Crossings]&gt;3,10, MatchData[Rough Terrain Teleop Crossings]*5)</f>
        <v>10</v>
      </c>
      <c r="AS28" s="5">
        <f ca="1">IF(MatchData[Low Bar Teleop Crossings]&gt;3,10, MatchData[Low Bar Teleop Crossings]*5)</f>
        <v>0</v>
      </c>
      <c r="AT28" s="5">
        <f ca="1">SUM(MatchData[[#This Row],[Portcullis Teleop Crossings]:[Low Bar Teleop Crossings]])</f>
        <v>2</v>
      </c>
      <c r="AU28" s="5">
        <f ca="1">IF(RANDBETWEEN(1,4)&gt;1,1,0)</f>
        <v>0</v>
      </c>
      <c r="AV28" s="5">
        <f ca="1">IF(MatchData[[#This Row],[Challenge Flag]]=1,0,IF(MatchData[[#This Row],[Climber]]=1,RANDBETWEEN(0,1),0))</f>
        <v>0</v>
      </c>
      <c r="AW28" s="5">
        <f ca="1">IF(MatchData[[#This Row],[Crossing Score]]&gt;=40,1,0)</f>
        <v>0</v>
      </c>
      <c r="AX28" s="5"/>
      <c r="AY28" s="5">
        <f ca="1">IF(RANDBETWEEN(1,100)&gt;95,1,0)</f>
        <v>0</v>
      </c>
      <c r="AZ28" s="5">
        <f ca="1">IF(RANDBETWEEN(1,100)&gt;80,1,0)</f>
        <v>0</v>
      </c>
      <c r="BA28" s="5">
        <f ca="1">IF(OR(MatchData[[#This Row],[Challenge Flag]],MatchData[[#This Row],[Climb Flag]]),1,0)</f>
        <v>0</v>
      </c>
      <c r="BB28" s="5">
        <f ca="1">MatchData[Auto High Goals]*10+MatchData[Teleop High Goals]*5</f>
        <v>0</v>
      </c>
      <c r="BC28" s="5">
        <f ca="1">MatchData[Auto Low Goals]*5+MatchData[Teleop Low Goals]*2</f>
        <v>0</v>
      </c>
      <c r="BD28" s="5">
        <f ca="1">MatchData[High Goal Score]+MatchData[Low Goal Score]</f>
        <v>0</v>
      </c>
      <c r="BE28" s="5">
        <f ca="1">MatchData[Teleop High Goals]+MatchData[Teleop Low Goals]</f>
        <v>0</v>
      </c>
      <c r="BF28" s="5">
        <f ca="1">MatchData[[#This Row],[Auto Reach Flag]]*2+SUM(MatchData[[#This Row],[Portcullis Auto Crossings]:[Low Bar Auto Crossings]])*10+MatchData[[#This Row],[Auto Low Goals]]*5+MatchData[Auto High Goals]*10</f>
        <v>2</v>
      </c>
      <c r="BG28" s="5">
        <f ca="1">SUM(MatchData[[#This Row],[Cheval Scored Teleop Crossings]:[Low Bar Scored Teleop Crossings]])</f>
        <v>10</v>
      </c>
      <c r="BH28" s="5">
        <f ca="1">MatchData[Challenge Flag]*5</f>
        <v>0</v>
      </c>
      <c r="BI28" s="5">
        <f ca="1">MatchData[Climb Flag]*15</f>
        <v>0</v>
      </c>
      <c r="BJ28" s="5">
        <f ca="1">SUM(MatchData[[#This Row],[Total Goal Score]],MatchData[[#This Row],[Crossing Score]],MatchData[[#This Row],[Challenge Score]],MatchData[[#This Row],[Climb Score]],MatchData[[#This Row],[Total Auto Score]])</f>
        <v>12</v>
      </c>
      <c r="BK28" s="12">
        <v>1</v>
      </c>
      <c r="BL28" s="5">
        <f ca="1">IF(RANDBETWEEN(0,10)&gt;=9,RANDBETWEEN(1,9),0)</f>
        <v>0</v>
      </c>
      <c r="BM28" s="5">
        <f>VLOOKUP(MatchData[[#This Row],[Persona]],Personas!$A$2:$O$5,3)</f>
        <v>0</v>
      </c>
      <c r="BN28" s="13">
        <f>VLOOKUP(MatchData[[#This Row],[Persona]],Personas!$A$2:$P$5,4)</f>
        <v>0</v>
      </c>
      <c r="BO28" s="13">
        <f>VLOOKUP(MatchData[[#This Row],[Persona]],Personas!$A$2:$P$5,5)</f>
        <v>0</v>
      </c>
      <c r="BP28" s="13">
        <f>VLOOKUP(MatchData[[#This Row],[Persona]],Personas!$A$2:$P$5,6)</f>
        <v>0</v>
      </c>
      <c r="BQ28" s="13">
        <f>VLOOKUP(MatchData[[#This Row],[Persona]],Personas!$A$2:$P$5,7)</f>
        <v>0</v>
      </c>
      <c r="BR28" s="13">
        <f>VLOOKUP(MatchData[[#This Row],[Persona]],Personas!$A$2:$P$5,8)</f>
        <v>0</v>
      </c>
      <c r="BS28" s="13">
        <f>VLOOKUP(MatchData[[#This Row],[Persona]],Personas!$A$2:$P$5,9)</f>
        <v>2</v>
      </c>
      <c r="BT28" s="13">
        <f>VLOOKUP(MatchData[[#This Row],[Persona]],Personas!$A$2:$P$5,10)</f>
        <v>2</v>
      </c>
      <c r="BU28" s="13">
        <f>VLOOKUP(MatchData[[#This Row],[Persona]],Personas!$A$2:$P$5,11)</f>
        <v>0</v>
      </c>
      <c r="BV28" s="13">
        <f>VLOOKUP(MatchData[[#This Row],[Persona]],Personas!$A$2:$P$5,12)</f>
        <v>0</v>
      </c>
      <c r="BW28" s="13">
        <f>VLOOKUP(MatchData[[#This Row],[Persona]],Personas!$A$2:$P$5,13)</f>
        <v>2</v>
      </c>
      <c r="BX28" s="13">
        <f>VLOOKUP(MatchData[[#This Row],[Persona]],Personas!$A$2:$P$5,14)</f>
        <v>2</v>
      </c>
      <c r="BY28" s="13">
        <f>VLOOKUP(MatchData[[#This Row],[Persona]],Personas!$A$2:$P$5,15)</f>
        <v>2</v>
      </c>
      <c r="BZ28" s="13">
        <f>VLOOKUP(MatchData[[#This Row],[Persona]],Personas!$A$2:$P$5,16)</f>
        <v>0</v>
      </c>
      <c r="CA28" s="14">
        <f ca="1">ROUND(SUMIF(MatchData[Team],MatchData[[#This Row],[Team]],MatchData[Teleop Low Goals])/COUNTIF(MatchData[Team],MatchData[[#This Row],[Team]]),2)</f>
        <v>0</v>
      </c>
      <c r="CB28" s="14">
        <f ca="1">ROUND(SUMIF(MatchData[Team],MatchData[[#This Row],[Team]],MatchData[Teleop High Goals])/COUNTIF(MatchData[Team],MatchData[[#This Row],[Team]]),2)</f>
        <v>0</v>
      </c>
      <c r="CC28" s="14">
        <f>COUNTIF(MatchData[Team],MatchData[[#This Row],[Team]])</f>
        <v>6</v>
      </c>
      <c r="CD28" s="14">
        <f>SUMIF(MatchData[Team],MatchData[[#This Row],[Team]],MatchData[Portcullis Available])</f>
        <v>2</v>
      </c>
      <c r="CE28" s="14">
        <f>SUMIF(MatchData[Team],MatchData[[#This Row],[Team]],MatchData[Cheval Available])</f>
        <v>4</v>
      </c>
      <c r="CF28" s="14">
        <f>SUMIF(MatchData[Team],MatchData[[#This Row],[Team]],MatchData[Moat Available])</f>
        <v>4</v>
      </c>
      <c r="CG28" s="14">
        <f>SUMIF(MatchData[Team],MatchData[[#This Row],[Team]],MatchData[Ramparts Available])</f>
        <v>2</v>
      </c>
      <c r="CH28" s="14">
        <f>SUMIF(MatchData[Team],MatchData[[#This Row],[Team]],MatchData[Drawbridge Available])</f>
        <v>3</v>
      </c>
      <c r="CI28" s="14">
        <f>SUMIF(MatchData[Team],MatchData[[#This Row],[Team]],MatchData[Sally Port Available])</f>
        <v>3</v>
      </c>
      <c r="CJ28" s="14">
        <f>SUMIF(MatchData[Team],MatchData[[#This Row],[Team]],MatchData[Rock Wall Available])</f>
        <v>3</v>
      </c>
      <c r="CK28" s="14">
        <f>SUMIF(MatchData[Team],MatchData[[#This Row],[Team]],MatchData[Rough Terrain Available])</f>
        <v>3</v>
      </c>
      <c r="CL28" s="14">
        <f>SUMIF(MatchData[Team],MatchData[[#This Row],[Team]],MatchData[Low Bar Available])</f>
        <v>6</v>
      </c>
      <c r="CM28" s="14">
        <f ca="1">SUMIF(MatchData[Team],MatchData[[#This Row],[Team]],MatchData[Portcullis Teleop Crossings])</f>
        <v>0</v>
      </c>
      <c r="CN28" s="14">
        <f ca="1">SUMIF(MatchData[Team],MatchData[[#This Row],[Team]],MatchData[Cheval Teleop Crossings])</f>
        <v>0</v>
      </c>
      <c r="CO28" s="14">
        <f ca="1">SUMIF(MatchData[Team],MatchData[[#This Row],[Team]],MatchData[Moat Teleop Crossings])</f>
        <v>1</v>
      </c>
      <c r="CP28" s="14">
        <f ca="1">SUMIF(MatchData[Team],MatchData[[#This Row],[Team]],MatchData[Ramparts Teleop Crossings])</f>
        <v>1</v>
      </c>
      <c r="CQ28" s="14">
        <f ca="1">SUMIF(MatchData[Team],MatchData[[#This Row],[Team]],MatchData[Drawbridge Teleop Crossings])</f>
        <v>0</v>
      </c>
      <c r="CR28" s="14">
        <f ca="1">SUMIF(MatchData[Team],MatchData[[#This Row],[Team]],MatchData[Sally Port Teleop Crossings])</f>
        <v>0</v>
      </c>
      <c r="CS28" s="14">
        <f ca="1">SUMIF(MatchData[Team],MatchData[[#This Row],[Team]],MatchData[Rock Wall Teleop Crossings])</f>
        <v>4</v>
      </c>
      <c r="CT28" s="14">
        <f ca="1">SUMIF(MatchData[Team],MatchData[[#This Row],[Team]],MatchData[Rough Terrain Teleop Crossings])</f>
        <v>5</v>
      </c>
      <c r="CU28" s="14">
        <f ca="1">SUMIF(MatchData[Team],MatchData[[#This Row],[Team]],MatchData[Low Bar Teleop Crossings])</f>
        <v>6</v>
      </c>
      <c r="CV28" s="14">
        <f ca="1">IFERROR(ROUND(MatchData[[#This Row],[Portcullis Sum]]/MatchData[[#This Row],[Portcullis Avail Count]],2),0)</f>
        <v>0</v>
      </c>
      <c r="CW28">
        <f ca="1">IFERROR(ROUND(MatchData[[#This Row],[Cheval Sum]]/MatchData[[#This Row],[Cheval Avail Count]],2),0)</f>
        <v>0</v>
      </c>
      <c r="CX28">
        <f ca="1">IFERROR(ROUND(MatchData[[#This Row],[Moat Sum]]/MatchData[[#This Row],[Moat Avail Count]],2),0)</f>
        <v>0.25</v>
      </c>
      <c r="CY28">
        <f ca="1">IFERROR(ROUND(MatchData[[#This Row],[Ramparts Sum]]/MatchData[[#This Row],[Ramparts Avail Count]],2),0)</f>
        <v>0.5</v>
      </c>
      <c r="CZ28">
        <f ca="1">IFERROR(ROUND(MatchData[[#This Row],[Drawbridge Sum]]/MatchData[[#This Row],[Drawbridge HAvail Countigh6]],2),0)</f>
        <v>0</v>
      </c>
      <c r="DA28">
        <f ca="1">IFERROR(ROUND(MatchData[[#This Row],[Sally Port Sum]]/MatchData[[#This Row],[Sally Port Avail Count]],2),0)</f>
        <v>0</v>
      </c>
      <c r="DB28">
        <f ca="1">IFERROR(ROUND(MatchData[[#This Row],[Rock Wall Sum]]/MatchData[[#This Row],[Rock Wall Avail Count]],2),0)</f>
        <v>1.33</v>
      </c>
      <c r="DC28">
        <f ca="1">IFERROR(ROUND(MatchData[[#This Row],[Rough Terrain Sum]]/MatchData[[#This Row],[Rough Terrain Avail Count]],2),0)</f>
        <v>1.67</v>
      </c>
      <c r="DD28">
        <f ca="1">IFERROR(ROUND(MatchData[[#This Row],[Low Bar Sum]]/MatchData[[#This Row],[Low Bar Avail Count]],2),0)</f>
        <v>1</v>
      </c>
      <c r="DE28" s="14">
        <f t="array" aca="1" ref="DE28" ca="1">MAX(IF(C$4:C$75=C28,BE$4:BE$75))</f>
        <v>0</v>
      </c>
      <c r="DF28" s="14">
        <f ca="1">AVERAGEIF(MatchData[Team],MatchData[Team],MatchData[Total Score])</f>
        <v>19.666666666666668</v>
      </c>
      <c r="DG28" s="14">
        <f ca="1">ROUND(AVERAGEIF(MatchData[Team],MatchData[Team],MatchData[Climb or Challenge Flag]),2)</f>
        <v>0.5</v>
      </c>
    </row>
    <row r="29" spans="1:111">
      <c r="A29" t="s">
        <v>54</v>
      </c>
      <c r="B29" s="4">
        <v>3</v>
      </c>
      <c r="C29">
        <v>1005</v>
      </c>
      <c r="D29" t="s">
        <v>56</v>
      </c>
      <c r="E29" t="s">
        <v>58</v>
      </c>
      <c r="F29">
        <f ca="1">IF(MatchData[[#This Row],[Persona]] = 4,RANDBETWEEN(0,1),0)</f>
        <v>0</v>
      </c>
      <c r="G29">
        <f ca="1">IF(MatchData[[#This Row],[Persona]] = 3,RANDBETWEEN(0,1),0)</f>
        <v>0</v>
      </c>
      <c r="H29">
        <f ca="1">RANDBETWEEN(MatchData[[#This Row],[High Goal Low]],MatchData[[#This Row],[High Goal High]])</f>
        <v>0</v>
      </c>
      <c r="I29">
        <f ca="1">RANDBETWEEN(MatchData[[#This Row],[Low Goal Low]],MatchData[[#This Row],[Low Goal High]])</f>
        <v>0</v>
      </c>
      <c r="J29" s="6">
        <v>1</v>
      </c>
      <c r="K29" s="6"/>
      <c r="L29" s="6"/>
      <c r="M29" s="6">
        <v>1</v>
      </c>
      <c r="N29" s="6"/>
      <c r="O29" s="6">
        <v>1</v>
      </c>
      <c r="P29" s="6">
        <v>1</v>
      </c>
      <c r="Q29" s="5"/>
      <c r="R29" s="5">
        <v>1</v>
      </c>
      <c r="S29" s="5">
        <f ca="1">IF(MatchData[[#This Row],[Auto Crossing Test Generator]]=0,RANDBETWEEN(0,1),0)</f>
        <v>1</v>
      </c>
      <c r="T29" s="5">
        <f ca="1">IF(MatchData[Auto Crossing Test Generator]=1,1,0)</f>
        <v>0</v>
      </c>
      <c r="U29" s="5">
        <f ca="1">IF(MatchData[[#This Row],[Auto Crossing Test Generator]]=2,RANDBETWEEN(0,1),0)</f>
        <v>0</v>
      </c>
      <c r="V29" s="5">
        <f ca="1">IF(MatchData[[#This Row],[Auto Crossing Test Generator]]=3,RANDBETWEEN(0,1),0)</f>
        <v>0</v>
      </c>
      <c r="W29" s="5">
        <f ca="1">IF(MatchData[[#This Row],[Auto Crossing Test Generator]]=4,RANDBETWEEN(0,1),0)</f>
        <v>0</v>
      </c>
      <c r="X29" s="5">
        <f ca="1">IF(MatchData[[#This Row],[Auto Crossing Test Generator]]=5,RANDBETWEEN(0,1),0)</f>
        <v>0</v>
      </c>
      <c r="Y29" s="5">
        <f ca="1">IF(MatchData[[#This Row],[Auto Crossing Test Generator]]=6,RANDBETWEEN(0,1),0)</f>
        <v>0</v>
      </c>
      <c r="Z29" s="5">
        <f ca="1">IF(MatchData[[#This Row],[Auto Crossing Test Generator]]=7,RANDBETWEEN(0,1),0)</f>
        <v>0</v>
      </c>
      <c r="AA29" s="5">
        <f ca="1">IF(MatchData[[#This Row],[Auto Crossing Test Generator]]=8,RANDBETWEEN(0,1),0)</f>
        <v>0</v>
      </c>
      <c r="AB29" s="5">
        <f ca="1">IF(MatchData[[#This Row],[Auto Crossing Test Generator]]&gt;8,RANDBETWEEN(0,1),0)</f>
        <v>0</v>
      </c>
      <c r="AC29" s="5">
        <f ca="1">IF(MatchData[[#This Row],[Auto Crossing Test Generator]]=9,RANDBETWEEN(0,1),0)</f>
        <v>0</v>
      </c>
      <c r="AD29" s="5">
        <f ca="1">IF(MatchData[[#This Row],[Cheval Available]]=1,RANDBETWEEN(0,MatchData[[#This Row],[Cheval High]]),0)</f>
        <v>0</v>
      </c>
      <c r="AE29" s="5">
        <f ca="1">IF(MatchData[[#This Row],[Moat Available]]=1,RANDBETWEEN(0,MatchData[[#This Row],[Moat High]]),0)</f>
        <v>0</v>
      </c>
      <c r="AF29" s="5">
        <f ca="1">IF(MatchData[[#This Row],[Ramparts Available]]=1,RANDBETWEEN(0,MatchData[[#This Row],[Ramparts High]]),0)</f>
        <v>1</v>
      </c>
      <c r="AG29" s="5">
        <f ca="1">IF(MatchData[[#This Row],[Drawbridge Available]]=1,RANDBETWEEN(0,MatchData[[#This Row],[Drawbridge High]]),0)</f>
        <v>0</v>
      </c>
      <c r="AH29" s="5">
        <f ca="1">IF(MatchData[[#This Row],[Sally Port Available]]=1,RANDBETWEEN(0,MatchData[[#This Row],[Sally Port High]]),0)</f>
        <v>0</v>
      </c>
      <c r="AI29" s="5">
        <f ca="1">IF(MatchData[[#This Row],[Rock Wall Available]]=1,RANDBETWEEN(0,MatchData[[#This Row],[Rock Wall High]]),0)</f>
        <v>2</v>
      </c>
      <c r="AJ29" s="5">
        <f ca="1">IF(MatchData[[#This Row],[Rough Terrain Available]]=1,RANDBETWEEN(0,MatchData[[#This Row],[Rough Terrain High]]),0)</f>
        <v>0</v>
      </c>
      <c r="AK29" s="5">
        <f ca="1">IF(MatchData[[#This Row],[Low Bar Available]]=1,RANDBETWEEN(0,MatchData[[#This Row],[Low Bar High]]),0)</f>
        <v>2</v>
      </c>
      <c r="AL29" s="5">
        <f ca="1">IF(MatchData[Cheval Teleop Crossings]&gt;3,10, MatchData[Cheval Teleop Crossings]*5)</f>
        <v>0</v>
      </c>
      <c r="AM29" s="5">
        <f ca="1">IF(MatchData[Moat Teleop Crossings]&gt;3,10, MatchData[Moat Teleop Crossings]*5)</f>
        <v>0</v>
      </c>
      <c r="AN29" s="5">
        <f ca="1">IF(MatchData[Ramparts Teleop Crossings]&gt;3,10, MatchData[Ramparts Teleop Crossings]*5)</f>
        <v>5</v>
      </c>
      <c r="AO29" s="5">
        <f ca="1">IF(MatchData[Drawbridge Teleop Crossings]&gt;3,10, MatchData[Drawbridge Teleop Crossings]*5)</f>
        <v>0</v>
      </c>
      <c r="AP29" s="5">
        <f ca="1">IF(MatchData[Sally Port Teleop Crossings]&gt;3,10, MatchData[Sally Port Teleop Crossings]*5)</f>
        <v>0</v>
      </c>
      <c r="AQ29" s="5">
        <f ca="1">IF(MatchData[Rock Wall Teleop Crossings]&gt;3,10, MatchData[Rock Wall Teleop Crossings]*5)</f>
        <v>10</v>
      </c>
      <c r="AR29" s="5">
        <f ca="1">IF(MatchData[Rough Terrain Teleop Crossings]&gt;3,10, MatchData[Rough Terrain Teleop Crossings]*5)</f>
        <v>0</v>
      </c>
      <c r="AS29" s="5">
        <f ca="1">IF(MatchData[Low Bar Teleop Crossings]&gt;3,10, MatchData[Low Bar Teleop Crossings]*5)</f>
        <v>10</v>
      </c>
      <c r="AT29" s="5">
        <f ca="1">SUM(MatchData[[#This Row],[Portcullis Teleop Crossings]:[Low Bar Teleop Crossings]])</f>
        <v>5</v>
      </c>
      <c r="AU29" s="5">
        <f ca="1">IF(RANDBETWEEN(1,4)&gt;1,1,0)</f>
        <v>1</v>
      </c>
      <c r="AV29" s="5">
        <f ca="1">IF(MatchData[[#This Row],[Challenge Flag]]=1,0,IF(MatchData[[#This Row],[Climber]]=1,RANDBETWEEN(0,1),0))</f>
        <v>0</v>
      </c>
      <c r="AW29" s="5">
        <f ca="1">IF(MatchData[[#This Row],[Crossing Score]]&gt;=40,1,0)</f>
        <v>0</v>
      </c>
      <c r="AX29" s="5"/>
      <c r="AY29" s="5">
        <f ca="1">IF(RANDBETWEEN(1,100)&gt;95,1,0)</f>
        <v>0</v>
      </c>
      <c r="AZ29" s="5">
        <f ca="1">IF(RANDBETWEEN(1,100)&gt;80,1,0)</f>
        <v>1</v>
      </c>
      <c r="BA29" s="5">
        <f ca="1">IF(OR(MatchData[[#This Row],[Challenge Flag]],MatchData[[#This Row],[Climb Flag]]),1,0)</f>
        <v>1</v>
      </c>
      <c r="BB29" s="5">
        <f ca="1">MatchData[Auto High Goals]*10+MatchData[Teleop High Goals]*5</f>
        <v>0</v>
      </c>
      <c r="BC29" s="5">
        <f ca="1">MatchData[Auto Low Goals]*5+MatchData[Teleop Low Goals]*2</f>
        <v>0</v>
      </c>
      <c r="BD29" s="5">
        <f ca="1">MatchData[High Goal Score]+MatchData[Low Goal Score]</f>
        <v>0</v>
      </c>
      <c r="BE29" s="5">
        <f ca="1">MatchData[Teleop High Goals]+MatchData[Teleop Low Goals]</f>
        <v>0</v>
      </c>
      <c r="BF29" s="5">
        <f ca="1">MatchData[[#This Row],[Auto Reach Flag]]*2+SUM(MatchData[[#This Row],[Portcullis Auto Crossings]:[Low Bar Auto Crossings]])*10+MatchData[[#This Row],[Auto Low Goals]]*5+MatchData[Auto High Goals]*10</f>
        <v>2</v>
      </c>
      <c r="BG29" s="5">
        <f ca="1">SUM(MatchData[[#This Row],[Cheval Scored Teleop Crossings]:[Low Bar Scored Teleop Crossings]])</f>
        <v>25</v>
      </c>
      <c r="BH29" s="5">
        <f ca="1">MatchData[Challenge Flag]*5</f>
        <v>5</v>
      </c>
      <c r="BI29" s="5">
        <f ca="1">MatchData[Climb Flag]*15</f>
        <v>0</v>
      </c>
      <c r="BJ29" s="5">
        <f ca="1">SUM(MatchData[[#This Row],[Total Goal Score]],MatchData[[#This Row],[Crossing Score]],MatchData[[#This Row],[Challenge Score]],MatchData[[#This Row],[Climb Score]],MatchData[[#This Row],[Total Auto Score]])</f>
        <v>32</v>
      </c>
      <c r="BK29">
        <v>1</v>
      </c>
      <c r="BL29" s="5">
        <f ca="1">IF(RANDBETWEEN(0,10)&gt;=9,RANDBETWEEN(1,9),0)</f>
        <v>0</v>
      </c>
      <c r="BM29" s="5">
        <f>VLOOKUP(MatchData[[#This Row],[Persona]],Personas!$A$2:$O$5,3)</f>
        <v>0</v>
      </c>
      <c r="BN29" s="13">
        <f>VLOOKUP(MatchData[[#This Row],[Persona]],Personas!$A$2:$P$5,4)</f>
        <v>0</v>
      </c>
      <c r="BO29" s="13">
        <f>VLOOKUP(MatchData[[#This Row],[Persona]],Personas!$A$2:$P$5,5)</f>
        <v>0</v>
      </c>
      <c r="BP29" s="13">
        <f>VLOOKUP(MatchData[[#This Row],[Persona]],Personas!$A$2:$P$5,6)</f>
        <v>0</v>
      </c>
      <c r="BQ29" s="13">
        <f>VLOOKUP(MatchData[[#This Row],[Persona]],Personas!$A$2:$P$5,7)</f>
        <v>0</v>
      </c>
      <c r="BR29" s="13">
        <f>VLOOKUP(MatchData[[#This Row],[Persona]],Personas!$A$2:$P$5,8)</f>
        <v>0</v>
      </c>
      <c r="BS29" s="13">
        <f>VLOOKUP(MatchData[[#This Row],[Persona]],Personas!$A$2:$P$5,9)</f>
        <v>2</v>
      </c>
      <c r="BT29" s="13">
        <f>VLOOKUP(MatchData[[#This Row],[Persona]],Personas!$A$2:$P$5,10)</f>
        <v>2</v>
      </c>
      <c r="BU29" s="13">
        <f>VLOOKUP(MatchData[[#This Row],[Persona]],Personas!$A$2:$P$5,11)</f>
        <v>0</v>
      </c>
      <c r="BV29" s="13">
        <f>VLOOKUP(MatchData[[#This Row],[Persona]],Personas!$A$2:$P$5,12)</f>
        <v>0</v>
      </c>
      <c r="BW29" s="13">
        <f>VLOOKUP(MatchData[[#This Row],[Persona]],Personas!$A$2:$P$5,13)</f>
        <v>2</v>
      </c>
      <c r="BX29" s="13">
        <f>VLOOKUP(MatchData[[#This Row],[Persona]],Personas!$A$2:$P$5,14)</f>
        <v>2</v>
      </c>
      <c r="BY29" s="13">
        <f>VLOOKUP(MatchData[[#This Row],[Persona]],Personas!$A$2:$P$5,15)</f>
        <v>2</v>
      </c>
      <c r="BZ29" s="13">
        <f>VLOOKUP(MatchData[[#This Row],[Persona]],Personas!$A$2:$P$5,16)</f>
        <v>0</v>
      </c>
      <c r="CA29" s="14">
        <f ca="1">ROUND(SUMIF(MatchData[Team],MatchData[[#This Row],[Team]],MatchData[Teleop Low Goals])/COUNTIF(MatchData[Team],MatchData[[#This Row],[Team]]),2)</f>
        <v>0</v>
      </c>
      <c r="CB29" s="14">
        <f ca="1">ROUND(SUMIF(MatchData[Team],MatchData[[#This Row],[Team]],MatchData[Teleop High Goals])/COUNTIF(MatchData[Team],MatchData[[#This Row],[Team]]),2)</f>
        <v>0</v>
      </c>
      <c r="CC29" s="14">
        <f>COUNTIF(MatchData[Team],MatchData[[#This Row],[Team]])</f>
        <v>6</v>
      </c>
      <c r="CD29" s="14">
        <f>SUMIF(MatchData[Team],MatchData[[#This Row],[Team]],MatchData[Portcullis Available])</f>
        <v>2</v>
      </c>
      <c r="CE29" s="14">
        <f>SUMIF(MatchData[Team],MatchData[[#This Row],[Team]],MatchData[Cheval Available])</f>
        <v>4</v>
      </c>
      <c r="CF29" s="14">
        <f>SUMIF(MatchData[Team],MatchData[[#This Row],[Team]],MatchData[Moat Available])</f>
        <v>4</v>
      </c>
      <c r="CG29" s="14">
        <f>SUMIF(MatchData[Team],MatchData[[#This Row],[Team]],MatchData[Ramparts Available])</f>
        <v>2</v>
      </c>
      <c r="CH29" s="14">
        <f>SUMIF(MatchData[Team],MatchData[[#This Row],[Team]],MatchData[Drawbridge Available])</f>
        <v>3</v>
      </c>
      <c r="CI29" s="14">
        <f>SUMIF(MatchData[Team],MatchData[[#This Row],[Team]],MatchData[Sally Port Available])</f>
        <v>3</v>
      </c>
      <c r="CJ29" s="14">
        <f>SUMIF(MatchData[Team],MatchData[[#This Row],[Team]],MatchData[Rock Wall Available])</f>
        <v>3</v>
      </c>
      <c r="CK29" s="14">
        <f>SUMIF(MatchData[Team],MatchData[[#This Row],[Team]],MatchData[Rough Terrain Available])</f>
        <v>3</v>
      </c>
      <c r="CL29" s="14">
        <f>SUMIF(MatchData[Team],MatchData[[#This Row],[Team]],MatchData[Low Bar Available])</f>
        <v>6</v>
      </c>
      <c r="CM29" s="14">
        <f ca="1">SUMIF(MatchData[Team],MatchData[[#This Row],[Team]],MatchData[Portcullis Teleop Crossings])</f>
        <v>0</v>
      </c>
      <c r="CN29" s="14">
        <f ca="1">SUMIF(MatchData[Team],MatchData[[#This Row],[Team]],MatchData[Cheval Teleop Crossings])</f>
        <v>0</v>
      </c>
      <c r="CO29" s="14">
        <f ca="1">SUMIF(MatchData[Team],MatchData[[#This Row],[Team]],MatchData[Moat Teleop Crossings])</f>
        <v>1</v>
      </c>
      <c r="CP29" s="14">
        <f ca="1">SUMIF(MatchData[Team],MatchData[[#This Row],[Team]],MatchData[Ramparts Teleop Crossings])</f>
        <v>1</v>
      </c>
      <c r="CQ29" s="14">
        <f ca="1">SUMIF(MatchData[Team],MatchData[[#This Row],[Team]],MatchData[Drawbridge Teleop Crossings])</f>
        <v>0</v>
      </c>
      <c r="CR29" s="14">
        <f ca="1">SUMIF(MatchData[Team],MatchData[[#This Row],[Team]],MatchData[Sally Port Teleop Crossings])</f>
        <v>0</v>
      </c>
      <c r="CS29" s="14">
        <f ca="1">SUMIF(MatchData[Team],MatchData[[#This Row],[Team]],MatchData[Rock Wall Teleop Crossings])</f>
        <v>4</v>
      </c>
      <c r="CT29" s="14">
        <f ca="1">SUMIF(MatchData[Team],MatchData[[#This Row],[Team]],MatchData[Rough Terrain Teleop Crossings])</f>
        <v>5</v>
      </c>
      <c r="CU29" s="14">
        <f ca="1">SUMIF(MatchData[Team],MatchData[[#This Row],[Team]],MatchData[Low Bar Teleop Crossings])</f>
        <v>6</v>
      </c>
      <c r="CV29" s="14">
        <f ca="1">IFERROR(ROUND(MatchData[[#This Row],[Portcullis Sum]]/MatchData[[#This Row],[Portcullis Avail Count]],2),0)</f>
        <v>0</v>
      </c>
      <c r="CW29">
        <f ca="1">IFERROR(ROUND(MatchData[[#This Row],[Cheval Sum]]/MatchData[[#This Row],[Cheval Avail Count]],2),0)</f>
        <v>0</v>
      </c>
      <c r="CX29">
        <f ca="1">IFERROR(ROUND(MatchData[[#This Row],[Moat Sum]]/MatchData[[#This Row],[Moat Avail Count]],2),0)</f>
        <v>0.25</v>
      </c>
      <c r="CY29">
        <f ca="1">IFERROR(ROUND(MatchData[[#This Row],[Ramparts Sum]]/MatchData[[#This Row],[Ramparts Avail Count]],2),0)</f>
        <v>0.5</v>
      </c>
      <c r="CZ29">
        <f ca="1">IFERROR(ROUND(MatchData[[#This Row],[Drawbridge Sum]]/MatchData[[#This Row],[Drawbridge HAvail Countigh6]],2),0)</f>
        <v>0</v>
      </c>
      <c r="DA29">
        <f ca="1">IFERROR(ROUND(MatchData[[#This Row],[Sally Port Sum]]/MatchData[[#This Row],[Sally Port Avail Count]],2),0)</f>
        <v>0</v>
      </c>
      <c r="DB29">
        <f ca="1">IFERROR(ROUND(MatchData[[#This Row],[Rock Wall Sum]]/MatchData[[#This Row],[Rock Wall Avail Count]],2),0)</f>
        <v>1.33</v>
      </c>
      <c r="DC29">
        <f ca="1">IFERROR(ROUND(MatchData[[#This Row],[Rough Terrain Sum]]/MatchData[[#This Row],[Rough Terrain Avail Count]],2),0)</f>
        <v>1.67</v>
      </c>
      <c r="DD29">
        <f ca="1">IFERROR(ROUND(MatchData[[#This Row],[Low Bar Sum]]/MatchData[[#This Row],[Low Bar Avail Count]],2),0)</f>
        <v>1</v>
      </c>
      <c r="DE29" s="14">
        <f t="array" aca="1" ref="DE29" ca="1">MAX(IF(C$4:C$75=C29,BE$4:BE$75))</f>
        <v>0</v>
      </c>
      <c r="DF29" s="14">
        <f ca="1">AVERAGEIF(MatchData[Team],MatchData[Team],MatchData[Total Score])</f>
        <v>19.666666666666668</v>
      </c>
      <c r="DG29" s="14">
        <f ca="1">ROUND(AVERAGEIF(MatchData[Team],MatchData[Team],MatchData[Climb or Challenge Flag]),2)</f>
        <v>0.5</v>
      </c>
    </row>
    <row r="30" spans="1:111">
      <c r="A30" t="s">
        <v>54</v>
      </c>
      <c r="B30" s="4">
        <v>6</v>
      </c>
      <c r="C30">
        <v>1005</v>
      </c>
      <c r="D30" t="s">
        <v>55</v>
      </c>
      <c r="E30" t="s">
        <v>63</v>
      </c>
      <c r="F30">
        <f ca="1">IF(MatchData[[#This Row],[Persona]] = 4,RANDBETWEEN(0,1),0)</f>
        <v>0</v>
      </c>
      <c r="G30">
        <f ca="1">IF(MatchData[[#This Row],[Persona]] = 3,RANDBETWEEN(0,1),0)</f>
        <v>0</v>
      </c>
      <c r="H30">
        <f ca="1">RANDBETWEEN(MatchData[[#This Row],[High Goal Low]],MatchData[[#This Row],[High Goal High]])</f>
        <v>0</v>
      </c>
      <c r="I30">
        <f ca="1">RANDBETWEEN(MatchData[[#This Row],[Low Goal Low]],MatchData[[#This Row],[Low Goal High]])</f>
        <v>0</v>
      </c>
      <c r="J30" s="6"/>
      <c r="K30" s="6">
        <v>1</v>
      </c>
      <c r="L30" s="6">
        <v>1</v>
      </c>
      <c r="M30" s="6"/>
      <c r="N30" s="6">
        <v>1</v>
      </c>
      <c r="O30" s="6"/>
      <c r="P30" s="6"/>
      <c r="Q30" s="5">
        <v>1</v>
      </c>
      <c r="R30" s="5">
        <v>1</v>
      </c>
      <c r="S30" s="5">
        <f ca="1">IF(MatchData[[#This Row],[Auto Crossing Test Generator]]=0,RANDBETWEEN(0,1),0)</f>
        <v>1</v>
      </c>
      <c r="T30" s="5">
        <f ca="1">IF(MatchData[Auto Crossing Test Generator]=1,1,0)</f>
        <v>0</v>
      </c>
      <c r="U30" s="5">
        <f ca="1">IF(MatchData[[#This Row],[Auto Crossing Test Generator]]=2,RANDBETWEEN(0,1),0)</f>
        <v>0</v>
      </c>
      <c r="V30" s="5">
        <f ca="1">IF(MatchData[[#This Row],[Auto Crossing Test Generator]]=3,RANDBETWEEN(0,1),0)</f>
        <v>0</v>
      </c>
      <c r="W30" s="5">
        <f ca="1">IF(MatchData[[#This Row],[Auto Crossing Test Generator]]=4,RANDBETWEEN(0,1),0)</f>
        <v>0</v>
      </c>
      <c r="X30" s="5">
        <f ca="1">IF(MatchData[[#This Row],[Auto Crossing Test Generator]]=5,RANDBETWEEN(0,1),0)</f>
        <v>0</v>
      </c>
      <c r="Y30" s="5">
        <f ca="1">IF(MatchData[[#This Row],[Auto Crossing Test Generator]]=6,RANDBETWEEN(0,1),0)</f>
        <v>0</v>
      </c>
      <c r="Z30" s="5">
        <f ca="1">IF(MatchData[[#This Row],[Auto Crossing Test Generator]]=7,RANDBETWEEN(0,1),0)</f>
        <v>0</v>
      </c>
      <c r="AA30" s="5">
        <f ca="1">IF(MatchData[[#This Row],[Auto Crossing Test Generator]]=8,RANDBETWEEN(0,1),0)</f>
        <v>0</v>
      </c>
      <c r="AB30" s="5">
        <f ca="1">IF(MatchData[[#This Row],[Auto Crossing Test Generator]]&gt;8,RANDBETWEEN(0,1),0)</f>
        <v>0</v>
      </c>
      <c r="AC30" s="5">
        <f ca="1">IF(MatchData[[#This Row],[Auto Crossing Test Generator]]=9,RANDBETWEEN(0,1),0)</f>
        <v>0</v>
      </c>
      <c r="AD30" s="5">
        <f ca="1">IF(MatchData[[#This Row],[Cheval Available]]=1,RANDBETWEEN(0,MatchData[[#This Row],[Cheval High]]),0)</f>
        <v>0</v>
      </c>
      <c r="AE30" s="5">
        <f ca="1">IF(MatchData[[#This Row],[Moat Available]]=1,RANDBETWEEN(0,MatchData[[#This Row],[Moat High]]),0)</f>
        <v>0</v>
      </c>
      <c r="AF30" s="5">
        <f ca="1">IF(MatchData[[#This Row],[Ramparts Available]]=1,RANDBETWEEN(0,MatchData[[#This Row],[Ramparts High]]),0)</f>
        <v>0</v>
      </c>
      <c r="AG30" s="5">
        <f ca="1">IF(MatchData[[#This Row],[Drawbridge Available]]=1,RANDBETWEEN(0,MatchData[[#This Row],[Drawbridge High]]),0)</f>
        <v>0</v>
      </c>
      <c r="AH30" s="5">
        <f ca="1">IF(MatchData[[#This Row],[Sally Port Available]]=1,RANDBETWEEN(0,MatchData[[#This Row],[Sally Port High]]),0)</f>
        <v>0</v>
      </c>
      <c r="AI30" s="5">
        <f ca="1">IF(MatchData[[#This Row],[Rock Wall Available]]=1,RANDBETWEEN(0,MatchData[[#This Row],[Rock Wall High]]),0)</f>
        <v>0</v>
      </c>
      <c r="AJ30" s="5">
        <f ca="1">IF(MatchData[[#This Row],[Rough Terrain Available]]=1,RANDBETWEEN(0,MatchData[[#This Row],[Rough Terrain High]]),0)</f>
        <v>1</v>
      </c>
      <c r="AK30" s="5">
        <f ca="1">IF(MatchData[[#This Row],[Low Bar Available]]=1,RANDBETWEEN(0,MatchData[[#This Row],[Low Bar High]]),0)</f>
        <v>1</v>
      </c>
      <c r="AL30" s="5">
        <f ca="1">IF(MatchData[Cheval Teleop Crossings]&gt;3,10, MatchData[Cheval Teleop Crossings]*5)</f>
        <v>0</v>
      </c>
      <c r="AM30" s="5">
        <f ca="1">IF(MatchData[Moat Teleop Crossings]&gt;3,10, MatchData[Moat Teleop Crossings]*5)</f>
        <v>0</v>
      </c>
      <c r="AN30" s="5">
        <f ca="1">IF(MatchData[Ramparts Teleop Crossings]&gt;3,10, MatchData[Ramparts Teleop Crossings]*5)</f>
        <v>0</v>
      </c>
      <c r="AO30" s="5">
        <f ca="1">IF(MatchData[Drawbridge Teleop Crossings]&gt;3,10, MatchData[Drawbridge Teleop Crossings]*5)</f>
        <v>0</v>
      </c>
      <c r="AP30" s="5">
        <f ca="1">IF(MatchData[Sally Port Teleop Crossings]&gt;3,10, MatchData[Sally Port Teleop Crossings]*5)</f>
        <v>0</v>
      </c>
      <c r="AQ30" s="5">
        <f ca="1">IF(MatchData[Rock Wall Teleop Crossings]&gt;3,10, MatchData[Rock Wall Teleop Crossings]*5)</f>
        <v>0</v>
      </c>
      <c r="AR30" s="5">
        <f ca="1">IF(MatchData[Rough Terrain Teleop Crossings]&gt;3,10, MatchData[Rough Terrain Teleop Crossings]*5)</f>
        <v>5</v>
      </c>
      <c r="AS30" s="5">
        <f ca="1">IF(MatchData[Low Bar Teleop Crossings]&gt;3,10, MatchData[Low Bar Teleop Crossings]*5)</f>
        <v>5</v>
      </c>
      <c r="AT30" s="5">
        <f ca="1">SUM(MatchData[[#This Row],[Portcullis Teleop Crossings]:[Low Bar Teleop Crossings]])</f>
        <v>2</v>
      </c>
      <c r="AU30" s="5">
        <f ca="1">IF(RANDBETWEEN(1,4)&gt;1,1,0)</f>
        <v>1</v>
      </c>
      <c r="AV30" s="5">
        <f ca="1">IF(MatchData[[#This Row],[Challenge Flag]]=1,0,IF(MatchData[[#This Row],[Climber]]=1,RANDBETWEEN(0,1),0))</f>
        <v>0</v>
      </c>
      <c r="AW30" s="5">
        <f ca="1">IF(MatchData[[#This Row],[Crossing Score]]&gt;=40,1,0)</f>
        <v>0</v>
      </c>
      <c r="AX30" s="5"/>
      <c r="AY30" s="5">
        <f ca="1">IF(RANDBETWEEN(1,100)&gt;95,1,0)</f>
        <v>0</v>
      </c>
      <c r="AZ30" s="5">
        <f ca="1">IF(RANDBETWEEN(1,100)&gt;80,1,0)</f>
        <v>0</v>
      </c>
      <c r="BA30" s="5">
        <f ca="1">IF(OR(MatchData[[#This Row],[Challenge Flag]],MatchData[[#This Row],[Climb Flag]]),1,0)</f>
        <v>1</v>
      </c>
      <c r="BB30" s="5">
        <f ca="1">MatchData[Auto High Goals]*10+MatchData[Teleop High Goals]*5</f>
        <v>0</v>
      </c>
      <c r="BC30" s="5">
        <f ca="1">MatchData[Auto Low Goals]*5+MatchData[Teleop Low Goals]*2</f>
        <v>0</v>
      </c>
      <c r="BD30" s="5">
        <f ca="1">MatchData[High Goal Score]+MatchData[Low Goal Score]</f>
        <v>0</v>
      </c>
      <c r="BE30" s="5">
        <f ca="1">MatchData[Teleop High Goals]+MatchData[Teleop Low Goals]</f>
        <v>0</v>
      </c>
      <c r="BF30" s="5">
        <f ca="1">MatchData[[#This Row],[Auto Reach Flag]]*2+SUM(MatchData[[#This Row],[Portcullis Auto Crossings]:[Low Bar Auto Crossings]])*10+MatchData[[#This Row],[Auto Low Goals]]*5+MatchData[Auto High Goals]*10</f>
        <v>2</v>
      </c>
      <c r="BG30" s="5">
        <f ca="1">SUM(MatchData[[#This Row],[Cheval Scored Teleop Crossings]:[Low Bar Scored Teleop Crossings]])</f>
        <v>10</v>
      </c>
      <c r="BH30" s="5">
        <f ca="1">MatchData[Challenge Flag]*5</f>
        <v>5</v>
      </c>
      <c r="BI30" s="5">
        <f ca="1">MatchData[Climb Flag]*15</f>
        <v>0</v>
      </c>
      <c r="BJ30" s="5">
        <f ca="1">SUM(MatchData[[#This Row],[Total Goal Score]],MatchData[[#This Row],[Crossing Score]],MatchData[[#This Row],[Challenge Score]],MatchData[[#This Row],[Climb Score]],MatchData[[#This Row],[Total Auto Score]])</f>
        <v>17</v>
      </c>
      <c r="BK30">
        <v>1</v>
      </c>
      <c r="BL30" s="5">
        <f ca="1">IF(RANDBETWEEN(0,10)&gt;=9,RANDBETWEEN(1,9),0)</f>
        <v>0</v>
      </c>
      <c r="BM30" s="5">
        <f>VLOOKUP(MatchData[[#This Row],[Persona]],Personas!$A$2:$O$5,3)</f>
        <v>0</v>
      </c>
      <c r="BN30" s="13">
        <f>VLOOKUP(MatchData[[#This Row],[Persona]],Personas!$A$2:$P$5,4)</f>
        <v>0</v>
      </c>
      <c r="BO30" s="13">
        <f>VLOOKUP(MatchData[[#This Row],[Persona]],Personas!$A$2:$P$5,5)</f>
        <v>0</v>
      </c>
      <c r="BP30" s="13">
        <f>VLOOKUP(MatchData[[#This Row],[Persona]],Personas!$A$2:$P$5,6)</f>
        <v>0</v>
      </c>
      <c r="BQ30" s="13">
        <f>VLOOKUP(MatchData[[#This Row],[Persona]],Personas!$A$2:$P$5,7)</f>
        <v>0</v>
      </c>
      <c r="BR30" s="13">
        <f>VLOOKUP(MatchData[[#This Row],[Persona]],Personas!$A$2:$P$5,8)</f>
        <v>0</v>
      </c>
      <c r="BS30" s="13">
        <f>VLOOKUP(MatchData[[#This Row],[Persona]],Personas!$A$2:$P$5,9)</f>
        <v>2</v>
      </c>
      <c r="BT30" s="13">
        <f>VLOOKUP(MatchData[[#This Row],[Persona]],Personas!$A$2:$P$5,10)</f>
        <v>2</v>
      </c>
      <c r="BU30" s="13">
        <f>VLOOKUP(MatchData[[#This Row],[Persona]],Personas!$A$2:$P$5,11)</f>
        <v>0</v>
      </c>
      <c r="BV30" s="13">
        <f>VLOOKUP(MatchData[[#This Row],[Persona]],Personas!$A$2:$P$5,12)</f>
        <v>0</v>
      </c>
      <c r="BW30" s="13">
        <f>VLOOKUP(MatchData[[#This Row],[Persona]],Personas!$A$2:$P$5,13)</f>
        <v>2</v>
      </c>
      <c r="BX30" s="13">
        <f>VLOOKUP(MatchData[[#This Row],[Persona]],Personas!$A$2:$P$5,14)</f>
        <v>2</v>
      </c>
      <c r="BY30" s="13">
        <f>VLOOKUP(MatchData[[#This Row],[Persona]],Personas!$A$2:$P$5,15)</f>
        <v>2</v>
      </c>
      <c r="BZ30" s="13">
        <f>VLOOKUP(MatchData[[#This Row],[Persona]],Personas!$A$2:$P$5,16)</f>
        <v>0</v>
      </c>
      <c r="CA30" s="14">
        <f ca="1">ROUND(SUMIF(MatchData[Team],MatchData[[#This Row],[Team]],MatchData[Teleop Low Goals])/COUNTIF(MatchData[Team],MatchData[[#This Row],[Team]]),2)</f>
        <v>0</v>
      </c>
      <c r="CB30" s="14">
        <f ca="1">ROUND(SUMIF(MatchData[Team],MatchData[[#This Row],[Team]],MatchData[Teleop High Goals])/COUNTIF(MatchData[Team],MatchData[[#This Row],[Team]]),2)</f>
        <v>0</v>
      </c>
      <c r="CC30" s="14">
        <f>COUNTIF(MatchData[Team],MatchData[[#This Row],[Team]])</f>
        <v>6</v>
      </c>
      <c r="CD30" s="14">
        <f>SUMIF(MatchData[Team],MatchData[[#This Row],[Team]],MatchData[Portcullis Available])</f>
        <v>2</v>
      </c>
      <c r="CE30" s="14">
        <f>SUMIF(MatchData[Team],MatchData[[#This Row],[Team]],MatchData[Cheval Available])</f>
        <v>4</v>
      </c>
      <c r="CF30" s="14">
        <f>SUMIF(MatchData[Team],MatchData[[#This Row],[Team]],MatchData[Moat Available])</f>
        <v>4</v>
      </c>
      <c r="CG30" s="14">
        <f>SUMIF(MatchData[Team],MatchData[[#This Row],[Team]],MatchData[Ramparts Available])</f>
        <v>2</v>
      </c>
      <c r="CH30" s="14">
        <f>SUMIF(MatchData[Team],MatchData[[#This Row],[Team]],MatchData[Drawbridge Available])</f>
        <v>3</v>
      </c>
      <c r="CI30" s="14">
        <f>SUMIF(MatchData[Team],MatchData[[#This Row],[Team]],MatchData[Sally Port Available])</f>
        <v>3</v>
      </c>
      <c r="CJ30" s="14">
        <f>SUMIF(MatchData[Team],MatchData[[#This Row],[Team]],MatchData[Rock Wall Available])</f>
        <v>3</v>
      </c>
      <c r="CK30" s="14">
        <f>SUMIF(MatchData[Team],MatchData[[#This Row],[Team]],MatchData[Rough Terrain Available])</f>
        <v>3</v>
      </c>
      <c r="CL30" s="14">
        <f>SUMIF(MatchData[Team],MatchData[[#This Row],[Team]],MatchData[Low Bar Available])</f>
        <v>6</v>
      </c>
      <c r="CM30" s="14">
        <f ca="1">SUMIF(MatchData[Team],MatchData[[#This Row],[Team]],MatchData[Portcullis Teleop Crossings])</f>
        <v>0</v>
      </c>
      <c r="CN30" s="14">
        <f ca="1">SUMIF(MatchData[Team],MatchData[[#This Row],[Team]],MatchData[Cheval Teleop Crossings])</f>
        <v>0</v>
      </c>
      <c r="CO30" s="14">
        <f ca="1">SUMIF(MatchData[Team],MatchData[[#This Row],[Team]],MatchData[Moat Teleop Crossings])</f>
        <v>1</v>
      </c>
      <c r="CP30" s="14">
        <f ca="1">SUMIF(MatchData[Team],MatchData[[#This Row],[Team]],MatchData[Ramparts Teleop Crossings])</f>
        <v>1</v>
      </c>
      <c r="CQ30" s="14">
        <f ca="1">SUMIF(MatchData[Team],MatchData[[#This Row],[Team]],MatchData[Drawbridge Teleop Crossings])</f>
        <v>0</v>
      </c>
      <c r="CR30" s="14">
        <f ca="1">SUMIF(MatchData[Team],MatchData[[#This Row],[Team]],MatchData[Sally Port Teleop Crossings])</f>
        <v>0</v>
      </c>
      <c r="CS30" s="14">
        <f ca="1">SUMIF(MatchData[Team],MatchData[[#This Row],[Team]],MatchData[Rock Wall Teleop Crossings])</f>
        <v>4</v>
      </c>
      <c r="CT30" s="14">
        <f ca="1">SUMIF(MatchData[Team],MatchData[[#This Row],[Team]],MatchData[Rough Terrain Teleop Crossings])</f>
        <v>5</v>
      </c>
      <c r="CU30" s="14">
        <f ca="1">SUMIF(MatchData[Team],MatchData[[#This Row],[Team]],MatchData[Low Bar Teleop Crossings])</f>
        <v>6</v>
      </c>
      <c r="CV30" s="14">
        <f ca="1">IFERROR(ROUND(MatchData[[#This Row],[Portcullis Sum]]/MatchData[[#This Row],[Portcullis Avail Count]],2),0)</f>
        <v>0</v>
      </c>
      <c r="CW30">
        <f ca="1">IFERROR(ROUND(MatchData[[#This Row],[Cheval Sum]]/MatchData[[#This Row],[Cheval Avail Count]],2),0)</f>
        <v>0</v>
      </c>
      <c r="CX30">
        <f ca="1">IFERROR(ROUND(MatchData[[#This Row],[Moat Sum]]/MatchData[[#This Row],[Moat Avail Count]],2),0)</f>
        <v>0.25</v>
      </c>
      <c r="CY30">
        <f ca="1">IFERROR(ROUND(MatchData[[#This Row],[Ramparts Sum]]/MatchData[[#This Row],[Ramparts Avail Count]],2),0)</f>
        <v>0.5</v>
      </c>
      <c r="CZ30">
        <f ca="1">IFERROR(ROUND(MatchData[[#This Row],[Drawbridge Sum]]/MatchData[[#This Row],[Drawbridge HAvail Countigh6]],2),0)</f>
        <v>0</v>
      </c>
      <c r="DA30">
        <f ca="1">IFERROR(ROUND(MatchData[[#This Row],[Sally Port Sum]]/MatchData[[#This Row],[Sally Port Avail Count]],2),0)</f>
        <v>0</v>
      </c>
      <c r="DB30">
        <f ca="1">IFERROR(ROUND(MatchData[[#This Row],[Rock Wall Sum]]/MatchData[[#This Row],[Rock Wall Avail Count]],2),0)</f>
        <v>1.33</v>
      </c>
      <c r="DC30">
        <f ca="1">IFERROR(ROUND(MatchData[[#This Row],[Rough Terrain Sum]]/MatchData[[#This Row],[Rough Terrain Avail Count]],2),0)</f>
        <v>1.67</v>
      </c>
      <c r="DD30">
        <f ca="1">IFERROR(ROUND(MatchData[[#This Row],[Low Bar Sum]]/MatchData[[#This Row],[Low Bar Avail Count]],2),0)</f>
        <v>1</v>
      </c>
      <c r="DE30" s="14">
        <f t="array" aca="1" ref="DE30" ca="1">MAX(IF(C$4:C$75=C30,BE$4:BE$75))</f>
        <v>0</v>
      </c>
      <c r="DF30" s="14">
        <f ca="1">AVERAGEIF(MatchData[Team],MatchData[Team],MatchData[Total Score])</f>
        <v>19.666666666666668</v>
      </c>
      <c r="DG30" s="14">
        <f ca="1">ROUND(AVERAGEIF(MatchData[Team],MatchData[Team],MatchData[Climb or Challenge Flag]),2)</f>
        <v>0.5</v>
      </c>
    </row>
    <row r="31" spans="1:111">
      <c r="A31" t="s">
        <v>54</v>
      </c>
      <c r="B31" s="4">
        <v>8</v>
      </c>
      <c r="C31">
        <v>1005</v>
      </c>
      <c r="D31" t="s">
        <v>55</v>
      </c>
      <c r="E31" t="s">
        <v>60</v>
      </c>
      <c r="F31">
        <f ca="1">IF(MatchData[[#This Row],[Persona]] = 4,RANDBETWEEN(0,1),0)</f>
        <v>0</v>
      </c>
      <c r="G31">
        <f ca="1">IF(MatchData[[#This Row],[Persona]] = 3,RANDBETWEEN(0,1),0)</f>
        <v>0</v>
      </c>
      <c r="H31">
        <f ca="1">RANDBETWEEN(MatchData[[#This Row],[High Goal Low]],MatchData[[#This Row],[High Goal High]])</f>
        <v>0</v>
      </c>
      <c r="I31">
        <f ca="1">RANDBETWEEN(MatchData[[#This Row],[Low Goal Low]],MatchData[[#This Row],[Low Goal High]])</f>
        <v>0</v>
      </c>
      <c r="J31" s="6"/>
      <c r="K31" s="6">
        <v>1</v>
      </c>
      <c r="L31" s="6">
        <v>1</v>
      </c>
      <c r="M31" s="6"/>
      <c r="N31" s="6"/>
      <c r="O31" s="6">
        <v>1</v>
      </c>
      <c r="P31" s="6">
        <v>1</v>
      </c>
      <c r="Q31" s="5"/>
      <c r="R31" s="5">
        <v>1</v>
      </c>
      <c r="S31" s="5">
        <f ca="1">IF(MatchData[[#This Row],[Auto Crossing Test Generator]]=0,RANDBETWEEN(0,1),0)</f>
        <v>1</v>
      </c>
      <c r="T31" s="5">
        <f ca="1">IF(MatchData[Auto Crossing Test Generator]=1,1,0)</f>
        <v>0</v>
      </c>
      <c r="U31" s="5">
        <f ca="1">IF(MatchData[[#This Row],[Auto Crossing Test Generator]]=2,RANDBETWEEN(0,1),0)</f>
        <v>0</v>
      </c>
      <c r="V31" s="5">
        <f ca="1">IF(MatchData[[#This Row],[Auto Crossing Test Generator]]=3,RANDBETWEEN(0,1),0)</f>
        <v>0</v>
      </c>
      <c r="W31" s="5">
        <f ca="1">IF(MatchData[[#This Row],[Auto Crossing Test Generator]]=4,RANDBETWEEN(0,1),0)</f>
        <v>0</v>
      </c>
      <c r="X31" s="5">
        <f ca="1">IF(MatchData[[#This Row],[Auto Crossing Test Generator]]=5,RANDBETWEEN(0,1),0)</f>
        <v>0</v>
      </c>
      <c r="Y31" s="5">
        <f ca="1">IF(MatchData[[#This Row],[Auto Crossing Test Generator]]=6,RANDBETWEEN(0,1),0)</f>
        <v>0</v>
      </c>
      <c r="Z31" s="5">
        <f ca="1">IF(MatchData[[#This Row],[Auto Crossing Test Generator]]=7,RANDBETWEEN(0,1),0)</f>
        <v>0</v>
      </c>
      <c r="AA31" s="5">
        <f ca="1">IF(MatchData[[#This Row],[Auto Crossing Test Generator]]=8,RANDBETWEEN(0,1),0)</f>
        <v>0</v>
      </c>
      <c r="AB31" s="5">
        <f ca="1">IF(MatchData[[#This Row],[Auto Crossing Test Generator]]&gt;8,RANDBETWEEN(0,1),0)</f>
        <v>0</v>
      </c>
      <c r="AC31" s="5">
        <f ca="1">IF(MatchData[[#This Row],[Auto Crossing Test Generator]]=9,RANDBETWEEN(0,1),0)</f>
        <v>0</v>
      </c>
      <c r="AD31" s="5">
        <f ca="1">IF(MatchData[[#This Row],[Cheval Available]]=1,RANDBETWEEN(0,MatchData[[#This Row],[Cheval High]]),0)</f>
        <v>0</v>
      </c>
      <c r="AE31" s="5">
        <f ca="1">IF(MatchData[[#This Row],[Moat Available]]=1,RANDBETWEEN(0,MatchData[[#This Row],[Moat High]]),0)</f>
        <v>1</v>
      </c>
      <c r="AF31" s="5">
        <f ca="1">IF(MatchData[[#This Row],[Ramparts Available]]=1,RANDBETWEEN(0,MatchData[[#This Row],[Ramparts High]]),0)</f>
        <v>0</v>
      </c>
      <c r="AG31" s="5">
        <f ca="1">IF(MatchData[[#This Row],[Drawbridge Available]]=1,RANDBETWEEN(0,MatchData[[#This Row],[Drawbridge High]]),0)</f>
        <v>0</v>
      </c>
      <c r="AH31" s="5">
        <f ca="1">IF(MatchData[[#This Row],[Sally Port Available]]=1,RANDBETWEEN(0,MatchData[[#This Row],[Sally Port High]]),0)</f>
        <v>0</v>
      </c>
      <c r="AI31" s="5">
        <f ca="1">IF(MatchData[[#This Row],[Rock Wall Available]]=1,RANDBETWEEN(0,MatchData[[#This Row],[Rock Wall High]]),0)</f>
        <v>0</v>
      </c>
      <c r="AJ31" s="5">
        <f ca="1">IF(MatchData[[#This Row],[Rough Terrain Available]]=1,RANDBETWEEN(0,MatchData[[#This Row],[Rough Terrain High]]),0)</f>
        <v>0</v>
      </c>
      <c r="AK31" s="5">
        <f ca="1">IF(MatchData[[#This Row],[Low Bar Available]]=1,RANDBETWEEN(0,MatchData[[#This Row],[Low Bar High]]),0)</f>
        <v>2</v>
      </c>
      <c r="AL31" s="5">
        <f ca="1">IF(MatchData[Cheval Teleop Crossings]&gt;3,10, MatchData[Cheval Teleop Crossings]*5)</f>
        <v>0</v>
      </c>
      <c r="AM31" s="5">
        <f ca="1">IF(MatchData[Moat Teleop Crossings]&gt;3,10, MatchData[Moat Teleop Crossings]*5)</f>
        <v>5</v>
      </c>
      <c r="AN31" s="5">
        <f ca="1">IF(MatchData[Ramparts Teleop Crossings]&gt;3,10, MatchData[Ramparts Teleop Crossings]*5)</f>
        <v>0</v>
      </c>
      <c r="AO31" s="5">
        <f ca="1">IF(MatchData[Drawbridge Teleop Crossings]&gt;3,10, MatchData[Drawbridge Teleop Crossings]*5)</f>
        <v>0</v>
      </c>
      <c r="AP31" s="5">
        <f ca="1">IF(MatchData[Sally Port Teleop Crossings]&gt;3,10, MatchData[Sally Port Teleop Crossings]*5)</f>
        <v>0</v>
      </c>
      <c r="AQ31" s="5">
        <f ca="1">IF(MatchData[Rock Wall Teleop Crossings]&gt;3,10, MatchData[Rock Wall Teleop Crossings]*5)</f>
        <v>0</v>
      </c>
      <c r="AR31" s="5">
        <f ca="1">IF(MatchData[Rough Terrain Teleop Crossings]&gt;3,10, MatchData[Rough Terrain Teleop Crossings]*5)</f>
        <v>0</v>
      </c>
      <c r="AS31" s="5">
        <f ca="1">IF(MatchData[Low Bar Teleop Crossings]&gt;3,10, MatchData[Low Bar Teleop Crossings]*5)</f>
        <v>10</v>
      </c>
      <c r="AT31" s="5">
        <f ca="1">SUM(MatchData[[#This Row],[Portcullis Teleop Crossings]:[Low Bar Teleop Crossings]])</f>
        <v>3</v>
      </c>
      <c r="AU31" s="5">
        <f ca="1">IF(RANDBETWEEN(1,4)&gt;1,1,0)</f>
        <v>0</v>
      </c>
      <c r="AV31" s="5">
        <f ca="1">IF(MatchData[[#This Row],[Challenge Flag]]=1,0,IF(MatchData[[#This Row],[Climber]]=1,RANDBETWEEN(0,1),0))</f>
        <v>0</v>
      </c>
      <c r="AW31" s="5">
        <f ca="1">IF(MatchData[[#This Row],[Crossing Score]]&gt;=40,1,0)</f>
        <v>0</v>
      </c>
      <c r="AX31" s="5"/>
      <c r="AY31" s="5">
        <f ca="1">IF(RANDBETWEEN(1,100)&gt;95,1,0)</f>
        <v>0</v>
      </c>
      <c r="AZ31" s="5">
        <f ca="1">IF(RANDBETWEEN(1,100)&gt;80,1,0)</f>
        <v>1</v>
      </c>
      <c r="BA31" s="5">
        <f ca="1">IF(OR(MatchData[[#This Row],[Challenge Flag]],MatchData[[#This Row],[Climb Flag]]),1,0)</f>
        <v>0</v>
      </c>
      <c r="BB31" s="5">
        <f ca="1">MatchData[Auto High Goals]*10+MatchData[Teleop High Goals]*5</f>
        <v>0</v>
      </c>
      <c r="BC31" s="5">
        <f ca="1">MatchData[Auto Low Goals]*5+MatchData[Teleop Low Goals]*2</f>
        <v>0</v>
      </c>
      <c r="BD31" s="5">
        <f ca="1">MatchData[High Goal Score]+MatchData[Low Goal Score]</f>
        <v>0</v>
      </c>
      <c r="BE31" s="5">
        <f ca="1">MatchData[Teleop High Goals]+MatchData[Teleop Low Goals]</f>
        <v>0</v>
      </c>
      <c r="BF31" s="5">
        <f ca="1">MatchData[[#This Row],[Auto Reach Flag]]*2+SUM(MatchData[[#This Row],[Portcullis Auto Crossings]:[Low Bar Auto Crossings]])*10+MatchData[[#This Row],[Auto Low Goals]]*5+MatchData[Auto High Goals]*10</f>
        <v>2</v>
      </c>
      <c r="BG31" s="5">
        <f ca="1">SUM(MatchData[[#This Row],[Cheval Scored Teleop Crossings]:[Low Bar Scored Teleop Crossings]])</f>
        <v>15</v>
      </c>
      <c r="BH31" s="5">
        <f ca="1">MatchData[Challenge Flag]*5</f>
        <v>0</v>
      </c>
      <c r="BI31" s="5">
        <f ca="1">MatchData[Climb Flag]*15</f>
        <v>0</v>
      </c>
      <c r="BJ31" s="5">
        <f ca="1">SUM(MatchData[[#This Row],[Total Goal Score]],MatchData[[#This Row],[Crossing Score]],MatchData[[#This Row],[Challenge Score]],MatchData[[#This Row],[Climb Score]],MatchData[[#This Row],[Total Auto Score]])</f>
        <v>17</v>
      </c>
      <c r="BK31">
        <v>1</v>
      </c>
      <c r="BL31" s="5">
        <f ca="1">IF(RANDBETWEEN(0,10)&gt;=9,RANDBETWEEN(1,9),0)</f>
        <v>0</v>
      </c>
      <c r="BM31" s="5">
        <f>VLOOKUP(MatchData[[#This Row],[Persona]],Personas!$A$2:$O$5,3)</f>
        <v>0</v>
      </c>
      <c r="BN31" s="13">
        <f>VLOOKUP(MatchData[[#This Row],[Persona]],Personas!$A$2:$P$5,4)</f>
        <v>0</v>
      </c>
      <c r="BO31" s="13">
        <f>VLOOKUP(MatchData[[#This Row],[Persona]],Personas!$A$2:$P$5,5)</f>
        <v>0</v>
      </c>
      <c r="BP31" s="13">
        <f>VLOOKUP(MatchData[[#This Row],[Persona]],Personas!$A$2:$P$5,6)</f>
        <v>0</v>
      </c>
      <c r="BQ31" s="13">
        <f>VLOOKUP(MatchData[[#This Row],[Persona]],Personas!$A$2:$P$5,7)</f>
        <v>0</v>
      </c>
      <c r="BR31" s="13">
        <f>VLOOKUP(MatchData[[#This Row],[Persona]],Personas!$A$2:$P$5,8)</f>
        <v>0</v>
      </c>
      <c r="BS31" s="13">
        <f>VLOOKUP(MatchData[[#This Row],[Persona]],Personas!$A$2:$P$5,9)</f>
        <v>2</v>
      </c>
      <c r="BT31" s="13">
        <f>VLOOKUP(MatchData[[#This Row],[Persona]],Personas!$A$2:$P$5,10)</f>
        <v>2</v>
      </c>
      <c r="BU31" s="13">
        <f>VLOOKUP(MatchData[[#This Row],[Persona]],Personas!$A$2:$P$5,11)</f>
        <v>0</v>
      </c>
      <c r="BV31" s="13">
        <f>VLOOKUP(MatchData[[#This Row],[Persona]],Personas!$A$2:$P$5,12)</f>
        <v>0</v>
      </c>
      <c r="BW31" s="13">
        <f>VLOOKUP(MatchData[[#This Row],[Persona]],Personas!$A$2:$P$5,13)</f>
        <v>2</v>
      </c>
      <c r="BX31" s="13">
        <f>VLOOKUP(MatchData[[#This Row],[Persona]],Personas!$A$2:$P$5,14)</f>
        <v>2</v>
      </c>
      <c r="BY31" s="13">
        <f>VLOOKUP(MatchData[[#This Row],[Persona]],Personas!$A$2:$P$5,15)</f>
        <v>2</v>
      </c>
      <c r="BZ31" s="13">
        <f>VLOOKUP(MatchData[[#This Row],[Persona]],Personas!$A$2:$P$5,16)</f>
        <v>0</v>
      </c>
      <c r="CA31" s="14">
        <f ca="1">ROUND(SUMIF(MatchData[Team],MatchData[[#This Row],[Team]],MatchData[Teleop Low Goals])/COUNTIF(MatchData[Team],MatchData[[#This Row],[Team]]),2)</f>
        <v>0</v>
      </c>
      <c r="CB31" s="14">
        <f ca="1">ROUND(SUMIF(MatchData[Team],MatchData[[#This Row],[Team]],MatchData[Teleop High Goals])/COUNTIF(MatchData[Team],MatchData[[#This Row],[Team]]),2)</f>
        <v>0</v>
      </c>
      <c r="CC31" s="14">
        <f>COUNTIF(MatchData[Team],MatchData[[#This Row],[Team]])</f>
        <v>6</v>
      </c>
      <c r="CD31" s="14">
        <f>SUMIF(MatchData[Team],MatchData[[#This Row],[Team]],MatchData[Portcullis Available])</f>
        <v>2</v>
      </c>
      <c r="CE31" s="14">
        <f>SUMIF(MatchData[Team],MatchData[[#This Row],[Team]],MatchData[Cheval Available])</f>
        <v>4</v>
      </c>
      <c r="CF31" s="14">
        <f>SUMIF(MatchData[Team],MatchData[[#This Row],[Team]],MatchData[Moat Available])</f>
        <v>4</v>
      </c>
      <c r="CG31" s="14">
        <f>SUMIF(MatchData[Team],MatchData[[#This Row],[Team]],MatchData[Ramparts Available])</f>
        <v>2</v>
      </c>
      <c r="CH31" s="14">
        <f>SUMIF(MatchData[Team],MatchData[[#This Row],[Team]],MatchData[Drawbridge Available])</f>
        <v>3</v>
      </c>
      <c r="CI31" s="14">
        <f>SUMIF(MatchData[Team],MatchData[[#This Row],[Team]],MatchData[Sally Port Available])</f>
        <v>3</v>
      </c>
      <c r="CJ31" s="14">
        <f>SUMIF(MatchData[Team],MatchData[[#This Row],[Team]],MatchData[Rock Wall Available])</f>
        <v>3</v>
      </c>
      <c r="CK31" s="14">
        <f>SUMIF(MatchData[Team],MatchData[[#This Row],[Team]],MatchData[Rough Terrain Available])</f>
        <v>3</v>
      </c>
      <c r="CL31" s="14">
        <f>SUMIF(MatchData[Team],MatchData[[#This Row],[Team]],MatchData[Low Bar Available])</f>
        <v>6</v>
      </c>
      <c r="CM31" s="14">
        <f ca="1">SUMIF(MatchData[Team],MatchData[[#This Row],[Team]],MatchData[Portcullis Teleop Crossings])</f>
        <v>0</v>
      </c>
      <c r="CN31" s="14">
        <f ca="1">SUMIF(MatchData[Team],MatchData[[#This Row],[Team]],MatchData[Cheval Teleop Crossings])</f>
        <v>0</v>
      </c>
      <c r="CO31" s="14">
        <f ca="1">SUMIF(MatchData[Team],MatchData[[#This Row],[Team]],MatchData[Moat Teleop Crossings])</f>
        <v>1</v>
      </c>
      <c r="CP31" s="14">
        <f ca="1">SUMIF(MatchData[Team],MatchData[[#This Row],[Team]],MatchData[Ramparts Teleop Crossings])</f>
        <v>1</v>
      </c>
      <c r="CQ31" s="14">
        <f ca="1">SUMIF(MatchData[Team],MatchData[[#This Row],[Team]],MatchData[Drawbridge Teleop Crossings])</f>
        <v>0</v>
      </c>
      <c r="CR31" s="14">
        <f ca="1">SUMIF(MatchData[Team],MatchData[[#This Row],[Team]],MatchData[Sally Port Teleop Crossings])</f>
        <v>0</v>
      </c>
      <c r="CS31" s="14">
        <f ca="1">SUMIF(MatchData[Team],MatchData[[#This Row],[Team]],MatchData[Rock Wall Teleop Crossings])</f>
        <v>4</v>
      </c>
      <c r="CT31" s="14">
        <f ca="1">SUMIF(MatchData[Team],MatchData[[#This Row],[Team]],MatchData[Rough Terrain Teleop Crossings])</f>
        <v>5</v>
      </c>
      <c r="CU31" s="14">
        <f ca="1">SUMIF(MatchData[Team],MatchData[[#This Row],[Team]],MatchData[Low Bar Teleop Crossings])</f>
        <v>6</v>
      </c>
      <c r="CV31" s="14">
        <f ca="1">IFERROR(ROUND(MatchData[[#This Row],[Portcullis Sum]]/MatchData[[#This Row],[Portcullis Avail Count]],2),0)</f>
        <v>0</v>
      </c>
      <c r="CW31">
        <f ca="1">IFERROR(ROUND(MatchData[[#This Row],[Cheval Sum]]/MatchData[[#This Row],[Cheval Avail Count]],2),0)</f>
        <v>0</v>
      </c>
      <c r="CX31">
        <f ca="1">IFERROR(ROUND(MatchData[[#This Row],[Moat Sum]]/MatchData[[#This Row],[Moat Avail Count]],2),0)</f>
        <v>0.25</v>
      </c>
      <c r="CY31">
        <f ca="1">IFERROR(ROUND(MatchData[[#This Row],[Ramparts Sum]]/MatchData[[#This Row],[Ramparts Avail Count]],2),0)</f>
        <v>0.5</v>
      </c>
      <c r="CZ31">
        <f ca="1">IFERROR(ROUND(MatchData[[#This Row],[Drawbridge Sum]]/MatchData[[#This Row],[Drawbridge HAvail Countigh6]],2),0)</f>
        <v>0</v>
      </c>
      <c r="DA31">
        <f ca="1">IFERROR(ROUND(MatchData[[#This Row],[Sally Port Sum]]/MatchData[[#This Row],[Sally Port Avail Count]],2),0)</f>
        <v>0</v>
      </c>
      <c r="DB31">
        <f ca="1">IFERROR(ROUND(MatchData[[#This Row],[Rock Wall Sum]]/MatchData[[#This Row],[Rock Wall Avail Count]],2),0)</f>
        <v>1.33</v>
      </c>
      <c r="DC31">
        <f ca="1">IFERROR(ROUND(MatchData[[#This Row],[Rough Terrain Sum]]/MatchData[[#This Row],[Rough Terrain Avail Count]],2),0)</f>
        <v>1.67</v>
      </c>
      <c r="DD31">
        <f ca="1">IFERROR(ROUND(MatchData[[#This Row],[Low Bar Sum]]/MatchData[[#This Row],[Low Bar Avail Count]],2),0)</f>
        <v>1</v>
      </c>
      <c r="DE31" s="14">
        <f t="array" aca="1" ref="DE31" ca="1">MAX(IF(C$4:C$75=C31,BE$4:BE$75))</f>
        <v>0</v>
      </c>
      <c r="DF31" s="14">
        <f ca="1">AVERAGEIF(MatchData[Team],MatchData[Team],MatchData[Total Score])</f>
        <v>19.666666666666668</v>
      </c>
      <c r="DG31" s="14">
        <f ca="1">ROUND(AVERAGEIF(MatchData[Team],MatchData[Team],MatchData[Climb or Challenge Flag]),2)</f>
        <v>0.5</v>
      </c>
    </row>
    <row r="32" spans="1:111">
      <c r="A32" t="s">
        <v>54</v>
      </c>
      <c r="B32" s="4">
        <v>10</v>
      </c>
      <c r="C32">
        <v>1005</v>
      </c>
      <c r="D32" t="s">
        <v>55</v>
      </c>
      <c r="E32" t="s">
        <v>57</v>
      </c>
      <c r="F32">
        <f ca="1">IF(MatchData[[#This Row],[Persona]] = 4,RANDBETWEEN(0,1),0)</f>
        <v>0</v>
      </c>
      <c r="G32">
        <f ca="1">IF(MatchData[[#This Row],[Persona]] = 3,RANDBETWEEN(0,1),0)</f>
        <v>0</v>
      </c>
      <c r="H32">
        <f ca="1">RANDBETWEEN(MatchData[[#This Row],[High Goal Low]],MatchData[[#This Row],[High Goal High]])</f>
        <v>0</v>
      </c>
      <c r="I32">
        <f ca="1">RANDBETWEEN(MatchData[[#This Row],[Low Goal Low]],MatchData[[#This Row],[Low Goal High]])</f>
        <v>0</v>
      </c>
      <c r="J32" s="6"/>
      <c r="K32" s="6">
        <v>1</v>
      </c>
      <c r="L32" s="6">
        <v>1</v>
      </c>
      <c r="M32" s="6"/>
      <c r="N32" s="6">
        <v>1</v>
      </c>
      <c r="O32" s="6"/>
      <c r="P32" s="6"/>
      <c r="Q32" s="5">
        <v>1</v>
      </c>
      <c r="R32" s="5">
        <v>1</v>
      </c>
      <c r="S32" s="5">
        <f ca="1">IF(MatchData[[#This Row],[Auto Crossing Test Generator]]=0,RANDBETWEEN(0,1),0)</f>
        <v>0</v>
      </c>
      <c r="T32" s="5">
        <f ca="1">IF(MatchData[Auto Crossing Test Generator]=1,1,0)</f>
        <v>0</v>
      </c>
      <c r="U32" s="5">
        <f ca="1">IF(MatchData[[#This Row],[Auto Crossing Test Generator]]=2,RANDBETWEEN(0,1),0)</f>
        <v>0</v>
      </c>
      <c r="V32" s="5">
        <f ca="1">IF(MatchData[[#This Row],[Auto Crossing Test Generator]]=3,RANDBETWEEN(0,1),0)</f>
        <v>0</v>
      </c>
      <c r="W32" s="5">
        <f ca="1">IF(MatchData[[#This Row],[Auto Crossing Test Generator]]=4,RANDBETWEEN(0,1),0)</f>
        <v>0</v>
      </c>
      <c r="X32" s="5">
        <f ca="1">IF(MatchData[[#This Row],[Auto Crossing Test Generator]]=5,RANDBETWEEN(0,1),0)</f>
        <v>0</v>
      </c>
      <c r="Y32" s="5">
        <f ca="1">IF(MatchData[[#This Row],[Auto Crossing Test Generator]]=6,RANDBETWEEN(0,1),0)</f>
        <v>0</v>
      </c>
      <c r="Z32" s="5">
        <f ca="1">IF(MatchData[[#This Row],[Auto Crossing Test Generator]]=7,RANDBETWEEN(0,1),0)</f>
        <v>0</v>
      </c>
      <c r="AA32" s="5">
        <f ca="1">IF(MatchData[[#This Row],[Auto Crossing Test Generator]]=8,RANDBETWEEN(0,1),0)</f>
        <v>0</v>
      </c>
      <c r="AB32" s="5">
        <f ca="1">IF(MatchData[[#This Row],[Auto Crossing Test Generator]]&gt;8,RANDBETWEEN(0,1),0)</f>
        <v>0</v>
      </c>
      <c r="AC32" s="5">
        <f ca="1">IF(MatchData[[#This Row],[Auto Crossing Test Generator]]=9,RANDBETWEEN(0,1),0)</f>
        <v>0</v>
      </c>
      <c r="AD32" s="5">
        <f ca="1">IF(MatchData[[#This Row],[Cheval Available]]=1,RANDBETWEEN(0,MatchData[[#This Row],[Cheval High]]),0)</f>
        <v>0</v>
      </c>
      <c r="AE32" s="5">
        <f ca="1">IF(MatchData[[#This Row],[Moat Available]]=1,RANDBETWEEN(0,MatchData[[#This Row],[Moat High]]),0)</f>
        <v>0</v>
      </c>
      <c r="AF32" s="5">
        <f ca="1">IF(MatchData[[#This Row],[Ramparts Available]]=1,RANDBETWEEN(0,MatchData[[#This Row],[Ramparts High]]),0)</f>
        <v>0</v>
      </c>
      <c r="AG32" s="5">
        <f ca="1">IF(MatchData[[#This Row],[Drawbridge Available]]=1,RANDBETWEEN(0,MatchData[[#This Row],[Drawbridge High]]),0)</f>
        <v>0</v>
      </c>
      <c r="AH32" s="5">
        <f ca="1">IF(MatchData[[#This Row],[Sally Port Available]]=1,RANDBETWEEN(0,MatchData[[#This Row],[Sally Port High]]),0)</f>
        <v>0</v>
      </c>
      <c r="AI32" s="5">
        <f ca="1">IF(MatchData[[#This Row],[Rock Wall Available]]=1,RANDBETWEEN(0,MatchData[[#This Row],[Rock Wall High]]),0)</f>
        <v>0</v>
      </c>
      <c r="AJ32" s="5">
        <f ca="1">IF(MatchData[[#This Row],[Rough Terrain Available]]=1,RANDBETWEEN(0,MatchData[[#This Row],[Rough Terrain High]]),0)</f>
        <v>2</v>
      </c>
      <c r="AK32" s="5">
        <f ca="1">IF(MatchData[[#This Row],[Low Bar Available]]=1,RANDBETWEEN(0,MatchData[[#This Row],[Low Bar High]]),0)</f>
        <v>1</v>
      </c>
      <c r="AL32" s="5">
        <f ca="1">IF(MatchData[Cheval Teleop Crossings]&gt;3,10, MatchData[Cheval Teleop Crossings]*5)</f>
        <v>0</v>
      </c>
      <c r="AM32" s="5">
        <f ca="1">IF(MatchData[Moat Teleop Crossings]&gt;3,10, MatchData[Moat Teleop Crossings]*5)</f>
        <v>0</v>
      </c>
      <c r="AN32" s="5">
        <f ca="1">IF(MatchData[Ramparts Teleop Crossings]&gt;3,10, MatchData[Ramparts Teleop Crossings]*5)</f>
        <v>0</v>
      </c>
      <c r="AO32" s="5">
        <f ca="1">IF(MatchData[Drawbridge Teleop Crossings]&gt;3,10, MatchData[Drawbridge Teleop Crossings]*5)</f>
        <v>0</v>
      </c>
      <c r="AP32" s="5">
        <f ca="1">IF(MatchData[Sally Port Teleop Crossings]&gt;3,10, MatchData[Sally Port Teleop Crossings]*5)</f>
        <v>0</v>
      </c>
      <c r="AQ32" s="5">
        <f ca="1">IF(MatchData[Rock Wall Teleop Crossings]&gt;3,10, MatchData[Rock Wall Teleop Crossings]*5)</f>
        <v>0</v>
      </c>
      <c r="AR32" s="5">
        <f ca="1">IF(MatchData[Rough Terrain Teleop Crossings]&gt;3,10, MatchData[Rough Terrain Teleop Crossings]*5)</f>
        <v>10</v>
      </c>
      <c r="AS32" s="5">
        <f ca="1">IF(MatchData[Low Bar Teleop Crossings]&gt;3,10, MatchData[Low Bar Teleop Crossings]*5)</f>
        <v>5</v>
      </c>
      <c r="AT32" s="5">
        <f ca="1">SUM(MatchData[[#This Row],[Portcullis Teleop Crossings]:[Low Bar Teleop Crossings]])</f>
        <v>3</v>
      </c>
      <c r="AU32" s="5">
        <f ca="1">IF(RANDBETWEEN(1,4)&gt;1,1,0)</f>
        <v>1</v>
      </c>
      <c r="AV32" s="5">
        <f ca="1">IF(MatchData[[#This Row],[Challenge Flag]]=1,0,IF(MatchData[[#This Row],[Climber]]=1,RANDBETWEEN(0,1),0))</f>
        <v>0</v>
      </c>
      <c r="AW32" s="5">
        <f ca="1">IF(MatchData[[#This Row],[Crossing Score]]&gt;=40,1,0)</f>
        <v>0</v>
      </c>
      <c r="AX32" s="5"/>
      <c r="AY32" s="5">
        <f ca="1">IF(RANDBETWEEN(1,100)&gt;95,1,0)</f>
        <v>0</v>
      </c>
      <c r="AZ32" s="5">
        <f ca="1">IF(RANDBETWEEN(1,100)&gt;80,1,0)</f>
        <v>0</v>
      </c>
      <c r="BA32" s="5">
        <f ca="1">IF(OR(MatchData[[#This Row],[Challenge Flag]],MatchData[[#This Row],[Climb Flag]]),1,0)</f>
        <v>1</v>
      </c>
      <c r="BB32" s="5">
        <f ca="1">MatchData[Auto High Goals]*10+MatchData[Teleop High Goals]*5</f>
        <v>0</v>
      </c>
      <c r="BC32" s="5">
        <f ca="1">MatchData[Auto Low Goals]*5+MatchData[Teleop Low Goals]*2</f>
        <v>0</v>
      </c>
      <c r="BD32" s="5">
        <f ca="1">MatchData[High Goal Score]+MatchData[Low Goal Score]</f>
        <v>0</v>
      </c>
      <c r="BE32" s="5">
        <f ca="1">MatchData[Teleop High Goals]+MatchData[Teleop Low Goals]</f>
        <v>0</v>
      </c>
      <c r="BF32" s="5">
        <f ca="1">MatchData[[#This Row],[Auto Reach Flag]]*2+SUM(MatchData[[#This Row],[Portcullis Auto Crossings]:[Low Bar Auto Crossings]])*10+MatchData[[#This Row],[Auto Low Goals]]*5+MatchData[Auto High Goals]*10</f>
        <v>0</v>
      </c>
      <c r="BG32" s="5">
        <f ca="1">SUM(MatchData[[#This Row],[Cheval Scored Teleop Crossings]:[Low Bar Scored Teleop Crossings]])</f>
        <v>15</v>
      </c>
      <c r="BH32" s="5">
        <f ca="1">MatchData[Challenge Flag]*5</f>
        <v>5</v>
      </c>
      <c r="BI32" s="5">
        <f ca="1">MatchData[Climb Flag]*15</f>
        <v>0</v>
      </c>
      <c r="BJ32" s="5">
        <f ca="1">SUM(MatchData[[#This Row],[Total Goal Score]],MatchData[[#This Row],[Crossing Score]],MatchData[[#This Row],[Challenge Score]],MatchData[[#This Row],[Climb Score]],MatchData[[#This Row],[Total Auto Score]])</f>
        <v>20</v>
      </c>
      <c r="BK32">
        <v>1</v>
      </c>
      <c r="BL32" s="5">
        <f ca="1">IF(RANDBETWEEN(0,10)&gt;=9,RANDBETWEEN(1,9),0)</f>
        <v>0</v>
      </c>
      <c r="BM32" s="5">
        <f>VLOOKUP(MatchData[[#This Row],[Persona]],Personas!$A$2:$O$5,3)</f>
        <v>0</v>
      </c>
      <c r="BN32" s="13">
        <f>VLOOKUP(MatchData[[#This Row],[Persona]],Personas!$A$2:$P$5,4)</f>
        <v>0</v>
      </c>
      <c r="BO32" s="13">
        <f>VLOOKUP(MatchData[[#This Row],[Persona]],Personas!$A$2:$P$5,5)</f>
        <v>0</v>
      </c>
      <c r="BP32" s="13">
        <f>VLOOKUP(MatchData[[#This Row],[Persona]],Personas!$A$2:$P$5,6)</f>
        <v>0</v>
      </c>
      <c r="BQ32" s="13">
        <f>VLOOKUP(MatchData[[#This Row],[Persona]],Personas!$A$2:$P$5,7)</f>
        <v>0</v>
      </c>
      <c r="BR32" s="13">
        <f>VLOOKUP(MatchData[[#This Row],[Persona]],Personas!$A$2:$P$5,8)</f>
        <v>0</v>
      </c>
      <c r="BS32" s="13">
        <f>VLOOKUP(MatchData[[#This Row],[Persona]],Personas!$A$2:$P$5,9)</f>
        <v>2</v>
      </c>
      <c r="BT32" s="13">
        <f>VLOOKUP(MatchData[[#This Row],[Persona]],Personas!$A$2:$P$5,10)</f>
        <v>2</v>
      </c>
      <c r="BU32" s="13">
        <f>VLOOKUP(MatchData[[#This Row],[Persona]],Personas!$A$2:$P$5,11)</f>
        <v>0</v>
      </c>
      <c r="BV32" s="13">
        <f>VLOOKUP(MatchData[[#This Row],[Persona]],Personas!$A$2:$P$5,12)</f>
        <v>0</v>
      </c>
      <c r="BW32" s="13">
        <f>VLOOKUP(MatchData[[#This Row],[Persona]],Personas!$A$2:$P$5,13)</f>
        <v>2</v>
      </c>
      <c r="BX32" s="13">
        <f>VLOOKUP(MatchData[[#This Row],[Persona]],Personas!$A$2:$P$5,14)</f>
        <v>2</v>
      </c>
      <c r="BY32" s="13">
        <f>VLOOKUP(MatchData[[#This Row],[Persona]],Personas!$A$2:$P$5,15)</f>
        <v>2</v>
      </c>
      <c r="BZ32" s="13">
        <f>VLOOKUP(MatchData[[#This Row],[Persona]],Personas!$A$2:$P$5,16)</f>
        <v>0</v>
      </c>
      <c r="CA32" s="14">
        <f ca="1">ROUND(SUMIF(MatchData[Team],MatchData[[#This Row],[Team]],MatchData[Teleop Low Goals])/COUNTIF(MatchData[Team],MatchData[[#This Row],[Team]]),2)</f>
        <v>0</v>
      </c>
      <c r="CB32" s="14">
        <f ca="1">ROUND(SUMIF(MatchData[Team],MatchData[[#This Row],[Team]],MatchData[Teleop High Goals])/COUNTIF(MatchData[Team],MatchData[[#This Row],[Team]]),2)</f>
        <v>0</v>
      </c>
      <c r="CC32" s="14">
        <f>COUNTIF(MatchData[Team],MatchData[[#This Row],[Team]])</f>
        <v>6</v>
      </c>
      <c r="CD32" s="14">
        <f>SUMIF(MatchData[Team],MatchData[[#This Row],[Team]],MatchData[Portcullis Available])</f>
        <v>2</v>
      </c>
      <c r="CE32" s="14">
        <f>SUMIF(MatchData[Team],MatchData[[#This Row],[Team]],MatchData[Cheval Available])</f>
        <v>4</v>
      </c>
      <c r="CF32" s="14">
        <f>SUMIF(MatchData[Team],MatchData[[#This Row],[Team]],MatchData[Moat Available])</f>
        <v>4</v>
      </c>
      <c r="CG32" s="14">
        <f>SUMIF(MatchData[Team],MatchData[[#This Row],[Team]],MatchData[Ramparts Available])</f>
        <v>2</v>
      </c>
      <c r="CH32" s="14">
        <f>SUMIF(MatchData[Team],MatchData[[#This Row],[Team]],MatchData[Drawbridge Available])</f>
        <v>3</v>
      </c>
      <c r="CI32" s="14">
        <f>SUMIF(MatchData[Team],MatchData[[#This Row],[Team]],MatchData[Sally Port Available])</f>
        <v>3</v>
      </c>
      <c r="CJ32" s="14">
        <f>SUMIF(MatchData[Team],MatchData[[#This Row],[Team]],MatchData[Rock Wall Available])</f>
        <v>3</v>
      </c>
      <c r="CK32" s="14">
        <f>SUMIF(MatchData[Team],MatchData[[#This Row],[Team]],MatchData[Rough Terrain Available])</f>
        <v>3</v>
      </c>
      <c r="CL32" s="14">
        <f>SUMIF(MatchData[Team],MatchData[[#This Row],[Team]],MatchData[Low Bar Available])</f>
        <v>6</v>
      </c>
      <c r="CM32" s="14">
        <f ca="1">SUMIF(MatchData[Team],MatchData[[#This Row],[Team]],MatchData[Portcullis Teleop Crossings])</f>
        <v>0</v>
      </c>
      <c r="CN32" s="14">
        <f ca="1">SUMIF(MatchData[Team],MatchData[[#This Row],[Team]],MatchData[Cheval Teleop Crossings])</f>
        <v>0</v>
      </c>
      <c r="CO32" s="14">
        <f ca="1">SUMIF(MatchData[Team],MatchData[[#This Row],[Team]],MatchData[Moat Teleop Crossings])</f>
        <v>1</v>
      </c>
      <c r="CP32" s="14">
        <f ca="1">SUMIF(MatchData[Team],MatchData[[#This Row],[Team]],MatchData[Ramparts Teleop Crossings])</f>
        <v>1</v>
      </c>
      <c r="CQ32" s="14">
        <f ca="1">SUMIF(MatchData[Team],MatchData[[#This Row],[Team]],MatchData[Drawbridge Teleop Crossings])</f>
        <v>0</v>
      </c>
      <c r="CR32" s="14">
        <f ca="1">SUMIF(MatchData[Team],MatchData[[#This Row],[Team]],MatchData[Sally Port Teleop Crossings])</f>
        <v>0</v>
      </c>
      <c r="CS32" s="14">
        <f ca="1">SUMIF(MatchData[Team],MatchData[[#This Row],[Team]],MatchData[Rock Wall Teleop Crossings])</f>
        <v>4</v>
      </c>
      <c r="CT32" s="14">
        <f ca="1">SUMIF(MatchData[Team],MatchData[[#This Row],[Team]],MatchData[Rough Terrain Teleop Crossings])</f>
        <v>5</v>
      </c>
      <c r="CU32" s="14">
        <f ca="1">SUMIF(MatchData[Team],MatchData[[#This Row],[Team]],MatchData[Low Bar Teleop Crossings])</f>
        <v>6</v>
      </c>
      <c r="CV32" s="14">
        <f ca="1">IFERROR(ROUND(MatchData[[#This Row],[Portcullis Sum]]/MatchData[[#This Row],[Portcullis Avail Count]],2),0)</f>
        <v>0</v>
      </c>
      <c r="CW32">
        <f ca="1">IFERROR(ROUND(MatchData[[#This Row],[Cheval Sum]]/MatchData[[#This Row],[Cheval Avail Count]],2),0)</f>
        <v>0</v>
      </c>
      <c r="CX32">
        <f ca="1">IFERROR(ROUND(MatchData[[#This Row],[Moat Sum]]/MatchData[[#This Row],[Moat Avail Count]],2),0)</f>
        <v>0.25</v>
      </c>
      <c r="CY32">
        <f ca="1">IFERROR(ROUND(MatchData[[#This Row],[Ramparts Sum]]/MatchData[[#This Row],[Ramparts Avail Count]],2),0)</f>
        <v>0.5</v>
      </c>
      <c r="CZ32">
        <f ca="1">IFERROR(ROUND(MatchData[[#This Row],[Drawbridge Sum]]/MatchData[[#This Row],[Drawbridge HAvail Countigh6]],2),0)</f>
        <v>0</v>
      </c>
      <c r="DA32">
        <f ca="1">IFERROR(ROUND(MatchData[[#This Row],[Sally Port Sum]]/MatchData[[#This Row],[Sally Port Avail Count]],2),0)</f>
        <v>0</v>
      </c>
      <c r="DB32">
        <f ca="1">IFERROR(ROUND(MatchData[[#This Row],[Rock Wall Sum]]/MatchData[[#This Row],[Rock Wall Avail Count]],2),0)</f>
        <v>1.33</v>
      </c>
      <c r="DC32">
        <f ca="1">IFERROR(ROUND(MatchData[[#This Row],[Rough Terrain Sum]]/MatchData[[#This Row],[Rough Terrain Avail Count]],2),0)</f>
        <v>1.67</v>
      </c>
      <c r="DD32">
        <f ca="1">IFERROR(ROUND(MatchData[[#This Row],[Low Bar Sum]]/MatchData[[#This Row],[Low Bar Avail Count]],2),0)</f>
        <v>1</v>
      </c>
      <c r="DE32" s="14">
        <f t="array" aca="1" ref="DE32" ca="1">MAX(IF(C$4:C$75=C32,BE$4:BE$75))</f>
        <v>0</v>
      </c>
      <c r="DF32" s="14">
        <f ca="1">AVERAGEIF(MatchData[Team],MatchData[Team],MatchData[Total Score])</f>
        <v>19.666666666666668</v>
      </c>
      <c r="DG32" s="14">
        <f ca="1">ROUND(AVERAGEIF(MatchData[Team],MatchData[Team],MatchData[Climb or Challenge Flag]),2)</f>
        <v>0.5</v>
      </c>
    </row>
    <row r="33" spans="1:111">
      <c r="A33" t="s">
        <v>54</v>
      </c>
      <c r="B33" s="4">
        <v>12</v>
      </c>
      <c r="C33">
        <v>1005</v>
      </c>
      <c r="D33" t="s">
        <v>56</v>
      </c>
      <c r="E33" t="s">
        <v>62</v>
      </c>
      <c r="F33">
        <f ca="1">IF(MatchData[[#This Row],[Persona]] = 4,RANDBETWEEN(0,1),0)</f>
        <v>0</v>
      </c>
      <c r="G33">
        <f ca="1">IF(MatchData[[#This Row],[Persona]] = 3,RANDBETWEEN(0,1),0)</f>
        <v>0</v>
      </c>
      <c r="H33">
        <f ca="1">RANDBETWEEN(MatchData[[#This Row],[High Goal Low]],MatchData[[#This Row],[High Goal High]])</f>
        <v>0</v>
      </c>
      <c r="I33">
        <f ca="1">RANDBETWEEN(MatchData[[#This Row],[Low Goal Low]],MatchData[[#This Row],[Low Goal High]])</f>
        <v>0</v>
      </c>
      <c r="J33" s="6"/>
      <c r="K33" s="6">
        <v>1</v>
      </c>
      <c r="L33" s="6">
        <v>1</v>
      </c>
      <c r="M33" s="6"/>
      <c r="N33" s="6"/>
      <c r="O33" s="6">
        <v>1</v>
      </c>
      <c r="P33" s="6">
        <v>1</v>
      </c>
      <c r="Q33" s="5"/>
      <c r="R33" s="5">
        <v>1</v>
      </c>
      <c r="S33" s="5">
        <f ca="1">IF(MatchData[[#This Row],[Auto Crossing Test Generator]]=0,RANDBETWEEN(0,1),0)</f>
        <v>0</v>
      </c>
      <c r="T33" s="5">
        <f ca="1">IF(MatchData[Auto Crossing Test Generator]=1,1,0)</f>
        <v>0</v>
      </c>
      <c r="U33" s="5">
        <f ca="1">IF(MatchData[[#This Row],[Auto Crossing Test Generator]]=2,RANDBETWEEN(0,1),0)</f>
        <v>0</v>
      </c>
      <c r="V33" s="5">
        <f ca="1">IF(MatchData[[#This Row],[Auto Crossing Test Generator]]=3,RANDBETWEEN(0,1),0)</f>
        <v>0</v>
      </c>
      <c r="W33" s="5">
        <f ca="1">IF(MatchData[[#This Row],[Auto Crossing Test Generator]]=4,RANDBETWEEN(0,1),0)</f>
        <v>1</v>
      </c>
      <c r="X33" s="5">
        <f ca="1">IF(MatchData[[#This Row],[Auto Crossing Test Generator]]=5,RANDBETWEEN(0,1),0)</f>
        <v>0</v>
      </c>
      <c r="Y33" s="5">
        <f ca="1">IF(MatchData[[#This Row],[Auto Crossing Test Generator]]=6,RANDBETWEEN(0,1),0)</f>
        <v>0</v>
      </c>
      <c r="Z33" s="5">
        <f ca="1">IF(MatchData[[#This Row],[Auto Crossing Test Generator]]=7,RANDBETWEEN(0,1),0)</f>
        <v>0</v>
      </c>
      <c r="AA33" s="5">
        <f ca="1">IF(MatchData[[#This Row],[Auto Crossing Test Generator]]=8,RANDBETWEEN(0,1),0)</f>
        <v>0</v>
      </c>
      <c r="AB33" s="5">
        <f ca="1">IF(MatchData[[#This Row],[Auto Crossing Test Generator]]&gt;8,RANDBETWEEN(0,1),0)</f>
        <v>0</v>
      </c>
      <c r="AC33" s="5">
        <f ca="1">IF(MatchData[[#This Row],[Auto Crossing Test Generator]]=9,RANDBETWEEN(0,1),0)</f>
        <v>0</v>
      </c>
      <c r="AD33" s="5">
        <f ca="1">IF(MatchData[[#This Row],[Cheval Available]]=1,RANDBETWEEN(0,MatchData[[#This Row],[Cheval High]]),0)</f>
        <v>0</v>
      </c>
      <c r="AE33" s="5">
        <f ca="1">IF(MatchData[[#This Row],[Moat Available]]=1,RANDBETWEEN(0,MatchData[[#This Row],[Moat High]]),0)</f>
        <v>0</v>
      </c>
      <c r="AF33" s="5">
        <f ca="1">IF(MatchData[[#This Row],[Ramparts Available]]=1,RANDBETWEEN(0,MatchData[[#This Row],[Ramparts High]]),0)</f>
        <v>0</v>
      </c>
      <c r="AG33" s="5">
        <f ca="1">IF(MatchData[[#This Row],[Drawbridge Available]]=1,RANDBETWEEN(0,MatchData[[#This Row],[Drawbridge High]]),0)</f>
        <v>0</v>
      </c>
      <c r="AH33" s="5">
        <f ca="1">IF(MatchData[[#This Row],[Sally Port Available]]=1,RANDBETWEEN(0,MatchData[[#This Row],[Sally Port High]]),0)</f>
        <v>0</v>
      </c>
      <c r="AI33" s="5">
        <f ca="1">IF(MatchData[[#This Row],[Rock Wall Available]]=1,RANDBETWEEN(0,MatchData[[#This Row],[Rock Wall High]]),0)</f>
        <v>2</v>
      </c>
      <c r="AJ33" s="5">
        <f ca="1">IF(MatchData[[#This Row],[Rough Terrain Available]]=1,RANDBETWEEN(0,MatchData[[#This Row],[Rough Terrain High]]),0)</f>
        <v>0</v>
      </c>
      <c r="AK33" s="5">
        <f ca="1">IF(MatchData[[#This Row],[Low Bar Available]]=1,RANDBETWEEN(0,MatchData[[#This Row],[Low Bar High]]),0)</f>
        <v>0</v>
      </c>
      <c r="AL33" s="5">
        <f ca="1">IF(MatchData[Cheval Teleop Crossings]&gt;3,10, MatchData[Cheval Teleop Crossings]*5)</f>
        <v>0</v>
      </c>
      <c r="AM33" s="5">
        <f ca="1">IF(MatchData[Moat Teleop Crossings]&gt;3,10, MatchData[Moat Teleop Crossings]*5)</f>
        <v>0</v>
      </c>
      <c r="AN33" s="5">
        <f ca="1">IF(MatchData[Ramparts Teleop Crossings]&gt;3,10, MatchData[Ramparts Teleop Crossings]*5)</f>
        <v>0</v>
      </c>
      <c r="AO33" s="5">
        <f ca="1">IF(MatchData[Drawbridge Teleop Crossings]&gt;3,10, MatchData[Drawbridge Teleop Crossings]*5)</f>
        <v>0</v>
      </c>
      <c r="AP33" s="5">
        <f ca="1">IF(MatchData[Sally Port Teleop Crossings]&gt;3,10, MatchData[Sally Port Teleop Crossings]*5)</f>
        <v>0</v>
      </c>
      <c r="AQ33" s="5">
        <f ca="1">IF(MatchData[Rock Wall Teleop Crossings]&gt;3,10, MatchData[Rock Wall Teleop Crossings]*5)</f>
        <v>10</v>
      </c>
      <c r="AR33" s="5">
        <f ca="1">IF(MatchData[Rough Terrain Teleop Crossings]&gt;3,10, MatchData[Rough Terrain Teleop Crossings]*5)</f>
        <v>0</v>
      </c>
      <c r="AS33" s="5">
        <f ca="1">IF(MatchData[Low Bar Teleop Crossings]&gt;3,10, MatchData[Low Bar Teleop Crossings]*5)</f>
        <v>0</v>
      </c>
      <c r="AT33" s="5">
        <f ca="1">SUM(MatchData[[#This Row],[Portcullis Teleop Crossings]:[Low Bar Teleop Crossings]])</f>
        <v>2</v>
      </c>
      <c r="AU33" s="5">
        <f ca="1">IF(RANDBETWEEN(1,4)&gt;1,1,0)</f>
        <v>0</v>
      </c>
      <c r="AV33" s="5">
        <f ca="1">IF(MatchData[[#This Row],[Challenge Flag]]=1,0,IF(MatchData[[#This Row],[Climber]]=1,RANDBETWEEN(0,1),0))</f>
        <v>0</v>
      </c>
      <c r="AW33" s="5">
        <f ca="1">IF(MatchData[[#This Row],[Crossing Score]]&gt;=40,1,0)</f>
        <v>0</v>
      </c>
      <c r="AX33" s="5"/>
      <c r="AY33" s="5">
        <f ca="1">IF(RANDBETWEEN(1,100)&gt;95,1,0)</f>
        <v>0</v>
      </c>
      <c r="AZ33" s="5">
        <f ca="1">IF(RANDBETWEEN(1,100)&gt;80,1,0)</f>
        <v>0</v>
      </c>
      <c r="BA33" s="5">
        <f ca="1">IF(OR(MatchData[[#This Row],[Challenge Flag]],MatchData[[#This Row],[Climb Flag]]),1,0)</f>
        <v>0</v>
      </c>
      <c r="BB33" s="5">
        <f ca="1">MatchData[Auto High Goals]*10+MatchData[Teleop High Goals]*5</f>
        <v>0</v>
      </c>
      <c r="BC33" s="5">
        <f ca="1">MatchData[Auto Low Goals]*5+MatchData[Teleop Low Goals]*2</f>
        <v>0</v>
      </c>
      <c r="BD33" s="5">
        <f ca="1">MatchData[High Goal Score]+MatchData[Low Goal Score]</f>
        <v>0</v>
      </c>
      <c r="BE33" s="5">
        <f ca="1">MatchData[Teleop High Goals]+MatchData[Teleop Low Goals]</f>
        <v>0</v>
      </c>
      <c r="BF33" s="5">
        <f ca="1">MatchData[[#This Row],[Auto Reach Flag]]*2+SUM(MatchData[[#This Row],[Portcullis Auto Crossings]:[Low Bar Auto Crossings]])*10+MatchData[[#This Row],[Auto Low Goals]]*5+MatchData[Auto High Goals]*10</f>
        <v>10</v>
      </c>
      <c r="BG33" s="5">
        <f ca="1">SUM(MatchData[[#This Row],[Cheval Scored Teleop Crossings]:[Low Bar Scored Teleop Crossings]])</f>
        <v>10</v>
      </c>
      <c r="BH33" s="5">
        <f ca="1">MatchData[Challenge Flag]*5</f>
        <v>0</v>
      </c>
      <c r="BI33" s="5">
        <f ca="1">MatchData[Climb Flag]*15</f>
        <v>0</v>
      </c>
      <c r="BJ33" s="5">
        <f ca="1">SUM(MatchData[[#This Row],[Total Goal Score]],MatchData[[#This Row],[Crossing Score]],MatchData[[#This Row],[Challenge Score]],MatchData[[#This Row],[Climb Score]],MatchData[[#This Row],[Total Auto Score]])</f>
        <v>20</v>
      </c>
      <c r="BK33">
        <v>1</v>
      </c>
      <c r="BL33" s="5">
        <f ca="1">IF(RANDBETWEEN(0,10)&gt;=9,RANDBETWEEN(1,9),0)</f>
        <v>4</v>
      </c>
      <c r="BM33" s="5">
        <f>VLOOKUP(MatchData[[#This Row],[Persona]],Personas!$A$2:$O$5,3)</f>
        <v>0</v>
      </c>
      <c r="BN33" s="13">
        <f>VLOOKUP(MatchData[[#This Row],[Persona]],Personas!$A$2:$P$5,4)</f>
        <v>0</v>
      </c>
      <c r="BO33" s="13">
        <f>VLOOKUP(MatchData[[#This Row],[Persona]],Personas!$A$2:$P$5,5)</f>
        <v>0</v>
      </c>
      <c r="BP33" s="13">
        <f>VLOOKUP(MatchData[[#This Row],[Persona]],Personas!$A$2:$P$5,6)</f>
        <v>0</v>
      </c>
      <c r="BQ33" s="13">
        <f>VLOOKUP(MatchData[[#This Row],[Persona]],Personas!$A$2:$P$5,7)</f>
        <v>0</v>
      </c>
      <c r="BR33" s="13">
        <f>VLOOKUP(MatchData[[#This Row],[Persona]],Personas!$A$2:$P$5,8)</f>
        <v>0</v>
      </c>
      <c r="BS33" s="13">
        <f>VLOOKUP(MatchData[[#This Row],[Persona]],Personas!$A$2:$P$5,9)</f>
        <v>2</v>
      </c>
      <c r="BT33" s="13">
        <f>VLOOKUP(MatchData[[#This Row],[Persona]],Personas!$A$2:$P$5,10)</f>
        <v>2</v>
      </c>
      <c r="BU33" s="13">
        <f>VLOOKUP(MatchData[[#This Row],[Persona]],Personas!$A$2:$P$5,11)</f>
        <v>0</v>
      </c>
      <c r="BV33" s="13">
        <f>VLOOKUP(MatchData[[#This Row],[Persona]],Personas!$A$2:$P$5,12)</f>
        <v>0</v>
      </c>
      <c r="BW33" s="13">
        <f>VLOOKUP(MatchData[[#This Row],[Persona]],Personas!$A$2:$P$5,13)</f>
        <v>2</v>
      </c>
      <c r="BX33" s="13">
        <f>VLOOKUP(MatchData[[#This Row],[Persona]],Personas!$A$2:$P$5,14)</f>
        <v>2</v>
      </c>
      <c r="BY33" s="13">
        <f>VLOOKUP(MatchData[[#This Row],[Persona]],Personas!$A$2:$P$5,15)</f>
        <v>2</v>
      </c>
      <c r="BZ33" s="13">
        <f>VLOOKUP(MatchData[[#This Row],[Persona]],Personas!$A$2:$P$5,16)</f>
        <v>0</v>
      </c>
      <c r="CA33" s="14">
        <f ca="1">ROUND(SUMIF(MatchData[Team],MatchData[[#This Row],[Team]],MatchData[Teleop Low Goals])/COUNTIF(MatchData[Team],MatchData[[#This Row],[Team]]),2)</f>
        <v>0</v>
      </c>
      <c r="CB33" s="14">
        <f ca="1">ROUND(SUMIF(MatchData[Team],MatchData[[#This Row],[Team]],MatchData[Teleop High Goals])/COUNTIF(MatchData[Team],MatchData[[#This Row],[Team]]),2)</f>
        <v>0</v>
      </c>
      <c r="CC33" s="14">
        <f>COUNTIF(MatchData[Team],MatchData[[#This Row],[Team]])</f>
        <v>6</v>
      </c>
      <c r="CD33" s="14">
        <f>SUMIF(MatchData[Team],MatchData[[#This Row],[Team]],MatchData[Portcullis Available])</f>
        <v>2</v>
      </c>
      <c r="CE33" s="14">
        <f>SUMIF(MatchData[Team],MatchData[[#This Row],[Team]],MatchData[Cheval Available])</f>
        <v>4</v>
      </c>
      <c r="CF33" s="14">
        <f>SUMIF(MatchData[Team],MatchData[[#This Row],[Team]],MatchData[Moat Available])</f>
        <v>4</v>
      </c>
      <c r="CG33" s="14">
        <f>SUMIF(MatchData[Team],MatchData[[#This Row],[Team]],MatchData[Ramparts Available])</f>
        <v>2</v>
      </c>
      <c r="CH33" s="14">
        <f>SUMIF(MatchData[Team],MatchData[[#This Row],[Team]],MatchData[Drawbridge Available])</f>
        <v>3</v>
      </c>
      <c r="CI33" s="14">
        <f>SUMIF(MatchData[Team],MatchData[[#This Row],[Team]],MatchData[Sally Port Available])</f>
        <v>3</v>
      </c>
      <c r="CJ33" s="14">
        <f>SUMIF(MatchData[Team],MatchData[[#This Row],[Team]],MatchData[Rock Wall Available])</f>
        <v>3</v>
      </c>
      <c r="CK33" s="14">
        <f>SUMIF(MatchData[Team],MatchData[[#This Row],[Team]],MatchData[Rough Terrain Available])</f>
        <v>3</v>
      </c>
      <c r="CL33" s="14">
        <f>SUMIF(MatchData[Team],MatchData[[#This Row],[Team]],MatchData[Low Bar Available])</f>
        <v>6</v>
      </c>
      <c r="CM33" s="14">
        <f ca="1">SUMIF(MatchData[Team],MatchData[[#This Row],[Team]],MatchData[Portcullis Teleop Crossings])</f>
        <v>0</v>
      </c>
      <c r="CN33" s="14">
        <f ca="1">SUMIF(MatchData[Team],MatchData[[#This Row],[Team]],MatchData[Cheval Teleop Crossings])</f>
        <v>0</v>
      </c>
      <c r="CO33" s="14">
        <f ca="1">SUMIF(MatchData[Team],MatchData[[#This Row],[Team]],MatchData[Moat Teleop Crossings])</f>
        <v>1</v>
      </c>
      <c r="CP33" s="14">
        <f ca="1">SUMIF(MatchData[Team],MatchData[[#This Row],[Team]],MatchData[Ramparts Teleop Crossings])</f>
        <v>1</v>
      </c>
      <c r="CQ33" s="14">
        <f ca="1">SUMIF(MatchData[Team],MatchData[[#This Row],[Team]],MatchData[Drawbridge Teleop Crossings])</f>
        <v>0</v>
      </c>
      <c r="CR33" s="14">
        <f ca="1">SUMIF(MatchData[Team],MatchData[[#This Row],[Team]],MatchData[Sally Port Teleop Crossings])</f>
        <v>0</v>
      </c>
      <c r="CS33" s="14">
        <f ca="1">SUMIF(MatchData[Team],MatchData[[#This Row],[Team]],MatchData[Rock Wall Teleop Crossings])</f>
        <v>4</v>
      </c>
      <c r="CT33" s="14">
        <f ca="1">SUMIF(MatchData[Team],MatchData[[#This Row],[Team]],MatchData[Rough Terrain Teleop Crossings])</f>
        <v>5</v>
      </c>
      <c r="CU33" s="14">
        <f ca="1">SUMIF(MatchData[Team],MatchData[[#This Row],[Team]],MatchData[Low Bar Teleop Crossings])</f>
        <v>6</v>
      </c>
      <c r="CV33" s="14">
        <f ca="1">IFERROR(ROUND(MatchData[[#This Row],[Portcullis Sum]]/MatchData[[#This Row],[Portcullis Avail Count]],2),0)</f>
        <v>0</v>
      </c>
      <c r="CW33">
        <f ca="1">IFERROR(ROUND(MatchData[[#This Row],[Cheval Sum]]/MatchData[[#This Row],[Cheval Avail Count]],2),0)</f>
        <v>0</v>
      </c>
      <c r="CX33">
        <f ca="1">IFERROR(ROUND(MatchData[[#This Row],[Moat Sum]]/MatchData[[#This Row],[Moat Avail Count]],2),0)</f>
        <v>0.25</v>
      </c>
      <c r="CY33">
        <f ca="1">IFERROR(ROUND(MatchData[[#This Row],[Ramparts Sum]]/MatchData[[#This Row],[Ramparts Avail Count]],2),0)</f>
        <v>0.5</v>
      </c>
      <c r="CZ33">
        <f ca="1">IFERROR(ROUND(MatchData[[#This Row],[Drawbridge Sum]]/MatchData[[#This Row],[Drawbridge HAvail Countigh6]],2),0)</f>
        <v>0</v>
      </c>
      <c r="DA33">
        <f ca="1">IFERROR(ROUND(MatchData[[#This Row],[Sally Port Sum]]/MatchData[[#This Row],[Sally Port Avail Count]],2),0)</f>
        <v>0</v>
      </c>
      <c r="DB33">
        <f ca="1">IFERROR(ROUND(MatchData[[#This Row],[Rock Wall Sum]]/MatchData[[#This Row],[Rock Wall Avail Count]],2),0)</f>
        <v>1.33</v>
      </c>
      <c r="DC33">
        <f ca="1">IFERROR(ROUND(MatchData[[#This Row],[Rough Terrain Sum]]/MatchData[[#This Row],[Rough Terrain Avail Count]],2),0)</f>
        <v>1.67</v>
      </c>
      <c r="DD33">
        <f ca="1">IFERROR(ROUND(MatchData[[#This Row],[Low Bar Sum]]/MatchData[[#This Row],[Low Bar Avail Count]],2),0)</f>
        <v>1</v>
      </c>
      <c r="DE33" s="14">
        <f t="array" aca="1" ref="DE33" ca="1">MAX(IF(C$4:C$75=C33,BE$4:BE$75))</f>
        <v>0</v>
      </c>
      <c r="DF33" s="14">
        <f ca="1">AVERAGEIF(MatchData[Team],MatchData[Team],MatchData[Total Score])</f>
        <v>19.666666666666668</v>
      </c>
      <c r="DG33" s="14">
        <f ca="1">ROUND(AVERAGEIF(MatchData[Team],MatchData[Team],MatchData[Climb or Challenge Flag]),2)</f>
        <v>0.5</v>
      </c>
    </row>
    <row r="34" spans="1:111">
      <c r="A34" t="s">
        <v>54</v>
      </c>
      <c r="B34" s="4">
        <v>1</v>
      </c>
      <c r="C34">
        <v>1006</v>
      </c>
      <c r="D34" t="s">
        <v>56</v>
      </c>
      <c r="E34" t="s">
        <v>62</v>
      </c>
      <c r="F34">
        <f ca="1">IF(MatchData[[#This Row],[Persona]] = 4,RANDBETWEEN(0,1),0)</f>
        <v>0</v>
      </c>
      <c r="G34">
        <f ca="1">IF(MatchData[[#This Row],[Persona]] = 3,RANDBETWEEN(0,1),0)</f>
        <v>0</v>
      </c>
      <c r="H34">
        <f ca="1">RANDBETWEEN(MatchData[[#This Row],[High Goal Low]],MatchData[[#This Row],[High Goal High]])</f>
        <v>0</v>
      </c>
      <c r="I34">
        <f ca="1">RANDBETWEEN(MatchData[[#This Row],[Low Goal Low]],MatchData[[#This Row],[Low Goal High]])</f>
        <v>2</v>
      </c>
      <c r="J34" s="6">
        <v>1</v>
      </c>
      <c r="K34" s="6"/>
      <c r="L34" s="6"/>
      <c r="M34" s="6">
        <v>1</v>
      </c>
      <c r="N34" s="6">
        <v>1</v>
      </c>
      <c r="O34" s="6"/>
      <c r="P34" s="6"/>
      <c r="Q34" s="5">
        <v>1</v>
      </c>
      <c r="R34" s="5">
        <v>1</v>
      </c>
      <c r="S34" s="5">
        <f ca="1">IF(MatchData[[#This Row],[Auto Crossing Test Generator]]=0,RANDBETWEEN(0,1),0)</f>
        <v>0</v>
      </c>
      <c r="T34" s="5">
        <f ca="1">IF(MatchData[Auto Crossing Test Generator]=1,1,0)</f>
        <v>0</v>
      </c>
      <c r="U34" s="5">
        <f ca="1">IF(MatchData[[#This Row],[Auto Crossing Test Generator]]=2,RANDBETWEEN(0,1),0)</f>
        <v>0</v>
      </c>
      <c r="V34" s="5">
        <f ca="1">IF(MatchData[[#This Row],[Auto Crossing Test Generator]]=3,RANDBETWEEN(0,1),0)</f>
        <v>0</v>
      </c>
      <c r="W34" s="5">
        <f ca="1">IF(MatchData[[#This Row],[Auto Crossing Test Generator]]=4,RANDBETWEEN(0,1),0)</f>
        <v>0</v>
      </c>
      <c r="X34" s="5">
        <f ca="1">IF(MatchData[[#This Row],[Auto Crossing Test Generator]]=5,RANDBETWEEN(0,1),0)</f>
        <v>0</v>
      </c>
      <c r="Y34" s="5">
        <f ca="1">IF(MatchData[[#This Row],[Auto Crossing Test Generator]]=6,RANDBETWEEN(0,1),0)</f>
        <v>0</v>
      </c>
      <c r="Z34" s="5">
        <f ca="1">IF(MatchData[[#This Row],[Auto Crossing Test Generator]]=7,RANDBETWEEN(0,1),0)</f>
        <v>0</v>
      </c>
      <c r="AA34" s="5">
        <f ca="1">IF(MatchData[[#This Row],[Auto Crossing Test Generator]]=8,RANDBETWEEN(0,1),0)</f>
        <v>0</v>
      </c>
      <c r="AB34" s="5">
        <f ca="1">IF(MatchData[[#This Row],[Auto Crossing Test Generator]]&gt;8,RANDBETWEEN(0,1),0)</f>
        <v>0</v>
      </c>
      <c r="AC34" s="5">
        <f ca="1">IF(MatchData[[#This Row],[Auto Crossing Test Generator]]=9,RANDBETWEEN(0,1),0)</f>
        <v>1</v>
      </c>
      <c r="AD34" s="5">
        <f ca="1">IF(MatchData[[#This Row],[Cheval Available]]=1,RANDBETWEEN(0,MatchData[[#This Row],[Cheval High]]),0)</f>
        <v>0</v>
      </c>
      <c r="AE34" s="5">
        <f ca="1">IF(MatchData[[#This Row],[Moat Available]]=1,RANDBETWEEN(0,MatchData[[#This Row],[Moat High]]),0)</f>
        <v>0</v>
      </c>
      <c r="AF34" s="5">
        <f ca="1">IF(MatchData[[#This Row],[Ramparts Available]]=1,RANDBETWEEN(0,MatchData[[#This Row],[Ramparts High]]),0)</f>
        <v>1</v>
      </c>
      <c r="AG34" s="5">
        <f ca="1">IF(MatchData[[#This Row],[Drawbridge Available]]=1,RANDBETWEEN(0,MatchData[[#This Row],[Drawbridge High]]),0)</f>
        <v>0</v>
      </c>
      <c r="AH34" s="5">
        <f ca="1">IF(MatchData[[#This Row],[Sally Port Available]]=1,RANDBETWEEN(0,MatchData[[#This Row],[Sally Port High]]),0)</f>
        <v>0</v>
      </c>
      <c r="AI34" s="5">
        <f ca="1">IF(MatchData[[#This Row],[Rock Wall Available]]=1,RANDBETWEEN(0,MatchData[[#This Row],[Rock Wall High]]),0)</f>
        <v>0</v>
      </c>
      <c r="AJ34" s="5">
        <f ca="1">IF(MatchData[[#This Row],[Rough Terrain Available]]=1,RANDBETWEEN(0,MatchData[[#This Row],[Rough Terrain High]]),0)</f>
        <v>2</v>
      </c>
      <c r="AK34" s="5">
        <f ca="1">IF(MatchData[[#This Row],[Low Bar Available]]=1,RANDBETWEEN(0,MatchData[[#This Row],[Low Bar High]]),0)</f>
        <v>1</v>
      </c>
      <c r="AL34" s="5">
        <f ca="1">IF(MatchData[Cheval Teleop Crossings]&gt;3,10, MatchData[Cheval Teleop Crossings]*5)</f>
        <v>0</v>
      </c>
      <c r="AM34" s="5">
        <f ca="1">IF(MatchData[Moat Teleop Crossings]&gt;3,10, MatchData[Moat Teleop Crossings]*5)</f>
        <v>0</v>
      </c>
      <c r="AN34" s="5">
        <f ca="1">IF(MatchData[Ramparts Teleop Crossings]&gt;3,10, MatchData[Ramparts Teleop Crossings]*5)</f>
        <v>5</v>
      </c>
      <c r="AO34" s="5">
        <f ca="1">IF(MatchData[Drawbridge Teleop Crossings]&gt;3,10, MatchData[Drawbridge Teleop Crossings]*5)</f>
        <v>0</v>
      </c>
      <c r="AP34" s="5">
        <f ca="1">IF(MatchData[Sally Port Teleop Crossings]&gt;3,10, MatchData[Sally Port Teleop Crossings]*5)</f>
        <v>0</v>
      </c>
      <c r="AQ34" s="5">
        <f ca="1">IF(MatchData[Rock Wall Teleop Crossings]&gt;3,10, MatchData[Rock Wall Teleop Crossings]*5)</f>
        <v>0</v>
      </c>
      <c r="AR34" s="5">
        <f ca="1">IF(MatchData[Rough Terrain Teleop Crossings]&gt;3,10, MatchData[Rough Terrain Teleop Crossings]*5)</f>
        <v>10</v>
      </c>
      <c r="AS34" s="5">
        <f ca="1">IF(MatchData[Low Bar Teleop Crossings]&gt;3,10, MatchData[Low Bar Teleop Crossings]*5)</f>
        <v>5</v>
      </c>
      <c r="AT34" s="5">
        <f ca="1">SUM(MatchData[[#This Row],[Portcullis Teleop Crossings]:[Low Bar Teleop Crossings]])</f>
        <v>5</v>
      </c>
      <c r="AU34" s="5">
        <f ca="1">IF(RANDBETWEEN(1,4)&gt;1,1,0)</f>
        <v>1</v>
      </c>
      <c r="AV34" s="5">
        <f ca="1">IF(MatchData[[#This Row],[Challenge Flag]]=1,0,IF(MatchData[[#This Row],[Climber]]=1,RANDBETWEEN(0,1),0))</f>
        <v>0</v>
      </c>
      <c r="AW34" s="5">
        <f ca="1">IF(MatchData[[#This Row],[Crossing Score]]&gt;=40,1,0)</f>
        <v>0</v>
      </c>
      <c r="AX34" s="5"/>
      <c r="AY34" s="5">
        <f ca="1">IF(RANDBETWEEN(1,100)&gt;95,1,0)</f>
        <v>0</v>
      </c>
      <c r="AZ34" s="5">
        <f ca="1">IF(RANDBETWEEN(1,100)&gt;80,1,0)</f>
        <v>0</v>
      </c>
      <c r="BA34" s="5">
        <f ca="1">IF(OR(MatchData[[#This Row],[Challenge Flag]],MatchData[[#This Row],[Climb Flag]]),1,0)</f>
        <v>1</v>
      </c>
      <c r="BB34" s="5">
        <f ca="1">MatchData[Auto High Goals]*10+MatchData[Teleop High Goals]*5</f>
        <v>0</v>
      </c>
      <c r="BC34" s="5">
        <f ca="1">MatchData[Auto Low Goals]*5+MatchData[Teleop Low Goals]*2</f>
        <v>4</v>
      </c>
      <c r="BD34" s="5">
        <f ca="1">MatchData[High Goal Score]+MatchData[Low Goal Score]</f>
        <v>4</v>
      </c>
      <c r="BE34" s="5">
        <f ca="1">MatchData[Teleop High Goals]+MatchData[Teleop Low Goals]</f>
        <v>2</v>
      </c>
      <c r="BF34" s="5">
        <f ca="1">MatchData[[#This Row],[Auto Reach Flag]]*2+SUM(MatchData[[#This Row],[Portcullis Auto Crossings]:[Low Bar Auto Crossings]])*10+MatchData[[#This Row],[Auto Low Goals]]*5+MatchData[Auto High Goals]*10</f>
        <v>0</v>
      </c>
      <c r="BG34" s="5">
        <f ca="1">SUM(MatchData[[#This Row],[Cheval Scored Teleop Crossings]:[Low Bar Scored Teleop Crossings]])</f>
        <v>20</v>
      </c>
      <c r="BH34" s="5">
        <f ca="1">MatchData[Challenge Flag]*5</f>
        <v>5</v>
      </c>
      <c r="BI34" s="5">
        <f ca="1">MatchData[Climb Flag]*15</f>
        <v>0</v>
      </c>
      <c r="BJ34" s="5">
        <f ca="1">SUM(MatchData[[#This Row],[Total Goal Score]],MatchData[[#This Row],[Crossing Score]],MatchData[[#This Row],[Challenge Score]],MatchData[[#This Row],[Climb Score]],MatchData[[#This Row],[Total Auto Score]])</f>
        <v>29</v>
      </c>
      <c r="BK34">
        <v>2</v>
      </c>
      <c r="BL34" s="5">
        <f ca="1">IF(RANDBETWEEN(0,10)&gt;=9,RANDBETWEEN(1,9),0)</f>
        <v>9</v>
      </c>
      <c r="BM34" s="5">
        <f>VLOOKUP(MatchData[[#This Row],[Persona]],Personas!$A$2:$O$5,3)</f>
        <v>1</v>
      </c>
      <c r="BN34" s="13">
        <f>VLOOKUP(MatchData[[#This Row],[Persona]],Personas!$A$2:$P$5,4)</f>
        <v>4</v>
      </c>
      <c r="BO34" s="13">
        <f>VLOOKUP(MatchData[[#This Row],[Persona]],Personas!$A$2:$P$5,5)</f>
        <v>0</v>
      </c>
      <c r="BP34" s="13">
        <f>VLOOKUP(MatchData[[#This Row],[Persona]],Personas!$A$2:$P$5,6)</f>
        <v>0</v>
      </c>
      <c r="BQ34" s="13">
        <f>VLOOKUP(MatchData[[#This Row],[Persona]],Personas!$A$2:$P$5,7)</f>
        <v>0</v>
      </c>
      <c r="BR34" s="13">
        <f>VLOOKUP(MatchData[[#This Row],[Persona]],Personas!$A$2:$P$5,8)</f>
        <v>0</v>
      </c>
      <c r="BS34" s="13">
        <f>VLOOKUP(MatchData[[#This Row],[Persona]],Personas!$A$2:$P$5,9)</f>
        <v>2</v>
      </c>
      <c r="BT34" s="13">
        <f>VLOOKUP(MatchData[[#This Row],[Persona]],Personas!$A$2:$P$5,10)</f>
        <v>2</v>
      </c>
      <c r="BU34" s="13">
        <f>VLOOKUP(MatchData[[#This Row],[Persona]],Personas!$A$2:$P$5,11)</f>
        <v>0</v>
      </c>
      <c r="BV34" s="13">
        <f>VLOOKUP(MatchData[[#This Row],[Persona]],Personas!$A$2:$P$5,12)</f>
        <v>0</v>
      </c>
      <c r="BW34" s="13">
        <f>VLOOKUP(MatchData[[#This Row],[Persona]],Personas!$A$2:$P$5,13)</f>
        <v>2</v>
      </c>
      <c r="BX34" s="13">
        <f>VLOOKUP(MatchData[[#This Row],[Persona]],Personas!$A$2:$P$5,14)</f>
        <v>2</v>
      </c>
      <c r="BY34" s="13">
        <f>VLOOKUP(MatchData[[#This Row],[Persona]],Personas!$A$2:$P$5,15)</f>
        <v>2</v>
      </c>
      <c r="BZ34" s="13">
        <f>VLOOKUP(MatchData[[#This Row],[Persona]],Personas!$A$2:$P$5,16)</f>
        <v>1</v>
      </c>
      <c r="CA34" s="14">
        <f ca="1">ROUND(SUMIF(MatchData[Team],MatchData[[#This Row],[Team]],MatchData[Teleop Low Goals])/COUNTIF(MatchData[Team],MatchData[[#This Row],[Team]]),2)</f>
        <v>2.67</v>
      </c>
      <c r="CB34" s="14">
        <f ca="1">ROUND(SUMIF(MatchData[Team],MatchData[[#This Row],[Team]],MatchData[Teleop High Goals])/COUNTIF(MatchData[Team],MatchData[[#This Row],[Team]]),2)</f>
        <v>0</v>
      </c>
      <c r="CC34" s="14">
        <f>COUNTIF(MatchData[Team],MatchData[[#This Row],[Team]])</f>
        <v>6</v>
      </c>
      <c r="CD34" s="14">
        <f>SUMIF(MatchData[Team],MatchData[[#This Row],[Team]],MatchData[Portcullis Available])</f>
        <v>1</v>
      </c>
      <c r="CE34" s="14">
        <f>SUMIF(MatchData[Team],MatchData[[#This Row],[Team]],MatchData[Cheval Available])</f>
        <v>5</v>
      </c>
      <c r="CF34" s="14">
        <f>SUMIF(MatchData[Team],MatchData[[#This Row],[Team]],MatchData[Moat Available])</f>
        <v>5</v>
      </c>
      <c r="CG34" s="14">
        <f>SUMIF(MatchData[Team],MatchData[[#This Row],[Team]],MatchData[Ramparts Available])</f>
        <v>1</v>
      </c>
      <c r="CH34" s="14">
        <f>SUMIF(MatchData[Team],MatchData[[#This Row],[Team]],MatchData[Drawbridge Available])</f>
        <v>3</v>
      </c>
      <c r="CI34" s="14">
        <f>SUMIF(MatchData[Team],MatchData[[#This Row],[Team]],MatchData[Sally Port Available])</f>
        <v>3</v>
      </c>
      <c r="CJ34" s="14">
        <f>SUMIF(MatchData[Team],MatchData[[#This Row],[Team]],MatchData[Rock Wall Available])</f>
        <v>3</v>
      </c>
      <c r="CK34" s="14">
        <f>SUMIF(MatchData[Team],MatchData[[#This Row],[Team]],MatchData[Rough Terrain Available])</f>
        <v>3</v>
      </c>
      <c r="CL34" s="14">
        <f>SUMIF(MatchData[Team],MatchData[[#This Row],[Team]],MatchData[Low Bar Available])</f>
        <v>6</v>
      </c>
      <c r="CM34" s="14">
        <f ca="1">SUMIF(MatchData[Team],MatchData[[#This Row],[Team]],MatchData[Portcullis Teleop Crossings])</f>
        <v>1</v>
      </c>
      <c r="CN34" s="14">
        <f ca="1">SUMIF(MatchData[Team],MatchData[[#This Row],[Team]],MatchData[Cheval Teleop Crossings])</f>
        <v>0</v>
      </c>
      <c r="CO34" s="14">
        <f ca="1">SUMIF(MatchData[Team],MatchData[[#This Row],[Team]],MatchData[Moat Teleop Crossings])</f>
        <v>7</v>
      </c>
      <c r="CP34" s="14">
        <f ca="1">SUMIF(MatchData[Team],MatchData[[#This Row],[Team]],MatchData[Ramparts Teleop Crossings])</f>
        <v>1</v>
      </c>
      <c r="CQ34" s="14">
        <f ca="1">SUMIF(MatchData[Team],MatchData[[#This Row],[Team]],MatchData[Drawbridge Teleop Crossings])</f>
        <v>0</v>
      </c>
      <c r="CR34" s="14">
        <f ca="1">SUMIF(MatchData[Team],MatchData[[#This Row],[Team]],MatchData[Sally Port Teleop Crossings])</f>
        <v>0</v>
      </c>
      <c r="CS34" s="14">
        <f ca="1">SUMIF(MatchData[Team],MatchData[[#This Row],[Team]],MatchData[Rock Wall Teleop Crossings])</f>
        <v>1</v>
      </c>
      <c r="CT34" s="14">
        <f ca="1">SUMIF(MatchData[Team],MatchData[[#This Row],[Team]],MatchData[Rough Terrain Teleop Crossings])</f>
        <v>4</v>
      </c>
      <c r="CU34" s="14">
        <f ca="1">SUMIF(MatchData[Team],MatchData[[#This Row],[Team]],MatchData[Low Bar Teleop Crossings])</f>
        <v>2</v>
      </c>
      <c r="CV34" s="14">
        <f ca="1">IFERROR(ROUND(MatchData[[#This Row],[Portcullis Sum]]/MatchData[[#This Row],[Portcullis Avail Count]],2),0)</f>
        <v>1</v>
      </c>
      <c r="CW34">
        <f ca="1">IFERROR(ROUND(MatchData[[#This Row],[Cheval Sum]]/MatchData[[#This Row],[Cheval Avail Count]],2),0)</f>
        <v>0</v>
      </c>
      <c r="CX34">
        <f ca="1">IFERROR(ROUND(MatchData[[#This Row],[Moat Sum]]/MatchData[[#This Row],[Moat Avail Count]],2),0)</f>
        <v>1.4</v>
      </c>
      <c r="CY34">
        <f ca="1">IFERROR(ROUND(MatchData[[#This Row],[Ramparts Sum]]/MatchData[[#This Row],[Ramparts Avail Count]],2),0)</f>
        <v>1</v>
      </c>
      <c r="CZ34">
        <f ca="1">IFERROR(ROUND(MatchData[[#This Row],[Drawbridge Sum]]/MatchData[[#This Row],[Drawbridge HAvail Countigh6]],2),0)</f>
        <v>0</v>
      </c>
      <c r="DA34">
        <f ca="1">IFERROR(ROUND(MatchData[[#This Row],[Sally Port Sum]]/MatchData[[#This Row],[Sally Port Avail Count]],2),0)</f>
        <v>0</v>
      </c>
      <c r="DB34">
        <f ca="1">IFERROR(ROUND(MatchData[[#This Row],[Rock Wall Sum]]/MatchData[[#This Row],[Rock Wall Avail Count]],2),0)</f>
        <v>0.33</v>
      </c>
      <c r="DC34">
        <f ca="1">IFERROR(ROUND(MatchData[[#This Row],[Rough Terrain Sum]]/MatchData[[#This Row],[Rough Terrain Avail Count]],2),0)</f>
        <v>1.33</v>
      </c>
      <c r="DD34">
        <f ca="1">IFERROR(ROUND(MatchData[[#This Row],[Low Bar Sum]]/MatchData[[#This Row],[Low Bar Avail Count]],2),0)</f>
        <v>0.33</v>
      </c>
      <c r="DE34" s="14">
        <f t="array" aca="1" ref="DE34" ca="1">MAX(IF(C$4:C$75=C34,BE$4:BE$75))</f>
        <v>4</v>
      </c>
      <c r="DF34" s="14">
        <f ca="1">AVERAGEIF(MatchData[Team],MatchData[Team],MatchData[Total Score])</f>
        <v>24.833333333333332</v>
      </c>
      <c r="DG34" s="14">
        <f ca="1">ROUND(AVERAGEIF(MatchData[Team],MatchData[Team],MatchData[Climb or Challenge Flag]),2)</f>
        <v>1</v>
      </c>
    </row>
    <row r="35" spans="1:111">
      <c r="A35" t="s">
        <v>54</v>
      </c>
      <c r="B35" s="4">
        <v>4</v>
      </c>
      <c r="C35">
        <v>1006</v>
      </c>
      <c r="D35" t="s">
        <v>55</v>
      </c>
      <c r="E35" t="s">
        <v>59</v>
      </c>
      <c r="F35">
        <f ca="1">IF(MatchData[[#This Row],[Persona]] = 4,RANDBETWEEN(0,1),0)</f>
        <v>0</v>
      </c>
      <c r="G35">
        <f ca="1">IF(MatchData[[#This Row],[Persona]] = 3,RANDBETWEEN(0,1),0)</f>
        <v>0</v>
      </c>
      <c r="H35">
        <f ca="1">RANDBETWEEN(MatchData[[#This Row],[High Goal Low]],MatchData[[#This Row],[High Goal High]])</f>
        <v>0</v>
      </c>
      <c r="I35">
        <f ca="1">RANDBETWEEN(MatchData[[#This Row],[Low Goal Low]],MatchData[[#This Row],[Low Goal High]])</f>
        <v>4</v>
      </c>
      <c r="J35" s="6"/>
      <c r="K35" s="6">
        <v>1</v>
      </c>
      <c r="L35" s="6">
        <v>1</v>
      </c>
      <c r="M35" s="6"/>
      <c r="N35" s="6"/>
      <c r="O35" s="6">
        <v>1</v>
      </c>
      <c r="P35" s="6">
        <v>1</v>
      </c>
      <c r="Q35" s="5"/>
      <c r="R35" s="5">
        <v>1</v>
      </c>
      <c r="S35" s="5">
        <f ca="1">IF(MatchData[[#This Row],[Auto Crossing Test Generator]]=0,RANDBETWEEN(0,1),0)</f>
        <v>0</v>
      </c>
      <c r="T35" s="5">
        <f ca="1">IF(MatchData[Auto Crossing Test Generator]=1,1,0)</f>
        <v>0</v>
      </c>
      <c r="U35" s="5">
        <f ca="1">IF(MatchData[[#This Row],[Auto Crossing Test Generator]]=2,RANDBETWEEN(0,1),0)</f>
        <v>0</v>
      </c>
      <c r="V35" s="5">
        <f ca="1">IF(MatchData[[#This Row],[Auto Crossing Test Generator]]=3,RANDBETWEEN(0,1),0)</f>
        <v>0</v>
      </c>
      <c r="W35" s="5">
        <f ca="1">IF(MatchData[[#This Row],[Auto Crossing Test Generator]]=4,RANDBETWEEN(0,1),0)</f>
        <v>0</v>
      </c>
      <c r="X35" s="5">
        <f ca="1">IF(MatchData[[#This Row],[Auto Crossing Test Generator]]=5,RANDBETWEEN(0,1),0)</f>
        <v>0</v>
      </c>
      <c r="Y35" s="5">
        <f ca="1">IF(MatchData[[#This Row],[Auto Crossing Test Generator]]=6,RANDBETWEEN(0,1),0)</f>
        <v>0</v>
      </c>
      <c r="Z35" s="5">
        <f ca="1">IF(MatchData[[#This Row],[Auto Crossing Test Generator]]=7,RANDBETWEEN(0,1),0)</f>
        <v>0</v>
      </c>
      <c r="AA35" s="5">
        <f ca="1">IF(MatchData[[#This Row],[Auto Crossing Test Generator]]=8,RANDBETWEEN(0,1),0)</f>
        <v>0</v>
      </c>
      <c r="AB35" s="5">
        <f ca="1">IF(MatchData[[#This Row],[Auto Crossing Test Generator]]&gt;8,RANDBETWEEN(0,1),0)</f>
        <v>0</v>
      </c>
      <c r="AC35" s="5">
        <f ca="1">IF(MatchData[[#This Row],[Auto Crossing Test Generator]]=9,RANDBETWEEN(0,1),0)</f>
        <v>0</v>
      </c>
      <c r="AD35" s="5">
        <f ca="1">IF(MatchData[[#This Row],[Cheval Available]]=1,RANDBETWEEN(0,MatchData[[#This Row],[Cheval High]]),0)</f>
        <v>0</v>
      </c>
      <c r="AE35" s="5">
        <f ca="1">IF(MatchData[[#This Row],[Moat Available]]=1,RANDBETWEEN(0,MatchData[[#This Row],[Moat High]]),0)</f>
        <v>2</v>
      </c>
      <c r="AF35" s="5">
        <f ca="1">IF(MatchData[[#This Row],[Ramparts Available]]=1,RANDBETWEEN(0,MatchData[[#This Row],[Ramparts High]]),0)</f>
        <v>0</v>
      </c>
      <c r="AG35" s="5">
        <f ca="1">IF(MatchData[[#This Row],[Drawbridge Available]]=1,RANDBETWEEN(0,MatchData[[#This Row],[Drawbridge High]]),0)</f>
        <v>0</v>
      </c>
      <c r="AH35" s="5">
        <f ca="1">IF(MatchData[[#This Row],[Sally Port Available]]=1,RANDBETWEEN(0,MatchData[[#This Row],[Sally Port High]]),0)</f>
        <v>0</v>
      </c>
      <c r="AI35" s="5">
        <f ca="1">IF(MatchData[[#This Row],[Rock Wall Available]]=1,RANDBETWEEN(0,MatchData[[#This Row],[Rock Wall High]]),0)</f>
        <v>0</v>
      </c>
      <c r="AJ35" s="5">
        <f ca="1">IF(MatchData[[#This Row],[Rough Terrain Available]]=1,RANDBETWEEN(0,MatchData[[#This Row],[Rough Terrain High]]),0)</f>
        <v>0</v>
      </c>
      <c r="AK35" s="5">
        <f ca="1">IF(MatchData[[#This Row],[Low Bar Available]]=1,RANDBETWEEN(0,MatchData[[#This Row],[Low Bar High]]),0)</f>
        <v>1</v>
      </c>
      <c r="AL35" s="5">
        <f ca="1">IF(MatchData[Cheval Teleop Crossings]&gt;3,10, MatchData[Cheval Teleop Crossings]*5)</f>
        <v>0</v>
      </c>
      <c r="AM35" s="5">
        <f ca="1">IF(MatchData[Moat Teleop Crossings]&gt;3,10, MatchData[Moat Teleop Crossings]*5)</f>
        <v>10</v>
      </c>
      <c r="AN35" s="5">
        <f ca="1">IF(MatchData[Ramparts Teleop Crossings]&gt;3,10, MatchData[Ramparts Teleop Crossings]*5)</f>
        <v>0</v>
      </c>
      <c r="AO35" s="5">
        <f ca="1">IF(MatchData[Drawbridge Teleop Crossings]&gt;3,10, MatchData[Drawbridge Teleop Crossings]*5)</f>
        <v>0</v>
      </c>
      <c r="AP35" s="5">
        <f ca="1">IF(MatchData[Sally Port Teleop Crossings]&gt;3,10, MatchData[Sally Port Teleop Crossings]*5)</f>
        <v>0</v>
      </c>
      <c r="AQ35" s="5">
        <f ca="1">IF(MatchData[Rock Wall Teleop Crossings]&gt;3,10, MatchData[Rock Wall Teleop Crossings]*5)</f>
        <v>0</v>
      </c>
      <c r="AR35" s="5">
        <f ca="1">IF(MatchData[Rough Terrain Teleop Crossings]&gt;3,10, MatchData[Rough Terrain Teleop Crossings]*5)</f>
        <v>0</v>
      </c>
      <c r="AS35" s="5">
        <f ca="1">IF(MatchData[Low Bar Teleop Crossings]&gt;3,10, MatchData[Low Bar Teleop Crossings]*5)</f>
        <v>5</v>
      </c>
      <c r="AT35" s="5">
        <f ca="1">SUM(MatchData[[#This Row],[Portcullis Teleop Crossings]:[Low Bar Teleop Crossings]])</f>
        <v>3</v>
      </c>
      <c r="AU35" s="5">
        <f ca="1">IF(RANDBETWEEN(1,4)&gt;1,1,0)</f>
        <v>1</v>
      </c>
      <c r="AV35" s="5">
        <f ca="1">IF(MatchData[[#This Row],[Challenge Flag]]=1,0,IF(MatchData[[#This Row],[Climber]]=1,RANDBETWEEN(0,1),0))</f>
        <v>0</v>
      </c>
      <c r="AW35" s="5">
        <f ca="1">IF(MatchData[[#This Row],[Crossing Score]]&gt;=40,1,0)</f>
        <v>0</v>
      </c>
      <c r="AX35" s="5"/>
      <c r="AY35" s="5">
        <f ca="1">IF(RANDBETWEEN(1,100)&gt;95,1,0)</f>
        <v>0</v>
      </c>
      <c r="AZ35" s="5">
        <f ca="1">IF(RANDBETWEEN(1,100)&gt;80,1,0)</f>
        <v>0</v>
      </c>
      <c r="BA35" s="5">
        <f ca="1">IF(OR(MatchData[[#This Row],[Challenge Flag]],MatchData[[#This Row],[Climb Flag]]),1,0)</f>
        <v>1</v>
      </c>
      <c r="BB35" s="5">
        <f ca="1">MatchData[Auto High Goals]*10+MatchData[Teleop High Goals]*5</f>
        <v>0</v>
      </c>
      <c r="BC35" s="5">
        <f ca="1">MatchData[Auto Low Goals]*5+MatchData[Teleop Low Goals]*2</f>
        <v>8</v>
      </c>
      <c r="BD35" s="5">
        <f ca="1">MatchData[High Goal Score]+MatchData[Low Goal Score]</f>
        <v>8</v>
      </c>
      <c r="BE35" s="5">
        <f ca="1">MatchData[Teleop High Goals]+MatchData[Teleop Low Goals]</f>
        <v>4</v>
      </c>
      <c r="BF35" s="5">
        <f ca="1">MatchData[[#This Row],[Auto Reach Flag]]*2+SUM(MatchData[[#This Row],[Portcullis Auto Crossings]:[Low Bar Auto Crossings]])*10+MatchData[[#This Row],[Auto Low Goals]]*5+MatchData[Auto High Goals]*10</f>
        <v>0</v>
      </c>
      <c r="BG35" s="5">
        <f ca="1">SUM(MatchData[[#This Row],[Cheval Scored Teleop Crossings]:[Low Bar Scored Teleop Crossings]])</f>
        <v>15</v>
      </c>
      <c r="BH35" s="5">
        <f ca="1">MatchData[Challenge Flag]*5</f>
        <v>5</v>
      </c>
      <c r="BI35" s="5">
        <f ca="1">MatchData[Climb Flag]*15</f>
        <v>0</v>
      </c>
      <c r="BJ35" s="5">
        <f ca="1">SUM(MatchData[[#This Row],[Total Goal Score]],MatchData[[#This Row],[Crossing Score]],MatchData[[#This Row],[Challenge Score]],MatchData[[#This Row],[Climb Score]],MatchData[[#This Row],[Total Auto Score]])</f>
        <v>28</v>
      </c>
      <c r="BK35">
        <v>2</v>
      </c>
      <c r="BL35" s="5">
        <f ca="1">IF(RANDBETWEEN(0,10)&gt;=9,RANDBETWEEN(1,9),0)</f>
        <v>0</v>
      </c>
      <c r="BM35" s="5">
        <f>VLOOKUP(MatchData[[#This Row],[Persona]],Personas!$A$2:$O$5,3)</f>
        <v>1</v>
      </c>
      <c r="BN35" s="13">
        <f>VLOOKUP(MatchData[[#This Row],[Persona]],Personas!$A$2:$P$5,4)</f>
        <v>4</v>
      </c>
      <c r="BO35" s="13">
        <f>VLOOKUP(MatchData[[#This Row],[Persona]],Personas!$A$2:$P$5,5)</f>
        <v>0</v>
      </c>
      <c r="BP35" s="13">
        <f>VLOOKUP(MatchData[[#This Row],[Persona]],Personas!$A$2:$P$5,6)</f>
        <v>0</v>
      </c>
      <c r="BQ35" s="13">
        <f>VLOOKUP(MatchData[[#This Row],[Persona]],Personas!$A$2:$P$5,7)</f>
        <v>0</v>
      </c>
      <c r="BR35" s="13">
        <f>VLOOKUP(MatchData[[#This Row],[Persona]],Personas!$A$2:$P$5,8)</f>
        <v>0</v>
      </c>
      <c r="BS35" s="13">
        <f>VLOOKUP(MatchData[[#This Row],[Persona]],Personas!$A$2:$P$5,9)</f>
        <v>2</v>
      </c>
      <c r="BT35" s="13">
        <f>VLOOKUP(MatchData[[#This Row],[Persona]],Personas!$A$2:$P$5,10)</f>
        <v>2</v>
      </c>
      <c r="BU35" s="13">
        <f>VLOOKUP(MatchData[[#This Row],[Persona]],Personas!$A$2:$P$5,11)</f>
        <v>0</v>
      </c>
      <c r="BV35" s="13">
        <f>VLOOKUP(MatchData[[#This Row],[Persona]],Personas!$A$2:$P$5,12)</f>
        <v>0</v>
      </c>
      <c r="BW35" s="13">
        <f>VLOOKUP(MatchData[[#This Row],[Persona]],Personas!$A$2:$P$5,13)</f>
        <v>2</v>
      </c>
      <c r="BX35" s="13">
        <f>VLOOKUP(MatchData[[#This Row],[Persona]],Personas!$A$2:$P$5,14)</f>
        <v>2</v>
      </c>
      <c r="BY35" s="13">
        <f>VLOOKUP(MatchData[[#This Row],[Persona]],Personas!$A$2:$P$5,15)</f>
        <v>2</v>
      </c>
      <c r="BZ35" s="13">
        <f>VLOOKUP(MatchData[[#This Row],[Persona]],Personas!$A$2:$P$5,16)</f>
        <v>1</v>
      </c>
      <c r="CA35" s="14">
        <f ca="1">ROUND(SUMIF(MatchData[Team],MatchData[[#This Row],[Team]],MatchData[Teleop Low Goals])/COUNTIF(MatchData[Team],MatchData[[#This Row],[Team]]),2)</f>
        <v>2.67</v>
      </c>
      <c r="CB35" s="14">
        <f ca="1">ROUND(SUMIF(MatchData[Team],MatchData[[#This Row],[Team]],MatchData[Teleop High Goals])/COUNTIF(MatchData[Team],MatchData[[#This Row],[Team]]),2)</f>
        <v>0</v>
      </c>
      <c r="CC35" s="14">
        <f>COUNTIF(MatchData[Team],MatchData[[#This Row],[Team]])</f>
        <v>6</v>
      </c>
      <c r="CD35" s="14">
        <f>SUMIF(MatchData[Team],MatchData[[#This Row],[Team]],MatchData[Portcullis Available])</f>
        <v>1</v>
      </c>
      <c r="CE35" s="14">
        <f>SUMIF(MatchData[Team],MatchData[[#This Row],[Team]],MatchData[Cheval Available])</f>
        <v>5</v>
      </c>
      <c r="CF35" s="14">
        <f>SUMIF(MatchData[Team],MatchData[[#This Row],[Team]],MatchData[Moat Available])</f>
        <v>5</v>
      </c>
      <c r="CG35" s="14">
        <f>SUMIF(MatchData[Team],MatchData[[#This Row],[Team]],MatchData[Ramparts Available])</f>
        <v>1</v>
      </c>
      <c r="CH35" s="14">
        <f>SUMIF(MatchData[Team],MatchData[[#This Row],[Team]],MatchData[Drawbridge Available])</f>
        <v>3</v>
      </c>
      <c r="CI35" s="14">
        <f>SUMIF(MatchData[Team],MatchData[[#This Row],[Team]],MatchData[Sally Port Available])</f>
        <v>3</v>
      </c>
      <c r="CJ35" s="14">
        <f>SUMIF(MatchData[Team],MatchData[[#This Row],[Team]],MatchData[Rock Wall Available])</f>
        <v>3</v>
      </c>
      <c r="CK35" s="14">
        <f>SUMIF(MatchData[Team],MatchData[[#This Row],[Team]],MatchData[Rough Terrain Available])</f>
        <v>3</v>
      </c>
      <c r="CL35" s="14">
        <f>SUMIF(MatchData[Team],MatchData[[#This Row],[Team]],MatchData[Low Bar Available])</f>
        <v>6</v>
      </c>
      <c r="CM35" s="14">
        <f ca="1">SUMIF(MatchData[Team],MatchData[[#This Row],[Team]],MatchData[Portcullis Teleop Crossings])</f>
        <v>1</v>
      </c>
      <c r="CN35" s="14">
        <f ca="1">SUMIF(MatchData[Team],MatchData[[#This Row],[Team]],MatchData[Cheval Teleop Crossings])</f>
        <v>0</v>
      </c>
      <c r="CO35" s="14">
        <f ca="1">SUMIF(MatchData[Team],MatchData[[#This Row],[Team]],MatchData[Moat Teleop Crossings])</f>
        <v>7</v>
      </c>
      <c r="CP35" s="14">
        <f ca="1">SUMIF(MatchData[Team],MatchData[[#This Row],[Team]],MatchData[Ramparts Teleop Crossings])</f>
        <v>1</v>
      </c>
      <c r="CQ35" s="14">
        <f ca="1">SUMIF(MatchData[Team],MatchData[[#This Row],[Team]],MatchData[Drawbridge Teleop Crossings])</f>
        <v>0</v>
      </c>
      <c r="CR35" s="14">
        <f ca="1">SUMIF(MatchData[Team],MatchData[[#This Row],[Team]],MatchData[Sally Port Teleop Crossings])</f>
        <v>0</v>
      </c>
      <c r="CS35" s="14">
        <f ca="1">SUMIF(MatchData[Team],MatchData[[#This Row],[Team]],MatchData[Rock Wall Teleop Crossings])</f>
        <v>1</v>
      </c>
      <c r="CT35" s="14">
        <f ca="1">SUMIF(MatchData[Team],MatchData[[#This Row],[Team]],MatchData[Rough Terrain Teleop Crossings])</f>
        <v>4</v>
      </c>
      <c r="CU35" s="14">
        <f ca="1">SUMIF(MatchData[Team],MatchData[[#This Row],[Team]],MatchData[Low Bar Teleop Crossings])</f>
        <v>2</v>
      </c>
      <c r="CV35" s="14">
        <f ca="1">IFERROR(ROUND(MatchData[[#This Row],[Portcullis Sum]]/MatchData[[#This Row],[Portcullis Avail Count]],2),0)</f>
        <v>1</v>
      </c>
      <c r="CW35">
        <f ca="1">IFERROR(ROUND(MatchData[[#This Row],[Cheval Sum]]/MatchData[[#This Row],[Cheval Avail Count]],2),0)</f>
        <v>0</v>
      </c>
      <c r="CX35">
        <f ca="1">IFERROR(ROUND(MatchData[[#This Row],[Moat Sum]]/MatchData[[#This Row],[Moat Avail Count]],2),0)</f>
        <v>1.4</v>
      </c>
      <c r="CY35">
        <f ca="1">IFERROR(ROUND(MatchData[[#This Row],[Ramparts Sum]]/MatchData[[#This Row],[Ramparts Avail Count]],2),0)</f>
        <v>1</v>
      </c>
      <c r="CZ35">
        <f ca="1">IFERROR(ROUND(MatchData[[#This Row],[Drawbridge Sum]]/MatchData[[#This Row],[Drawbridge HAvail Countigh6]],2),0)</f>
        <v>0</v>
      </c>
      <c r="DA35">
        <f ca="1">IFERROR(ROUND(MatchData[[#This Row],[Sally Port Sum]]/MatchData[[#This Row],[Sally Port Avail Count]],2),0)</f>
        <v>0</v>
      </c>
      <c r="DB35">
        <f ca="1">IFERROR(ROUND(MatchData[[#This Row],[Rock Wall Sum]]/MatchData[[#This Row],[Rock Wall Avail Count]],2),0)</f>
        <v>0.33</v>
      </c>
      <c r="DC35">
        <f ca="1">IFERROR(ROUND(MatchData[[#This Row],[Rough Terrain Sum]]/MatchData[[#This Row],[Rough Terrain Avail Count]],2),0)</f>
        <v>1.33</v>
      </c>
      <c r="DD35">
        <f ca="1">IFERROR(ROUND(MatchData[[#This Row],[Low Bar Sum]]/MatchData[[#This Row],[Low Bar Avail Count]],2),0)</f>
        <v>0.33</v>
      </c>
      <c r="DE35" s="14">
        <f t="array" aca="1" ref="DE35" ca="1">MAX(IF(C$4:C$75=C35,BE$4:BE$75))</f>
        <v>4</v>
      </c>
      <c r="DF35" s="14">
        <f ca="1">AVERAGEIF(MatchData[Team],MatchData[Team],MatchData[Total Score])</f>
        <v>24.833333333333332</v>
      </c>
      <c r="DG35" s="14">
        <f ca="1">ROUND(AVERAGEIF(MatchData[Team],MatchData[Team],MatchData[Climb or Challenge Flag]),2)</f>
        <v>1</v>
      </c>
    </row>
    <row r="36" spans="1:111">
      <c r="A36" t="s">
        <v>54</v>
      </c>
      <c r="B36" s="4">
        <v>6</v>
      </c>
      <c r="C36">
        <v>1006</v>
      </c>
      <c r="D36" t="s">
        <v>55</v>
      </c>
      <c r="E36" t="s">
        <v>64</v>
      </c>
      <c r="F36">
        <f ca="1">IF(MatchData[[#This Row],[Persona]] = 4,RANDBETWEEN(0,1),0)</f>
        <v>0</v>
      </c>
      <c r="G36">
        <f ca="1">IF(MatchData[[#This Row],[Persona]] = 3,RANDBETWEEN(0,1),0)</f>
        <v>0</v>
      </c>
      <c r="H36">
        <f ca="1">RANDBETWEEN(MatchData[[#This Row],[High Goal Low]],MatchData[[#This Row],[High Goal High]])</f>
        <v>0</v>
      </c>
      <c r="I36">
        <f ca="1">RANDBETWEEN(MatchData[[#This Row],[Low Goal Low]],MatchData[[#This Row],[Low Goal High]])</f>
        <v>3</v>
      </c>
      <c r="J36" s="6"/>
      <c r="K36" s="6">
        <v>1</v>
      </c>
      <c r="L36" s="6">
        <v>1</v>
      </c>
      <c r="M36" s="6"/>
      <c r="N36" s="6">
        <v>1</v>
      </c>
      <c r="O36" s="6"/>
      <c r="P36" s="6"/>
      <c r="Q36" s="5">
        <v>1</v>
      </c>
      <c r="R36" s="5">
        <v>1</v>
      </c>
      <c r="S36" s="5">
        <f ca="1">IF(MatchData[[#This Row],[Auto Crossing Test Generator]]=0,RANDBETWEEN(0,1),0)</f>
        <v>1</v>
      </c>
      <c r="T36" s="5">
        <f ca="1">IF(MatchData[Auto Crossing Test Generator]=1,1,0)</f>
        <v>0</v>
      </c>
      <c r="U36" s="5">
        <f ca="1">IF(MatchData[[#This Row],[Auto Crossing Test Generator]]=2,RANDBETWEEN(0,1),0)</f>
        <v>0</v>
      </c>
      <c r="V36" s="5">
        <f ca="1">IF(MatchData[[#This Row],[Auto Crossing Test Generator]]=3,RANDBETWEEN(0,1),0)</f>
        <v>0</v>
      </c>
      <c r="W36" s="5">
        <f ca="1">IF(MatchData[[#This Row],[Auto Crossing Test Generator]]=4,RANDBETWEEN(0,1),0)</f>
        <v>0</v>
      </c>
      <c r="X36" s="5">
        <f ca="1">IF(MatchData[[#This Row],[Auto Crossing Test Generator]]=5,RANDBETWEEN(0,1),0)</f>
        <v>0</v>
      </c>
      <c r="Y36" s="5">
        <f ca="1">IF(MatchData[[#This Row],[Auto Crossing Test Generator]]=6,RANDBETWEEN(0,1),0)</f>
        <v>0</v>
      </c>
      <c r="Z36" s="5">
        <f ca="1">IF(MatchData[[#This Row],[Auto Crossing Test Generator]]=7,RANDBETWEEN(0,1),0)</f>
        <v>0</v>
      </c>
      <c r="AA36" s="5">
        <f ca="1">IF(MatchData[[#This Row],[Auto Crossing Test Generator]]=8,RANDBETWEEN(0,1),0)</f>
        <v>0</v>
      </c>
      <c r="AB36" s="5">
        <f ca="1">IF(MatchData[[#This Row],[Auto Crossing Test Generator]]&gt;8,RANDBETWEEN(0,1),0)</f>
        <v>0</v>
      </c>
      <c r="AC36" s="5">
        <f ca="1">IF(MatchData[[#This Row],[Auto Crossing Test Generator]]=9,RANDBETWEEN(0,1),0)</f>
        <v>0</v>
      </c>
      <c r="AD36" s="5">
        <f ca="1">IF(MatchData[[#This Row],[Cheval Available]]=1,RANDBETWEEN(0,MatchData[[#This Row],[Cheval High]]),0)</f>
        <v>0</v>
      </c>
      <c r="AE36" s="5">
        <f ca="1">IF(MatchData[[#This Row],[Moat Available]]=1,RANDBETWEEN(0,MatchData[[#This Row],[Moat High]]),0)</f>
        <v>2</v>
      </c>
      <c r="AF36" s="5">
        <f ca="1">IF(MatchData[[#This Row],[Ramparts Available]]=1,RANDBETWEEN(0,MatchData[[#This Row],[Ramparts High]]),0)</f>
        <v>0</v>
      </c>
      <c r="AG36" s="5">
        <f ca="1">IF(MatchData[[#This Row],[Drawbridge Available]]=1,RANDBETWEEN(0,MatchData[[#This Row],[Drawbridge High]]),0)</f>
        <v>0</v>
      </c>
      <c r="AH36" s="5">
        <f ca="1">IF(MatchData[[#This Row],[Sally Port Available]]=1,RANDBETWEEN(0,MatchData[[#This Row],[Sally Port High]]),0)</f>
        <v>0</v>
      </c>
      <c r="AI36" s="5">
        <f ca="1">IF(MatchData[[#This Row],[Rock Wall Available]]=1,RANDBETWEEN(0,MatchData[[#This Row],[Rock Wall High]]),0)</f>
        <v>0</v>
      </c>
      <c r="AJ36" s="5">
        <f ca="1">IF(MatchData[[#This Row],[Rough Terrain Available]]=1,RANDBETWEEN(0,MatchData[[#This Row],[Rough Terrain High]]),0)</f>
        <v>0</v>
      </c>
      <c r="AK36" s="5">
        <f ca="1">IF(MatchData[[#This Row],[Low Bar Available]]=1,RANDBETWEEN(0,MatchData[[#This Row],[Low Bar High]]),0)</f>
        <v>0</v>
      </c>
      <c r="AL36" s="5">
        <f ca="1">IF(MatchData[Cheval Teleop Crossings]&gt;3,10, MatchData[Cheval Teleop Crossings]*5)</f>
        <v>0</v>
      </c>
      <c r="AM36" s="5">
        <f ca="1">IF(MatchData[Moat Teleop Crossings]&gt;3,10, MatchData[Moat Teleop Crossings]*5)</f>
        <v>10</v>
      </c>
      <c r="AN36" s="5">
        <f ca="1">IF(MatchData[Ramparts Teleop Crossings]&gt;3,10, MatchData[Ramparts Teleop Crossings]*5)</f>
        <v>0</v>
      </c>
      <c r="AO36" s="5">
        <f ca="1">IF(MatchData[Drawbridge Teleop Crossings]&gt;3,10, MatchData[Drawbridge Teleop Crossings]*5)</f>
        <v>0</v>
      </c>
      <c r="AP36" s="5">
        <f ca="1">IF(MatchData[Sally Port Teleop Crossings]&gt;3,10, MatchData[Sally Port Teleop Crossings]*5)</f>
        <v>0</v>
      </c>
      <c r="AQ36" s="5">
        <f ca="1">IF(MatchData[Rock Wall Teleop Crossings]&gt;3,10, MatchData[Rock Wall Teleop Crossings]*5)</f>
        <v>0</v>
      </c>
      <c r="AR36" s="5">
        <f ca="1">IF(MatchData[Rough Terrain Teleop Crossings]&gt;3,10, MatchData[Rough Terrain Teleop Crossings]*5)</f>
        <v>0</v>
      </c>
      <c r="AS36" s="5">
        <f ca="1">IF(MatchData[Low Bar Teleop Crossings]&gt;3,10, MatchData[Low Bar Teleop Crossings]*5)</f>
        <v>0</v>
      </c>
      <c r="AT36" s="5">
        <f ca="1">SUM(MatchData[[#This Row],[Portcullis Teleop Crossings]:[Low Bar Teleop Crossings]])</f>
        <v>2</v>
      </c>
      <c r="AU36" s="5">
        <f ca="1">IF(RANDBETWEEN(1,4)&gt;1,1,0)</f>
        <v>1</v>
      </c>
      <c r="AV36" s="5">
        <f ca="1">IF(MatchData[[#This Row],[Challenge Flag]]=1,0,IF(MatchData[[#This Row],[Climber]]=1,RANDBETWEEN(0,1),0))</f>
        <v>0</v>
      </c>
      <c r="AW36" s="5">
        <f ca="1">IF(MatchData[[#This Row],[Crossing Score]]&gt;=40,1,0)</f>
        <v>0</v>
      </c>
      <c r="AX36" s="5"/>
      <c r="AY36" s="5">
        <f ca="1">IF(RANDBETWEEN(1,100)&gt;95,1,0)</f>
        <v>0</v>
      </c>
      <c r="AZ36" s="5">
        <f ca="1">IF(RANDBETWEEN(1,100)&gt;80,1,0)</f>
        <v>0</v>
      </c>
      <c r="BA36" s="5">
        <f ca="1">IF(OR(MatchData[[#This Row],[Challenge Flag]],MatchData[[#This Row],[Climb Flag]]),1,0)</f>
        <v>1</v>
      </c>
      <c r="BB36" s="5">
        <f ca="1">MatchData[Auto High Goals]*10+MatchData[Teleop High Goals]*5</f>
        <v>0</v>
      </c>
      <c r="BC36" s="5">
        <f ca="1">MatchData[Auto Low Goals]*5+MatchData[Teleop Low Goals]*2</f>
        <v>6</v>
      </c>
      <c r="BD36" s="5">
        <f ca="1">MatchData[High Goal Score]+MatchData[Low Goal Score]</f>
        <v>6</v>
      </c>
      <c r="BE36" s="5">
        <f ca="1">MatchData[Teleop High Goals]+MatchData[Teleop Low Goals]</f>
        <v>3</v>
      </c>
      <c r="BF36" s="5">
        <f ca="1">MatchData[[#This Row],[Auto Reach Flag]]*2+SUM(MatchData[[#This Row],[Portcullis Auto Crossings]:[Low Bar Auto Crossings]])*10+MatchData[[#This Row],[Auto Low Goals]]*5+MatchData[Auto High Goals]*10</f>
        <v>2</v>
      </c>
      <c r="BG36" s="5">
        <f ca="1">SUM(MatchData[[#This Row],[Cheval Scored Teleop Crossings]:[Low Bar Scored Teleop Crossings]])</f>
        <v>10</v>
      </c>
      <c r="BH36" s="5">
        <f ca="1">MatchData[Challenge Flag]*5</f>
        <v>5</v>
      </c>
      <c r="BI36" s="5">
        <f ca="1">MatchData[Climb Flag]*15</f>
        <v>0</v>
      </c>
      <c r="BJ36" s="5">
        <f ca="1">SUM(MatchData[[#This Row],[Total Goal Score]],MatchData[[#This Row],[Crossing Score]],MatchData[[#This Row],[Challenge Score]],MatchData[[#This Row],[Climb Score]],MatchData[[#This Row],[Total Auto Score]])</f>
        <v>23</v>
      </c>
      <c r="BK36">
        <v>2</v>
      </c>
      <c r="BL36" s="5">
        <f ca="1">IF(RANDBETWEEN(0,10)&gt;=9,RANDBETWEEN(1,9),0)</f>
        <v>0</v>
      </c>
      <c r="BM36" s="5">
        <f>VLOOKUP(MatchData[[#This Row],[Persona]],Personas!$A$2:$O$5,3)</f>
        <v>1</v>
      </c>
      <c r="BN36" s="13">
        <f>VLOOKUP(MatchData[[#This Row],[Persona]],Personas!$A$2:$P$5,4)</f>
        <v>4</v>
      </c>
      <c r="BO36" s="13">
        <f>VLOOKUP(MatchData[[#This Row],[Persona]],Personas!$A$2:$P$5,5)</f>
        <v>0</v>
      </c>
      <c r="BP36" s="13">
        <f>VLOOKUP(MatchData[[#This Row],[Persona]],Personas!$A$2:$P$5,6)</f>
        <v>0</v>
      </c>
      <c r="BQ36" s="13">
        <f>VLOOKUP(MatchData[[#This Row],[Persona]],Personas!$A$2:$P$5,7)</f>
        <v>0</v>
      </c>
      <c r="BR36" s="13">
        <f>VLOOKUP(MatchData[[#This Row],[Persona]],Personas!$A$2:$P$5,8)</f>
        <v>0</v>
      </c>
      <c r="BS36" s="13">
        <f>VLOOKUP(MatchData[[#This Row],[Persona]],Personas!$A$2:$P$5,9)</f>
        <v>2</v>
      </c>
      <c r="BT36" s="13">
        <f>VLOOKUP(MatchData[[#This Row],[Persona]],Personas!$A$2:$P$5,10)</f>
        <v>2</v>
      </c>
      <c r="BU36" s="13">
        <f>VLOOKUP(MatchData[[#This Row],[Persona]],Personas!$A$2:$P$5,11)</f>
        <v>0</v>
      </c>
      <c r="BV36" s="13">
        <f>VLOOKUP(MatchData[[#This Row],[Persona]],Personas!$A$2:$P$5,12)</f>
        <v>0</v>
      </c>
      <c r="BW36" s="13">
        <f>VLOOKUP(MatchData[[#This Row],[Persona]],Personas!$A$2:$P$5,13)</f>
        <v>2</v>
      </c>
      <c r="BX36" s="13">
        <f>VLOOKUP(MatchData[[#This Row],[Persona]],Personas!$A$2:$P$5,14)</f>
        <v>2</v>
      </c>
      <c r="BY36" s="13">
        <f>VLOOKUP(MatchData[[#This Row],[Persona]],Personas!$A$2:$P$5,15)</f>
        <v>2</v>
      </c>
      <c r="BZ36" s="13">
        <f>VLOOKUP(MatchData[[#This Row],[Persona]],Personas!$A$2:$P$5,16)</f>
        <v>1</v>
      </c>
      <c r="CA36" s="14">
        <f ca="1">ROUND(SUMIF(MatchData[Team],MatchData[[#This Row],[Team]],MatchData[Teleop Low Goals])/COUNTIF(MatchData[Team],MatchData[[#This Row],[Team]]),2)</f>
        <v>2.67</v>
      </c>
      <c r="CB36" s="14">
        <f ca="1">ROUND(SUMIF(MatchData[Team],MatchData[[#This Row],[Team]],MatchData[Teleop High Goals])/COUNTIF(MatchData[Team],MatchData[[#This Row],[Team]]),2)</f>
        <v>0</v>
      </c>
      <c r="CC36" s="14">
        <f>COUNTIF(MatchData[Team],MatchData[[#This Row],[Team]])</f>
        <v>6</v>
      </c>
      <c r="CD36" s="14">
        <f>SUMIF(MatchData[Team],MatchData[[#This Row],[Team]],MatchData[Portcullis Available])</f>
        <v>1</v>
      </c>
      <c r="CE36" s="14">
        <f>SUMIF(MatchData[Team],MatchData[[#This Row],[Team]],MatchData[Cheval Available])</f>
        <v>5</v>
      </c>
      <c r="CF36" s="14">
        <f>SUMIF(MatchData[Team],MatchData[[#This Row],[Team]],MatchData[Moat Available])</f>
        <v>5</v>
      </c>
      <c r="CG36" s="14">
        <f>SUMIF(MatchData[Team],MatchData[[#This Row],[Team]],MatchData[Ramparts Available])</f>
        <v>1</v>
      </c>
      <c r="CH36" s="14">
        <f>SUMIF(MatchData[Team],MatchData[[#This Row],[Team]],MatchData[Drawbridge Available])</f>
        <v>3</v>
      </c>
      <c r="CI36" s="14">
        <f>SUMIF(MatchData[Team],MatchData[[#This Row],[Team]],MatchData[Sally Port Available])</f>
        <v>3</v>
      </c>
      <c r="CJ36" s="14">
        <f>SUMIF(MatchData[Team],MatchData[[#This Row],[Team]],MatchData[Rock Wall Available])</f>
        <v>3</v>
      </c>
      <c r="CK36" s="14">
        <f>SUMIF(MatchData[Team],MatchData[[#This Row],[Team]],MatchData[Rough Terrain Available])</f>
        <v>3</v>
      </c>
      <c r="CL36" s="14">
        <f>SUMIF(MatchData[Team],MatchData[[#This Row],[Team]],MatchData[Low Bar Available])</f>
        <v>6</v>
      </c>
      <c r="CM36" s="14">
        <f ca="1">SUMIF(MatchData[Team],MatchData[[#This Row],[Team]],MatchData[Portcullis Teleop Crossings])</f>
        <v>1</v>
      </c>
      <c r="CN36" s="14">
        <f ca="1">SUMIF(MatchData[Team],MatchData[[#This Row],[Team]],MatchData[Cheval Teleop Crossings])</f>
        <v>0</v>
      </c>
      <c r="CO36" s="14">
        <f ca="1">SUMIF(MatchData[Team],MatchData[[#This Row],[Team]],MatchData[Moat Teleop Crossings])</f>
        <v>7</v>
      </c>
      <c r="CP36" s="14">
        <f ca="1">SUMIF(MatchData[Team],MatchData[[#This Row],[Team]],MatchData[Ramparts Teleop Crossings])</f>
        <v>1</v>
      </c>
      <c r="CQ36" s="14">
        <f ca="1">SUMIF(MatchData[Team],MatchData[[#This Row],[Team]],MatchData[Drawbridge Teleop Crossings])</f>
        <v>0</v>
      </c>
      <c r="CR36" s="14">
        <f ca="1">SUMIF(MatchData[Team],MatchData[[#This Row],[Team]],MatchData[Sally Port Teleop Crossings])</f>
        <v>0</v>
      </c>
      <c r="CS36" s="14">
        <f ca="1">SUMIF(MatchData[Team],MatchData[[#This Row],[Team]],MatchData[Rock Wall Teleop Crossings])</f>
        <v>1</v>
      </c>
      <c r="CT36" s="14">
        <f ca="1">SUMIF(MatchData[Team],MatchData[[#This Row],[Team]],MatchData[Rough Terrain Teleop Crossings])</f>
        <v>4</v>
      </c>
      <c r="CU36" s="14">
        <f ca="1">SUMIF(MatchData[Team],MatchData[[#This Row],[Team]],MatchData[Low Bar Teleop Crossings])</f>
        <v>2</v>
      </c>
      <c r="CV36" s="14">
        <f ca="1">IFERROR(ROUND(MatchData[[#This Row],[Portcullis Sum]]/MatchData[[#This Row],[Portcullis Avail Count]],2),0)</f>
        <v>1</v>
      </c>
      <c r="CW36">
        <f ca="1">IFERROR(ROUND(MatchData[[#This Row],[Cheval Sum]]/MatchData[[#This Row],[Cheval Avail Count]],2),0)</f>
        <v>0</v>
      </c>
      <c r="CX36">
        <f ca="1">IFERROR(ROUND(MatchData[[#This Row],[Moat Sum]]/MatchData[[#This Row],[Moat Avail Count]],2),0)</f>
        <v>1.4</v>
      </c>
      <c r="CY36">
        <f ca="1">IFERROR(ROUND(MatchData[[#This Row],[Ramparts Sum]]/MatchData[[#This Row],[Ramparts Avail Count]],2),0)</f>
        <v>1</v>
      </c>
      <c r="CZ36">
        <f ca="1">IFERROR(ROUND(MatchData[[#This Row],[Drawbridge Sum]]/MatchData[[#This Row],[Drawbridge HAvail Countigh6]],2),0)</f>
        <v>0</v>
      </c>
      <c r="DA36">
        <f ca="1">IFERROR(ROUND(MatchData[[#This Row],[Sally Port Sum]]/MatchData[[#This Row],[Sally Port Avail Count]],2),0)</f>
        <v>0</v>
      </c>
      <c r="DB36">
        <f ca="1">IFERROR(ROUND(MatchData[[#This Row],[Rock Wall Sum]]/MatchData[[#This Row],[Rock Wall Avail Count]],2),0)</f>
        <v>0.33</v>
      </c>
      <c r="DC36">
        <f ca="1">IFERROR(ROUND(MatchData[[#This Row],[Rough Terrain Sum]]/MatchData[[#This Row],[Rough Terrain Avail Count]],2),0)</f>
        <v>1.33</v>
      </c>
      <c r="DD36">
        <f ca="1">IFERROR(ROUND(MatchData[[#This Row],[Low Bar Sum]]/MatchData[[#This Row],[Low Bar Avail Count]],2),0)</f>
        <v>0.33</v>
      </c>
      <c r="DE36" s="14">
        <f t="array" aca="1" ref="DE36" ca="1">MAX(IF(C$4:C$75=C36,BE$4:BE$75))</f>
        <v>4</v>
      </c>
      <c r="DF36" s="14">
        <f ca="1">AVERAGEIF(MatchData[Team],MatchData[Team],MatchData[Total Score])</f>
        <v>24.833333333333332</v>
      </c>
      <c r="DG36" s="14">
        <f ca="1">ROUND(AVERAGEIF(MatchData[Team],MatchData[Team],MatchData[Climb or Challenge Flag]),2)</f>
        <v>1</v>
      </c>
    </row>
    <row r="37" spans="1:111">
      <c r="A37" t="s">
        <v>54</v>
      </c>
      <c r="B37" s="4">
        <v>8</v>
      </c>
      <c r="C37">
        <v>1006</v>
      </c>
      <c r="D37" t="s">
        <v>55</v>
      </c>
      <c r="E37" t="s">
        <v>61</v>
      </c>
      <c r="F37">
        <f ca="1">IF(MatchData[[#This Row],[Persona]] = 4,RANDBETWEEN(0,1),0)</f>
        <v>0</v>
      </c>
      <c r="G37">
        <f ca="1">IF(MatchData[[#This Row],[Persona]] = 3,RANDBETWEEN(0,1),0)</f>
        <v>0</v>
      </c>
      <c r="H37">
        <f ca="1">RANDBETWEEN(MatchData[[#This Row],[High Goal Low]],MatchData[[#This Row],[High Goal High]])</f>
        <v>0</v>
      </c>
      <c r="I37">
        <f ca="1">RANDBETWEEN(MatchData[[#This Row],[Low Goal Low]],MatchData[[#This Row],[Low Goal High]])</f>
        <v>4</v>
      </c>
      <c r="J37" s="6"/>
      <c r="K37" s="6">
        <v>1</v>
      </c>
      <c r="L37" s="6">
        <v>1</v>
      </c>
      <c r="M37" s="6"/>
      <c r="N37" s="6"/>
      <c r="O37" s="6">
        <v>1</v>
      </c>
      <c r="P37" s="6">
        <v>1</v>
      </c>
      <c r="Q37" s="5"/>
      <c r="R37" s="5">
        <v>1</v>
      </c>
      <c r="S37" s="5">
        <f ca="1">IF(MatchData[[#This Row],[Auto Crossing Test Generator]]=0,RANDBETWEEN(0,1),0)</f>
        <v>0</v>
      </c>
      <c r="T37" s="5">
        <f ca="1">IF(MatchData[Auto Crossing Test Generator]=1,1,0)</f>
        <v>0</v>
      </c>
      <c r="U37" s="5">
        <f ca="1">IF(MatchData[[#This Row],[Auto Crossing Test Generator]]=2,RANDBETWEEN(0,1),0)</f>
        <v>0</v>
      </c>
      <c r="V37" s="5">
        <f ca="1">IF(MatchData[[#This Row],[Auto Crossing Test Generator]]=3,RANDBETWEEN(0,1),0)</f>
        <v>0</v>
      </c>
      <c r="W37" s="5">
        <f ca="1">IF(MatchData[[#This Row],[Auto Crossing Test Generator]]=4,RANDBETWEEN(0,1),0)</f>
        <v>0</v>
      </c>
      <c r="X37" s="5">
        <f ca="1">IF(MatchData[[#This Row],[Auto Crossing Test Generator]]=5,RANDBETWEEN(0,1),0)</f>
        <v>0</v>
      </c>
      <c r="Y37" s="5">
        <f ca="1">IF(MatchData[[#This Row],[Auto Crossing Test Generator]]=6,RANDBETWEEN(0,1),0)</f>
        <v>0</v>
      </c>
      <c r="Z37" s="5">
        <f ca="1">IF(MatchData[[#This Row],[Auto Crossing Test Generator]]=7,RANDBETWEEN(0,1),0)</f>
        <v>0</v>
      </c>
      <c r="AA37" s="5">
        <f ca="1">IF(MatchData[[#This Row],[Auto Crossing Test Generator]]=8,RANDBETWEEN(0,1),0)</f>
        <v>0</v>
      </c>
      <c r="AB37" s="5">
        <f ca="1">IF(MatchData[[#This Row],[Auto Crossing Test Generator]]&gt;8,RANDBETWEEN(0,1),0)</f>
        <v>0</v>
      </c>
      <c r="AC37" s="5">
        <f ca="1">IF(MatchData[[#This Row],[Auto Crossing Test Generator]]=9,RANDBETWEEN(0,1),0)</f>
        <v>0</v>
      </c>
      <c r="AD37" s="5">
        <f ca="1">IF(MatchData[[#This Row],[Cheval Available]]=1,RANDBETWEEN(0,MatchData[[#This Row],[Cheval High]]),0)</f>
        <v>0</v>
      </c>
      <c r="AE37" s="5">
        <f ca="1">IF(MatchData[[#This Row],[Moat Available]]=1,RANDBETWEEN(0,MatchData[[#This Row],[Moat High]]),0)</f>
        <v>0</v>
      </c>
      <c r="AF37" s="5">
        <f ca="1">IF(MatchData[[#This Row],[Ramparts Available]]=1,RANDBETWEEN(0,MatchData[[#This Row],[Ramparts High]]),0)</f>
        <v>0</v>
      </c>
      <c r="AG37" s="5">
        <f ca="1">IF(MatchData[[#This Row],[Drawbridge Available]]=1,RANDBETWEEN(0,MatchData[[#This Row],[Drawbridge High]]),0)</f>
        <v>0</v>
      </c>
      <c r="AH37" s="5">
        <f ca="1">IF(MatchData[[#This Row],[Sally Port Available]]=1,RANDBETWEEN(0,MatchData[[#This Row],[Sally Port High]]),0)</f>
        <v>0</v>
      </c>
      <c r="AI37" s="5">
        <f ca="1">IF(MatchData[[#This Row],[Rock Wall Available]]=1,RANDBETWEEN(0,MatchData[[#This Row],[Rock Wall High]]),0)</f>
        <v>0</v>
      </c>
      <c r="AJ37" s="5">
        <f ca="1">IF(MatchData[[#This Row],[Rough Terrain Available]]=1,RANDBETWEEN(0,MatchData[[#This Row],[Rough Terrain High]]),0)</f>
        <v>0</v>
      </c>
      <c r="AK37" s="5">
        <f ca="1">IF(MatchData[[#This Row],[Low Bar Available]]=1,RANDBETWEEN(0,MatchData[[#This Row],[Low Bar High]]),0)</f>
        <v>0</v>
      </c>
      <c r="AL37" s="5">
        <f ca="1">IF(MatchData[Cheval Teleop Crossings]&gt;3,10, MatchData[Cheval Teleop Crossings]*5)</f>
        <v>0</v>
      </c>
      <c r="AM37" s="5">
        <f ca="1">IF(MatchData[Moat Teleop Crossings]&gt;3,10, MatchData[Moat Teleop Crossings]*5)</f>
        <v>0</v>
      </c>
      <c r="AN37" s="5">
        <f ca="1">IF(MatchData[Ramparts Teleop Crossings]&gt;3,10, MatchData[Ramparts Teleop Crossings]*5)</f>
        <v>0</v>
      </c>
      <c r="AO37" s="5">
        <f ca="1">IF(MatchData[Drawbridge Teleop Crossings]&gt;3,10, MatchData[Drawbridge Teleop Crossings]*5)</f>
        <v>0</v>
      </c>
      <c r="AP37" s="5">
        <f ca="1">IF(MatchData[Sally Port Teleop Crossings]&gt;3,10, MatchData[Sally Port Teleop Crossings]*5)</f>
        <v>0</v>
      </c>
      <c r="AQ37" s="5">
        <f ca="1">IF(MatchData[Rock Wall Teleop Crossings]&gt;3,10, MatchData[Rock Wall Teleop Crossings]*5)</f>
        <v>0</v>
      </c>
      <c r="AR37" s="5">
        <f ca="1">IF(MatchData[Rough Terrain Teleop Crossings]&gt;3,10, MatchData[Rough Terrain Teleop Crossings]*5)</f>
        <v>0</v>
      </c>
      <c r="AS37" s="5">
        <f ca="1">IF(MatchData[Low Bar Teleop Crossings]&gt;3,10, MatchData[Low Bar Teleop Crossings]*5)</f>
        <v>0</v>
      </c>
      <c r="AT37" s="5">
        <f ca="1">SUM(MatchData[[#This Row],[Portcullis Teleop Crossings]:[Low Bar Teleop Crossings]])</f>
        <v>0</v>
      </c>
      <c r="AU37" s="5">
        <f ca="1">IF(RANDBETWEEN(1,4)&gt;1,1,0)</f>
        <v>0</v>
      </c>
      <c r="AV37" s="5">
        <f ca="1">IF(MatchData[[#This Row],[Challenge Flag]]=1,0,IF(MatchData[[#This Row],[Climber]]=1,RANDBETWEEN(0,1),0))</f>
        <v>1</v>
      </c>
      <c r="AW37" s="5">
        <f ca="1">IF(MatchData[[#This Row],[Crossing Score]]&gt;=40,1,0)</f>
        <v>0</v>
      </c>
      <c r="AX37" s="5"/>
      <c r="AY37" s="5">
        <f ca="1">IF(RANDBETWEEN(1,100)&gt;95,1,0)</f>
        <v>0</v>
      </c>
      <c r="AZ37" s="5">
        <f ca="1">IF(RANDBETWEEN(1,100)&gt;80,1,0)</f>
        <v>0</v>
      </c>
      <c r="BA37" s="5">
        <f ca="1">IF(OR(MatchData[[#This Row],[Challenge Flag]],MatchData[[#This Row],[Climb Flag]]),1,0)</f>
        <v>1</v>
      </c>
      <c r="BB37" s="5">
        <f ca="1">MatchData[Auto High Goals]*10+MatchData[Teleop High Goals]*5</f>
        <v>0</v>
      </c>
      <c r="BC37" s="5">
        <f ca="1">MatchData[Auto Low Goals]*5+MatchData[Teleop Low Goals]*2</f>
        <v>8</v>
      </c>
      <c r="BD37" s="5">
        <f ca="1">MatchData[High Goal Score]+MatchData[Low Goal Score]</f>
        <v>8</v>
      </c>
      <c r="BE37" s="5">
        <f ca="1">MatchData[Teleop High Goals]+MatchData[Teleop Low Goals]</f>
        <v>4</v>
      </c>
      <c r="BF37" s="5">
        <f ca="1">MatchData[[#This Row],[Auto Reach Flag]]*2+SUM(MatchData[[#This Row],[Portcullis Auto Crossings]:[Low Bar Auto Crossings]])*10+MatchData[[#This Row],[Auto Low Goals]]*5+MatchData[Auto High Goals]*10</f>
        <v>0</v>
      </c>
      <c r="BG37" s="5">
        <f ca="1">SUM(MatchData[[#This Row],[Cheval Scored Teleop Crossings]:[Low Bar Scored Teleop Crossings]])</f>
        <v>0</v>
      </c>
      <c r="BH37" s="5">
        <f ca="1">MatchData[Challenge Flag]*5</f>
        <v>0</v>
      </c>
      <c r="BI37" s="5">
        <f ca="1">MatchData[Climb Flag]*15</f>
        <v>15</v>
      </c>
      <c r="BJ37" s="5">
        <f ca="1">SUM(MatchData[[#This Row],[Total Goal Score]],MatchData[[#This Row],[Crossing Score]],MatchData[[#This Row],[Challenge Score]],MatchData[[#This Row],[Climb Score]],MatchData[[#This Row],[Total Auto Score]])</f>
        <v>23</v>
      </c>
      <c r="BK37">
        <v>2</v>
      </c>
      <c r="BL37" s="5">
        <f ca="1">IF(RANDBETWEEN(0,10)&gt;=9,RANDBETWEEN(1,9),0)</f>
        <v>4</v>
      </c>
      <c r="BM37" s="5">
        <f>VLOOKUP(MatchData[[#This Row],[Persona]],Personas!$A$2:$O$5,3)</f>
        <v>1</v>
      </c>
      <c r="BN37" s="13">
        <f>VLOOKUP(MatchData[[#This Row],[Persona]],Personas!$A$2:$P$5,4)</f>
        <v>4</v>
      </c>
      <c r="BO37" s="13">
        <f>VLOOKUP(MatchData[[#This Row],[Persona]],Personas!$A$2:$P$5,5)</f>
        <v>0</v>
      </c>
      <c r="BP37" s="13">
        <f>VLOOKUP(MatchData[[#This Row],[Persona]],Personas!$A$2:$P$5,6)</f>
        <v>0</v>
      </c>
      <c r="BQ37" s="13">
        <f>VLOOKUP(MatchData[[#This Row],[Persona]],Personas!$A$2:$P$5,7)</f>
        <v>0</v>
      </c>
      <c r="BR37" s="13">
        <f>VLOOKUP(MatchData[[#This Row],[Persona]],Personas!$A$2:$P$5,8)</f>
        <v>0</v>
      </c>
      <c r="BS37" s="13">
        <f>VLOOKUP(MatchData[[#This Row],[Persona]],Personas!$A$2:$P$5,9)</f>
        <v>2</v>
      </c>
      <c r="BT37" s="13">
        <f>VLOOKUP(MatchData[[#This Row],[Persona]],Personas!$A$2:$P$5,10)</f>
        <v>2</v>
      </c>
      <c r="BU37" s="13">
        <f>VLOOKUP(MatchData[[#This Row],[Persona]],Personas!$A$2:$P$5,11)</f>
        <v>0</v>
      </c>
      <c r="BV37" s="13">
        <f>VLOOKUP(MatchData[[#This Row],[Persona]],Personas!$A$2:$P$5,12)</f>
        <v>0</v>
      </c>
      <c r="BW37" s="13">
        <f>VLOOKUP(MatchData[[#This Row],[Persona]],Personas!$A$2:$P$5,13)</f>
        <v>2</v>
      </c>
      <c r="BX37" s="13">
        <f>VLOOKUP(MatchData[[#This Row],[Persona]],Personas!$A$2:$P$5,14)</f>
        <v>2</v>
      </c>
      <c r="BY37" s="13">
        <f>VLOOKUP(MatchData[[#This Row],[Persona]],Personas!$A$2:$P$5,15)</f>
        <v>2</v>
      </c>
      <c r="BZ37" s="13">
        <f>VLOOKUP(MatchData[[#This Row],[Persona]],Personas!$A$2:$P$5,16)</f>
        <v>1</v>
      </c>
      <c r="CA37" s="14">
        <f ca="1">ROUND(SUMIF(MatchData[Team],MatchData[[#This Row],[Team]],MatchData[Teleop Low Goals])/COUNTIF(MatchData[Team],MatchData[[#This Row],[Team]]),2)</f>
        <v>2.67</v>
      </c>
      <c r="CB37" s="14">
        <f ca="1">ROUND(SUMIF(MatchData[Team],MatchData[[#This Row],[Team]],MatchData[Teleop High Goals])/COUNTIF(MatchData[Team],MatchData[[#This Row],[Team]]),2)</f>
        <v>0</v>
      </c>
      <c r="CC37" s="14">
        <f>COUNTIF(MatchData[Team],MatchData[[#This Row],[Team]])</f>
        <v>6</v>
      </c>
      <c r="CD37" s="14">
        <f>SUMIF(MatchData[Team],MatchData[[#This Row],[Team]],MatchData[Portcullis Available])</f>
        <v>1</v>
      </c>
      <c r="CE37" s="14">
        <f>SUMIF(MatchData[Team],MatchData[[#This Row],[Team]],MatchData[Cheval Available])</f>
        <v>5</v>
      </c>
      <c r="CF37" s="14">
        <f>SUMIF(MatchData[Team],MatchData[[#This Row],[Team]],MatchData[Moat Available])</f>
        <v>5</v>
      </c>
      <c r="CG37" s="14">
        <f>SUMIF(MatchData[Team],MatchData[[#This Row],[Team]],MatchData[Ramparts Available])</f>
        <v>1</v>
      </c>
      <c r="CH37" s="14">
        <f>SUMIF(MatchData[Team],MatchData[[#This Row],[Team]],MatchData[Drawbridge Available])</f>
        <v>3</v>
      </c>
      <c r="CI37" s="14">
        <f>SUMIF(MatchData[Team],MatchData[[#This Row],[Team]],MatchData[Sally Port Available])</f>
        <v>3</v>
      </c>
      <c r="CJ37" s="14">
        <f>SUMIF(MatchData[Team],MatchData[[#This Row],[Team]],MatchData[Rock Wall Available])</f>
        <v>3</v>
      </c>
      <c r="CK37" s="14">
        <f>SUMIF(MatchData[Team],MatchData[[#This Row],[Team]],MatchData[Rough Terrain Available])</f>
        <v>3</v>
      </c>
      <c r="CL37" s="14">
        <f>SUMIF(MatchData[Team],MatchData[[#This Row],[Team]],MatchData[Low Bar Available])</f>
        <v>6</v>
      </c>
      <c r="CM37" s="14">
        <f ca="1">SUMIF(MatchData[Team],MatchData[[#This Row],[Team]],MatchData[Portcullis Teleop Crossings])</f>
        <v>1</v>
      </c>
      <c r="CN37" s="14">
        <f ca="1">SUMIF(MatchData[Team],MatchData[[#This Row],[Team]],MatchData[Cheval Teleop Crossings])</f>
        <v>0</v>
      </c>
      <c r="CO37" s="14">
        <f ca="1">SUMIF(MatchData[Team],MatchData[[#This Row],[Team]],MatchData[Moat Teleop Crossings])</f>
        <v>7</v>
      </c>
      <c r="CP37" s="14">
        <f ca="1">SUMIF(MatchData[Team],MatchData[[#This Row],[Team]],MatchData[Ramparts Teleop Crossings])</f>
        <v>1</v>
      </c>
      <c r="CQ37" s="14">
        <f ca="1">SUMIF(MatchData[Team],MatchData[[#This Row],[Team]],MatchData[Drawbridge Teleop Crossings])</f>
        <v>0</v>
      </c>
      <c r="CR37" s="14">
        <f ca="1">SUMIF(MatchData[Team],MatchData[[#This Row],[Team]],MatchData[Sally Port Teleop Crossings])</f>
        <v>0</v>
      </c>
      <c r="CS37" s="14">
        <f ca="1">SUMIF(MatchData[Team],MatchData[[#This Row],[Team]],MatchData[Rock Wall Teleop Crossings])</f>
        <v>1</v>
      </c>
      <c r="CT37" s="14">
        <f ca="1">SUMIF(MatchData[Team],MatchData[[#This Row],[Team]],MatchData[Rough Terrain Teleop Crossings])</f>
        <v>4</v>
      </c>
      <c r="CU37" s="14">
        <f ca="1">SUMIF(MatchData[Team],MatchData[[#This Row],[Team]],MatchData[Low Bar Teleop Crossings])</f>
        <v>2</v>
      </c>
      <c r="CV37" s="14">
        <f ca="1">IFERROR(ROUND(MatchData[[#This Row],[Portcullis Sum]]/MatchData[[#This Row],[Portcullis Avail Count]],2),0)</f>
        <v>1</v>
      </c>
      <c r="CW37">
        <f ca="1">IFERROR(ROUND(MatchData[[#This Row],[Cheval Sum]]/MatchData[[#This Row],[Cheval Avail Count]],2),0)</f>
        <v>0</v>
      </c>
      <c r="CX37">
        <f ca="1">IFERROR(ROUND(MatchData[[#This Row],[Moat Sum]]/MatchData[[#This Row],[Moat Avail Count]],2),0)</f>
        <v>1.4</v>
      </c>
      <c r="CY37">
        <f ca="1">IFERROR(ROUND(MatchData[[#This Row],[Ramparts Sum]]/MatchData[[#This Row],[Ramparts Avail Count]],2),0)</f>
        <v>1</v>
      </c>
      <c r="CZ37">
        <f ca="1">IFERROR(ROUND(MatchData[[#This Row],[Drawbridge Sum]]/MatchData[[#This Row],[Drawbridge HAvail Countigh6]],2),0)</f>
        <v>0</v>
      </c>
      <c r="DA37">
        <f ca="1">IFERROR(ROUND(MatchData[[#This Row],[Sally Port Sum]]/MatchData[[#This Row],[Sally Port Avail Count]],2),0)</f>
        <v>0</v>
      </c>
      <c r="DB37">
        <f ca="1">IFERROR(ROUND(MatchData[[#This Row],[Rock Wall Sum]]/MatchData[[#This Row],[Rock Wall Avail Count]],2),0)</f>
        <v>0.33</v>
      </c>
      <c r="DC37">
        <f ca="1">IFERROR(ROUND(MatchData[[#This Row],[Rough Terrain Sum]]/MatchData[[#This Row],[Rough Terrain Avail Count]],2),0)</f>
        <v>1.33</v>
      </c>
      <c r="DD37">
        <f ca="1">IFERROR(ROUND(MatchData[[#This Row],[Low Bar Sum]]/MatchData[[#This Row],[Low Bar Avail Count]],2),0)</f>
        <v>0.33</v>
      </c>
      <c r="DE37" s="14">
        <f t="array" aca="1" ref="DE37" ca="1">MAX(IF(C$4:C$75=C37,BE$4:BE$75))</f>
        <v>4</v>
      </c>
      <c r="DF37" s="14">
        <f ca="1">AVERAGEIF(MatchData[Team],MatchData[Team],MatchData[Total Score])</f>
        <v>24.833333333333332</v>
      </c>
      <c r="DG37" s="14">
        <f ca="1">ROUND(AVERAGEIF(MatchData[Team],MatchData[Team],MatchData[Climb or Challenge Flag]),2)</f>
        <v>1</v>
      </c>
    </row>
    <row r="38" spans="1:111">
      <c r="A38" t="s">
        <v>54</v>
      </c>
      <c r="B38" s="4">
        <v>10</v>
      </c>
      <c r="C38">
        <v>1006</v>
      </c>
      <c r="D38" t="s">
        <v>56</v>
      </c>
      <c r="E38" t="s">
        <v>58</v>
      </c>
      <c r="F38">
        <f ca="1">IF(MatchData[[#This Row],[Persona]] = 4,RANDBETWEEN(0,1),0)</f>
        <v>0</v>
      </c>
      <c r="G38">
        <f ca="1">IF(MatchData[[#This Row],[Persona]] = 3,RANDBETWEEN(0,1),0)</f>
        <v>0</v>
      </c>
      <c r="H38">
        <f ca="1">RANDBETWEEN(MatchData[[#This Row],[High Goal Low]],MatchData[[#This Row],[High Goal High]])</f>
        <v>0</v>
      </c>
      <c r="I38">
        <f ca="1">RANDBETWEEN(MatchData[[#This Row],[Low Goal Low]],MatchData[[#This Row],[Low Goal High]])</f>
        <v>2</v>
      </c>
      <c r="J38" s="6"/>
      <c r="K38" s="6">
        <v>1</v>
      </c>
      <c r="L38" s="6">
        <v>1</v>
      </c>
      <c r="M38" s="6"/>
      <c r="N38" s="6">
        <v>1</v>
      </c>
      <c r="O38" s="6"/>
      <c r="P38" s="6"/>
      <c r="Q38" s="5">
        <v>1</v>
      </c>
      <c r="R38" s="5">
        <v>1</v>
      </c>
      <c r="S38" s="5">
        <f ca="1">IF(MatchData[[#This Row],[Auto Crossing Test Generator]]=0,RANDBETWEEN(0,1),0)</f>
        <v>0</v>
      </c>
      <c r="T38" s="5">
        <f ca="1">IF(MatchData[Auto Crossing Test Generator]=1,1,0)</f>
        <v>0</v>
      </c>
      <c r="U38" s="5">
        <f ca="1">IF(MatchData[[#This Row],[Auto Crossing Test Generator]]=2,RANDBETWEEN(0,1),0)</f>
        <v>0</v>
      </c>
      <c r="V38" s="5">
        <f ca="1">IF(MatchData[[#This Row],[Auto Crossing Test Generator]]=3,RANDBETWEEN(0,1),0)</f>
        <v>0</v>
      </c>
      <c r="W38" s="5">
        <f ca="1">IF(MatchData[[#This Row],[Auto Crossing Test Generator]]=4,RANDBETWEEN(0,1),0)</f>
        <v>0</v>
      </c>
      <c r="X38" s="5">
        <f ca="1">IF(MatchData[[#This Row],[Auto Crossing Test Generator]]=5,RANDBETWEEN(0,1),0)</f>
        <v>0</v>
      </c>
      <c r="Y38" s="5">
        <f ca="1">IF(MatchData[[#This Row],[Auto Crossing Test Generator]]=6,RANDBETWEEN(0,1),0)</f>
        <v>0</v>
      </c>
      <c r="Z38" s="5">
        <f ca="1">IF(MatchData[[#This Row],[Auto Crossing Test Generator]]=7,RANDBETWEEN(0,1),0)</f>
        <v>0</v>
      </c>
      <c r="AA38" s="5">
        <f ca="1">IF(MatchData[[#This Row],[Auto Crossing Test Generator]]=8,RANDBETWEEN(0,1),0)</f>
        <v>0</v>
      </c>
      <c r="AB38" s="5">
        <f ca="1">IF(MatchData[[#This Row],[Auto Crossing Test Generator]]&gt;8,RANDBETWEEN(0,1),0)</f>
        <v>0</v>
      </c>
      <c r="AC38" s="5">
        <f ca="1">IF(MatchData[[#This Row],[Auto Crossing Test Generator]]=9,RANDBETWEEN(0,1),0)</f>
        <v>0</v>
      </c>
      <c r="AD38" s="5">
        <f ca="1">IF(MatchData[[#This Row],[Cheval Available]]=1,RANDBETWEEN(0,MatchData[[#This Row],[Cheval High]]),0)</f>
        <v>0</v>
      </c>
      <c r="AE38" s="5">
        <f ca="1">IF(MatchData[[#This Row],[Moat Available]]=1,RANDBETWEEN(0,MatchData[[#This Row],[Moat High]]),0)</f>
        <v>1</v>
      </c>
      <c r="AF38" s="5">
        <f ca="1">IF(MatchData[[#This Row],[Ramparts Available]]=1,RANDBETWEEN(0,MatchData[[#This Row],[Ramparts High]]),0)</f>
        <v>0</v>
      </c>
      <c r="AG38" s="5">
        <f ca="1">IF(MatchData[[#This Row],[Drawbridge Available]]=1,RANDBETWEEN(0,MatchData[[#This Row],[Drawbridge High]]),0)</f>
        <v>0</v>
      </c>
      <c r="AH38" s="5">
        <f ca="1">IF(MatchData[[#This Row],[Sally Port Available]]=1,RANDBETWEEN(0,MatchData[[#This Row],[Sally Port High]]),0)</f>
        <v>0</v>
      </c>
      <c r="AI38" s="5">
        <f ca="1">IF(MatchData[[#This Row],[Rock Wall Available]]=1,RANDBETWEEN(0,MatchData[[#This Row],[Rock Wall High]]),0)</f>
        <v>0</v>
      </c>
      <c r="AJ38" s="5">
        <f ca="1">IF(MatchData[[#This Row],[Rough Terrain Available]]=1,RANDBETWEEN(0,MatchData[[#This Row],[Rough Terrain High]]),0)</f>
        <v>2</v>
      </c>
      <c r="AK38" s="5">
        <f ca="1">IF(MatchData[[#This Row],[Low Bar Available]]=1,RANDBETWEEN(0,MatchData[[#This Row],[Low Bar High]]),0)</f>
        <v>0</v>
      </c>
      <c r="AL38" s="5">
        <f ca="1">IF(MatchData[Cheval Teleop Crossings]&gt;3,10, MatchData[Cheval Teleop Crossings]*5)</f>
        <v>0</v>
      </c>
      <c r="AM38" s="5">
        <f ca="1">IF(MatchData[Moat Teleop Crossings]&gt;3,10, MatchData[Moat Teleop Crossings]*5)</f>
        <v>5</v>
      </c>
      <c r="AN38" s="5">
        <f ca="1">IF(MatchData[Ramparts Teleop Crossings]&gt;3,10, MatchData[Ramparts Teleop Crossings]*5)</f>
        <v>0</v>
      </c>
      <c r="AO38" s="5">
        <f ca="1">IF(MatchData[Drawbridge Teleop Crossings]&gt;3,10, MatchData[Drawbridge Teleop Crossings]*5)</f>
        <v>0</v>
      </c>
      <c r="AP38" s="5">
        <f ca="1">IF(MatchData[Sally Port Teleop Crossings]&gt;3,10, MatchData[Sally Port Teleop Crossings]*5)</f>
        <v>0</v>
      </c>
      <c r="AQ38" s="5">
        <f ca="1">IF(MatchData[Rock Wall Teleop Crossings]&gt;3,10, MatchData[Rock Wall Teleop Crossings]*5)</f>
        <v>0</v>
      </c>
      <c r="AR38" s="5">
        <f ca="1">IF(MatchData[Rough Terrain Teleop Crossings]&gt;3,10, MatchData[Rough Terrain Teleop Crossings]*5)</f>
        <v>10</v>
      </c>
      <c r="AS38" s="5">
        <f ca="1">IF(MatchData[Low Bar Teleop Crossings]&gt;3,10, MatchData[Low Bar Teleop Crossings]*5)</f>
        <v>0</v>
      </c>
      <c r="AT38" s="5">
        <f ca="1">SUM(MatchData[[#This Row],[Portcullis Teleop Crossings]:[Low Bar Teleop Crossings]])</f>
        <v>3</v>
      </c>
      <c r="AU38" s="5">
        <f ca="1">IF(RANDBETWEEN(1,4)&gt;1,1,0)</f>
        <v>1</v>
      </c>
      <c r="AV38" s="5">
        <f ca="1">IF(MatchData[[#This Row],[Challenge Flag]]=1,0,IF(MatchData[[#This Row],[Climber]]=1,RANDBETWEEN(0,1),0))</f>
        <v>0</v>
      </c>
      <c r="AW38" s="5">
        <f ca="1">IF(MatchData[[#This Row],[Crossing Score]]&gt;=40,1,0)</f>
        <v>0</v>
      </c>
      <c r="AX38" s="5"/>
      <c r="AY38" s="5">
        <f ca="1">IF(RANDBETWEEN(1,100)&gt;95,1,0)</f>
        <v>0</v>
      </c>
      <c r="AZ38" s="5">
        <f ca="1">IF(RANDBETWEEN(1,100)&gt;80,1,0)</f>
        <v>1</v>
      </c>
      <c r="BA38" s="5">
        <f ca="1">IF(OR(MatchData[[#This Row],[Challenge Flag]],MatchData[[#This Row],[Climb Flag]]),1,0)</f>
        <v>1</v>
      </c>
      <c r="BB38" s="5">
        <f ca="1">MatchData[Auto High Goals]*10+MatchData[Teleop High Goals]*5</f>
        <v>0</v>
      </c>
      <c r="BC38" s="5">
        <f ca="1">MatchData[Auto Low Goals]*5+MatchData[Teleop Low Goals]*2</f>
        <v>4</v>
      </c>
      <c r="BD38" s="5">
        <f ca="1">MatchData[High Goal Score]+MatchData[Low Goal Score]</f>
        <v>4</v>
      </c>
      <c r="BE38" s="5">
        <f ca="1">MatchData[Teleop High Goals]+MatchData[Teleop Low Goals]</f>
        <v>2</v>
      </c>
      <c r="BF38" s="5">
        <f ca="1">MatchData[[#This Row],[Auto Reach Flag]]*2+SUM(MatchData[[#This Row],[Portcullis Auto Crossings]:[Low Bar Auto Crossings]])*10+MatchData[[#This Row],[Auto Low Goals]]*5+MatchData[Auto High Goals]*10</f>
        <v>0</v>
      </c>
      <c r="BG38" s="5">
        <f ca="1">SUM(MatchData[[#This Row],[Cheval Scored Teleop Crossings]:[Low Bar Scored Teleop Crossings]])</f>
        <v>15</v>
      </c>
      <c r="BH38" s="5">
        <f ca="1">MatchData[Challenge Flag]*5</f>
        <v>5</v>
      </c>
      <c r="BI38" s="5">
        <f ca="1">MatchData[Climb Flag]*15</f>
        <v>0</v>
      </c>
      <c r="BJ38" s="5">
        <f ca="1">SUM(MatchData[[#This Row],[Total Goal Score]],MatchData[[#This Row],[Crossing Score]],MatchData[[#This Row],[Challenge Score]],MatchData[[#This Row],[Climb Score]],MatchData[[#This Row],[Total Auto Score]])</f>
        <v>24</v>
      </c>
      <c r="BK38">
        <v>2</v>
      </c>
      <c r="BL38" s="5">
        <f ca="1">IF(RANDBETWEEN(0,10)&gt;=9,RANDBETWEEN(1,9),0)</f>
        <v>0</v>
      </c>
      <c r="BM38" s="5">
        <f>VLOOKUP(MatchData[[#This Row],[Persona]],Personas!$A$2:$O$5,3)</f>
        <v>1</v>
      </c>
      <c r="BN38" s="13">
        <f>VLOOKUP(MatchData[[#This Row],[Persona]],Personas!$A$2:$P$5,4)</f>
        <v>4</v>
      </c>
      <c r="BO38" s="13">
        <f>VLOOKUP(MatchData[[#This Row],[Persona]],Personas!$A$2:$P$5,5)</f>
        <v>0</v>
      </c>
      <c r="BP38" s="13">
        <f>VLOOKUP(MatchData[[#This Row],[Persona]],Personas!$A$2:$P$5,6)</f>
        <v>0</v>
      </c>
      <c r="BQ38" s="13">
        <f>VLOOKUP(MatchData[[#This Row],[Persona]],Personas!$A$2:$P$5,7)</f>
        <v>0</v>
      </c>
      <c r="BR38" s="13">
        <f>VLOOKUP(MatchData[[#This Row],[Persona]],Personas!$A$2:$P$5,8)</f>
        <v>0</v>
      </c>
      <c r="BS38" s="13">
        <f>VLOOKUP(MatchData[[#This Row],[Persona]],Personas!$A$2:$P$5,9)</f>
        <v>2</v>
      </c>
      <c r="BT38" s="13">
        <f>VLOOKUP(MatchData[[#This Row],[Persona]],Personas!$A$2:$P$5,10)</f>
        <v>2</v>
      </c>
      <c r="BU38" s="13">
        <f>VLOOKUP(MatchData[[#This Row],[Persona]],Personas!$A$2:$P$5,11)</f>
        <v>0</v>
      </c>
      <c r="BV38" s="13">
        <f>VLOOKUP(MatchData[[#This Row],[Persona]],Personas!$A$2:$P$5,12)</f>
        <v>0</v>
      </c>
      <c r="BW38" s="13">
        <f>VLOOKUP(MatchData[[#This Row],[Persona]],Personas!$A$2:$P$5,13)</f>
        <v>2</v>
      </c>
      <c r="BX38" s="13">
        <f>VLOOKUP(MatchData[[#This Row],[Persona]],Personas!$A$2:$P$5,14)</f>
        <v>2</v>
      </c>
      <c r="BY38" s="13">
        <f>VLOOKUP(MatchData[[#This Row],[Persona]],Personas!$A$2:$P$5,15)</f>
        <v>2</v>
      </c>
      <c r="BZ38" s="13">
        <f>VLOOKUP(MatchData[[#This Row],[Persona]],Personas!$A$2:$P$5,16)</f>
        <v>1</v>
      </c>
      <c r="CA38" s="14">
        <f ca="1">ROUND(SUMIF(MatchData[Team],MatchData[[#This Row],[Team]],MatchData[Teleop Low Goals])/COUNTIF(MatchData[Team],MatchData[[#This Row],[Team]]),2)</f>
        <v>2.67</v>
      </c>
      <c r="CB38" s="14">
        <f ca="1">ROUND(SUMIF(MatchData[Team],MatchData[[#This Row],[Team]],MatchData[Teleop High Goals])/COUNTIF(MatchData[Team],MatchData[[#This Row],[Team]]),2)</f>
        <v>0</v>
      </c>
      <c r="CC38" s="14">
        <f>COUNTIF(MatchData[Team],MatchData[[#This Row],[Team]])</f>
        <v>6</v>
      </c>
      <c r="CD38" s="14">
        <f>SUMIF(MatchData[Team],MatchData[[#This Row],[Team]],MatchData[Portcullis Available])</f>
        <v>1</v>
      </c>
      <c r="CE38" s="14">
        <f>SUMIF(MatchData[Team],MatchData[[#This Row],[Team]],MatchData[Cheval Available])</f>
        <v>5</v>
      </c>
      <c r="CF38" s="14">
        <f>SUMIF(MatchData[Team],MatchData[[#This Row],[Team]],MatchData[Moat Available])</f>
        <v>5</v>
      </c>
      <c r="CG38" s="14">
        <f>SUMIF(MatchData[Team],MatchData[[#This Row],[Team]],MatchData[Ramparts Available])</f>
        <v>1</v>
      </c>
      <c r="CH38" s="14">
        <f>SUMIF(MatchData[Team],MatchData[[#This Row],[Team]],MatchData[Drawbridge Available])</f>
        <v>3</v>
      </c>
      <c r="CI38" s="14">
        <f>SUMIF(MatchData[Team],MatchData[[#This Row],[Team]],MatchData[Sally Port Available])</f>
        <v>3</v>
      </c>
      <c r="CJ38" s="14">
        <f>SUMIF(MatchData[Team],MatchData[[#This Row],[Team]],MatchData[Rock Wall Available])</f>
        <v>3</v>
      </c>
      <c r="CK38" s="14">
        <f>SUMIF(MatchData[Team],MatchData[[#This Row],[Team]],MatchData[Rough Terrain Available])</f>
        <v>3</v>
      </c>
      <c r="CL38" s="14">
        <f>SUMIF(MatchData[Team],MatchData[[#This Row],[Team]],MatchData[Low Bar Available])</f>
        <v>6</v>
      </c>
      <c r="CM38" s="14">
        <f ca="1">SUMIF(MatchData[Team],MatchData[[#This Row],[Team]],MatchData[Portcullis Teleop Crossings])</f>
        <v>1</v>
      </c>
      <c r="CN38" s="14">
        <f ca="1">SUMIF(MatchData[Team],MatchData[[#This Row],[Team]],MatchData[Cheval Teleop Crossings])</f>
        <v>0</v>
      </c>
      <c r="CO38" s="14">
        <f ca="1">SUMIF(MatchData[Team],MatchData[[#This Row],[Team]],MatchData[Moat Teleop Crossings])</f>
        <v>7</v>
      </c>
      <c r="CP38" s="14">
        <f ca="1">SUMIF(MatchData[Team],MatchData[[#This Row],[Team]],MatchData[Ramparts Teleop Crossings])</f>
        <v>1</v>
      </c>
      <c r="CQ38" s="14">
        <f ca="1">SUMIF(MatchData[Team],MatchData[[#This Row],[Team]],MatchData[Drawbridge Teleop Crossings])</f>
        <v>0</v>
      </c>
      <c r="CR38" s="14">
        <f ca="1">SUMIF(MatchData[Team],MatchData[[#This Row],[Team]],MatchData[Sally Port Teleop Crossings])</f>
        <v>0</v>
      </c>
      <c r="CS38" s="14">
        <f ca="1">SUMIF(MatchData[Team],MatchData[[#This Row],[Team]],MatchData[Rock Wall Teleop Crossings])</f>
        <v>1</v>
      </c>
      <c r="CT38" s="14">
        <f ca="1">SUMIF(MatchData[Team],MatchData[[#This Row],[Team]],MatchData[Rough Terrain Teleop Crossings])</f>
        <v>4</v>
      </c>
      <c r="CU38" s="14">
        <f ca="1">SUMIF(MatchData[Team],MatchData[[#This Row],[Team]],MatchData[Low Bar Teleop Crossings])</f>
        <v>2</v>
      </c>
      <c r="CV38" s="14">
        <f ca="1">IFERROR(ROUND(MatchData[[#This Row],[Portcullis Sum]]/MatchData[[#This Row],[Portcullis Avail Count]],2),0)</f>
        <v>1</v>
      </c>
      <c r="CW38">
        <f ca="1">IFERROR(ROUND(MatchData[[#This Row],[Cheval Sum]]/MatchData[[#This Row],[Cheval Avail Count]],2),0)</f>
        <v>0</v>
      </c>
      <c r="CX38">
        <f ca="1">IFERROR(ROUND(MatchData[[#This Row],[Moat Sum]]/MatchData[[#This Row],[Moat Avail Count]],2),0)</f>
        <v>1.4</v>
      </c>
      <c r="CY38">
        <f ca="1">IFERROR(ROUND(MatchData[[#This Row],[Ramparts Sum]]/MatchData[[#This Row],[Ramparts Avail Count]],2),0)</f>
        <v>1</v>
      </c>
      <c r="CZ38">
        <f ca="1">IFERROR(ROUND(MatchData[[#This Row],[Drawbridge Sum]]/MatchData[[#This Row],[Drawbridge HAvail Countigh6]],2),0)</f>
        <v>0</v>
      </c>
      <c r="DA38">
        <f ca="1">IFERROR(ROUND(MatchData[[#This Row],[Sally Port Sum]]/MatchData[[#This Row],[Sally Port Avail Count]],2),0)</f>
        <v>0</v>
      </c>
      <c r="DB38">
        <f ca="1">IFERROR(ROUND(MatchData[[#This Row],[Rock Wall Sum]]/MatchData[[#This Row],[Rock Wall Avail Count]],2),0)</f>
        <v>0.33</v>
      </c>
      <c r="DC38">
        <f ca="1">IFERROR(ROUND(MatchData[[#This Row],[Rough Terrain Sum]]/MatchData[[#This Row],[Rough Terrain Avail Count]],2),0)</f>
        <v>1.33</v>
      </c>
      <c r="DD38">
        <f ca="1">IFERROR(ROUND(MatchData[[#This Row],[Low Bar Sum]]/MatchData[[#This Row],[Low Bar Avail Count]],2),0)</f>
        <v>0.33</v>
      </c>
      <c r="DE38" s="14">
        <f t="array" aca="1" ref="DE38" ca="1">MAX(IF(C$4:C$75=C38,BE$4:BE$75))</f>
        <v>4</v>
      </c>
      <c r="DF38" s="14">
        <f ca="1">AVERAGEIF(MatchData[Team],MatchData[Team],MatchData[Total Score])</f>
        <v>24.833333333333332</v>
      </c>
      <c r="DG38" s="14">
        <f ca="1">ROUND(AVERAGEIF(MatchData[Team],MatchData[Team],MatchData[Climb or Challenge Flag]),2)</f>
        <v>1</v>
      </c>
    </row>
    <row r="39" spans="1:111">
      <c r="A39" t="s">
        <v>54</v>
      </c>
      <c r="B39" s="4">
        <v>12</v>
      </c>
      <c r="C39">
        <v>1006</v>
      </c>
      <c r="D39" t="s">
        <v>56</v>
      </c>
      <c r="E39" t="s">
        <v>63</v>
      </c>
      <c r="F39">
        <f ca="1">IF(MatchData[[#This Row],[Persona]] = 4,RANDBETWEEN(0,1),0)</f>
        <v>0</v>
      </c>
      <c r="G39">
        <f ca="1">IF(MatchData[[#This Row],[Persona]] = 3,RANDBETWEEN(0,1),0)</f>
        <v>0</v>
      </c>
      <c r="H39">
        <f ca="1">RANDBETWEEN(MatchData[[#This Row],[High Goal Low]],MatchData[[#This Row],[High Goal High]])</f>
        <v>0</v>
      </c>
      <c r="I39">
        <f ca="1">RANDBETWEEN(MatchData[[#This Row],[Low Goal Low]],MatchData[[#This Row],[Low Goal High]])</f>
        <v>1</v>
      </c>
      <c r="J39" s="6"/>
      <c r="K39" s="6">
        <v>1</v>
      </c>
      <c r="L39" s="6">
        <v>1</v>
      </c>
      <c r="M39" s="6"/>
      <c r="N39" s="6"/>
      <c r="O39" s="6">
        <v>1</v>
      </c>
      <c r="P39" s="6">
        <v>1</v>
      </c>
      <c r="Q39" s="5"/>
      <c r="R39" s="5">
        <v>1</v>
      </c>
      <c r="S39" s="5">
        <f ca="1">IF(MatchData[[#This Row],[Auto Crossing Test Generator]]=0,RANDBETWEEN(0,1),0)</f>
        <v>0</v>
      </c>
      <c r="T39" s="5">
        <f ca="1">IF(MatchData[Auto Crossing Test Generator]=1,1,0)</f>
        <v>0</v>
      </c>
      <c r="U39" s="5">
        <f ca="1">IF(MatchData[[#This Row],[Auto Crossing Test Generator]]=2,RANDBETWEEN(0,1),0)</f>
        <v>0</v>
      </c>
      <c r="V39" s="5">
        <f ca="1">IF(MatchData[[#This Row],[Auto Crossing Test Generator]]=3,RANDBETWEEN(0,1),0)</f>
        <v>0</v>
      </c>
      <c r="W39" s="5">
        <f ca="1">IF(MatchData[[#This Row],[Auto Crossing Test Generator]]=4,RANDBETWEEN(0,1),0)</f>
        <v>0</v>
      </c>
      <c r="X39" s="5">
        <f ca="1">IF(MatchData[[#This Row],[Auto Crossing Test Generator]]=5,RANDBETWEEN(0,1),0)</f>
        <v>0</v>
      </c>
      <c r="Y39" s="5">
        <f ca="1">IF(MatchData[[#This Row],[Auto Crossing Test Generator]]=6,RANDBETWEEN(0,1),0)</f>
        <v>0</v>
      </c>
      <c r="Z39" s="5">
        <f ca="1">IF(MatchData[[#This Row],[Auto Crossing Test Generator]]=7,RANDBETWEEN(0,1),0)</f>
        <v>0</v>
      </c>
      <c r="AA39" s="5">
        <f ca="1">IF(MatchData[[#This Row],[Auto Crossing Test Generator]]=8,RANDBETWEEN(0,1),0)</f>
        <v>0</v>
      </c>
      <c r="AB39" s="5">
        <f ca="1">IF(MatchData[[#This Row],[Auto Crossing Test Generator]]&gt;8,RANDBETWEEN(0,1),0)</f>
        <v>0</v>
      </c>
      <c r="AC39" s="5">
        <f ca="1">IF(MatchData[[#This Row],[Auto Crossing Test Generator]]=9,RANDBETWEEN(0,1),0)</f>
        <v>0</v>
      </c>
      <c r="AD39" s="5">
        <f ca="1">IF(MatchData[[#This Row],[Cheval Available]]=1,RANDBETWEEN(0,MatchData[[#This Row],[Cheval High]]),0)</f>
        <v>0</v>
      </c>
      <c r="AE39" s="5">
        <f ca="1">IF(MatchData[[#This Row],[Moat Available]]=1,RANDBETWEEN(0,MatchData[[#This Row],[Moat High]]),0)</f>
        <v>2</v>
      </c>
      <c r="AF39" s="5">
        <f ca="1">IF(MatchData[[#This Row],[Ramparts Available]]=1,RANDBETWEEN(0,MatchData[[#This Row],[Ramparts High]]),0)</f>
        <v>0</v>
      </c>
      <c r="AG39" s="5">
        <f ca="1">IF(MatchData[[#This Row],[Drawbridge Available]]=1,RANDBETWEEN(0,MatchData[[#This Row],[Drawbridge High]]),0)</f>
        <v>0</v>
      </c>
      <c r="AH39" s="5">
        <f ca="1">IF(MatchData[[#This Row],[Sally Port Available]]=1,RANDBETWEEN(0,MatchData[[#This Row],[Sally Port High]]),0)</f>
        <v>0</v>
      </c>
      <c r="AI39" s="5">
        <f ca="1">IF(MatchData[[#This Row],[Rock Wall Available]]=1,RANDBETWEEN(0,MatchData[[#This Row],[Rock Wall High]]),0)</f>
        <v>1</v>
      </c>
      <c r="AJ39" s="5">
        <f ca="1">IF(MatchData[[#This Row],[Rough Terrain Available]]=1,RANDBETWEEN(0,MatchData[[#This Row],[Rough Terrain High]]),0)</f>
        <v>0</v>
      </c>
      <c r="AK39" s="5">
        <f ca="1">IF(MatchData[[#This Row],[Low Bar Available]]=1,RANDBETWEEN(0,MatchData[[#This Row],[Low Bar High]]),0)</f>
        <v>0</v>
      </c>
      <c r="AL39" s="5">
        <f ca="1">IF(MatchData[Cheval Teleop Crossings]&gt;3,10, MatchData[Cheval Teleop Crossings]*5)</f>
        <v>0</v>
      </c>
      <c r="AM39" s="5">
        <f ca="1">IF(MatchData[Moat Teleop Crossings]&gt;3,10, MatchData[Moat Teleop Crossings]*5)</f>
        <v>10</v>
      </c>
      <c r="AN39" s="5">
        <f ca="1">IF(MatchData[Ramparts Teleop Crossings]&gt;3,10, MatchData[Ramparts Teleop Crossings]*5)</f>
        <v>0</v>
      </c>
      <c r="AO39" s="5">
        <f ca="1">IF(MatchData[Drawbridge Teleop Crossings]&gt;3,10, MatchData[Drawbridge Teleop Crossings]*5)</f>
        <v>0</v>
      </c>
      <c r="AP39" s="5">
        <f ca="1">IF(MatchData[Sally Port Teleop Crossings]&gt;3,10, MatchData[Sally Port Teleop Crossings]*5)</f>
        <v>0</v>
      </c>
      <c r="AQ39" s="5">
        <f ca="1">IF(MatchData[Rock Wall Teleop Crossings]&gt;3,10, MatchData[Rock Wall Teleop Crossings]*5)</f>
        <v>5</v>
      </c>
      <c r="AR39" s="5">
        <f ca="1">IF(MatchData[Rough Terrain Teleop Crossings]&gt;3,10, MatchData[Rough Terrain Teleop Crossings]*5)</f>
        <v>0</v>
      </c>
      <c r="AS39" s="5">
        <f ca="1">IF(MatchData[Low Bar Teleop Crossings]&gt;3,10, MatchData[Low Bar Teleop Crossings]*5)</f>
        <v>0</v>
      </c>
      <c r="AT39" s="5">
        <f ca="1">SUM(MatchData[[#This Row],[Portcullis Teleop Crossings]:[Low Bar Teleop Crossings]])</f>
        <v>3</v>
      </c>
      <c r="AU39" s="5">
        <f ca="1">IF(RANDBETWEEN(1,4)&gt;1,1,0)</f>
        <v>1</v>
      </c>
      <c r="AV39" s="5">
        <f ca="1">IF(MatchData[[#This Row],[Challenge Flag]]=1,0,IF(MatchData[[#This Row],[Climber]]=1,RANDBETWEEN(0,1),0))</f>
        <v>0</v>
      </c>
      <c r="AW39" s="5">
        <f ca="1">IF(MatchData[[#This Row],[Crossing Score]]&gt;=40,1,0)</f>
        <v>0</v>
      </c>
      <c r="AX39" s="5"/>
      <c r="AY39" s="5">
        <f ca="1">IF(RANDBETWEEN(1,100)&gt;95,1,0)</f>
        <v>0</v>
      </c>
      <c r="AZ39" s="5">
        <f ca="1">IF(RANDBETWEEN(1,100)&gt;80,1,0)</f>
        <v>1</v>
      </c>
      <c r="BA39" s="5">
        <f ca="1">IF(OR(MatchData[[#This Row],[Challenge Flag]],MatchData[[#This Row],[Climb Flag]]),1,0)</f>
        <v>1</v>
      </c>
      <c r="BB39" s="5">
        <f ca="1">MatchData[Auto High Goals]*10+MatchData[Teleop High Goals]*5</f>
        <v>0</v>
      </c>
      <c r="BC39" s="5">
        <f ca="1">MatchData[Auto Low Goals]*5+MatchData[Teleop Low Goals]*2</f>
        <v>2</v>
      </c>
      <c r="BD39" s="5">
        <f ca="1">MatchData[High Goal Score]+MatchData[Low Goal Score]</f>
        <v>2</v>
      </c>
      <c r="BE39" s="5">
        <f ca="1">MatchData[Teleop High Goals]+MatchData[Teleop Low Goals]</f>
        <v>1</v>
      </c>
      <c r="BF39" s="5">
        <f ca="1">MatchData[[#This Row],[Auto Reach Flag]]*2+SUM(MatchData[[#This Row],[Portcullis Auto Crossings]:[Low Bar Auto Crossings]])*10+MatchData[[#This Row],[Auto Low Goals]]*5+MatchData[Auto High Goals]*10</f>
        <v>0</v>
      </c>
      <c r="BG39" s="5">
        <f ca="1">SUM(MatchData[[#This Row],[Cheval Scored Teleop Crossings]:[Low Bar Scored Teleop Crossings]])</f>
        <v>15</v>
      </c>
      <c r="BH39" s="5">
        <f ca="1">MatchData[Challenge Flag]*5</f>
        <v>5</v>
      </c>
      <c r="BI39" s="5">
        <f ca="1">MatchData[Climb Flag]*15</f>
        <v>0</v>
      </c>
      <c r="BJ39" s="5">
        <f ca="1">SUM(MatchData[[#This Row],[Total Goal Score]],MatchData[[#This Row],[Crossing Score]],MatchData[[#This Row],[Challenge Score]],MatchData[[#This Row],[Climb Score]],MatchData[[#This Row],[Total Auto Score]])</f>
        <v>22</v>
      </c>
      <c r="BK39">
        <v>2</v>
      </c>
      <c r="BL39" s="5">
        <f ca="1">IF(RANDBETWEEN(0,10)&gt;=9,RANDBETWEEN(1,9),0)</f>
        <v>0</v>
      </c>
      <c r="BM39" s="5">
        <f>VLOOKUP(MatchData[[#This Row],[Persona]],Personas!$A$2:$O$5,3)</f>
        <v>1</v>
      </c>
      <c r="BN39" s="13">
        <f>VLOOKUP(MatchData[[#This Row],[Persona]],Personas!$A$2:$P$5,4)</f>
        <v>4</v>
      </c>
      <c r="BO39" s="13">
        <f>VLOOKUP(MatchData[[#This Row],[Persona]],Personas!$A$2:$P$5,5)</f>
        <v>0</v>
      </c>
      <c r="BP39" s="13">
        <f>VLOOKUP(MatchData[[#This Row],[Persona]],Personas!$A$2:$P$5,6)</f>
        <v>0</v>
      </c>
      <c r="BQ39" s="13">
        <f>VLOOKUP(MatchData[[#This Row],[Persona]],Personas!$A$2:$P$5,7)</f>
        <v>0</v>
      </c>
      <c r="BR39" s="13">
        <f>VLOOKUP(MatchData[[#This Row],[Persona]],Personas!$A$2:$P$5,8)</f>
        <v>0</v>
      </c>
      <c r="BS39" s="13">
        <f>VLOOKUP(MatchData[[#This Row],[Persona]],Personas!$A$2:$P$5,9)</f>
        <v>2</v>
      </c>
      <c r="BT39" s="13">
        <f>VLOOKUP(MatchData[[#This Row],[Persona]],Personas!$A$2:$P$5,10)</f>
        <v>2</v>
      </c>
      <c r="BU39" s="13">
        <f>VLOOKUP(MatchData[[#This Row],[Persona]],Personas!$A$2:$P$5,11)</f>
        <v>0</v>
      </c>
      <c r="BV39" s="13">
        <f>VLOOKUP(MatchData[[#This Row],[Persona]],Personas!$A$2:$P$5,12)</f>
        <v>0</v>
      </c>
      <c r="BW39" s="13">
        <f>VLOOKUP(MatchData[[#This Row],[Persona]],Personas!$A$2:$P$5,13)</f>
        <v>2</v>
      </c>
      <c r="BX39" s="13">
        <f>VLOOKUP(MatchData[[#This Row],[Persona]],Personas!$A$2:$P$5,14)</f>
        <v>2</v>
      </c>
      <c r="BY39" s="13">
        <f>VLOOKUP(MatchData[[#This Row],[Persona]],Personas!$A$2:$P$5,15)</f>
        <v>2</v>
      </c>
      <c r="BZ39" s="13">
        <f>VLOOKUP(MatchData[[#This Row],[Persona]],Personas!$A$2:$P$5,16)</f>
        <v>1</v>
      </c>
      <c r="CA39" s="14">
        <f ca="1">ROUND(SUMIF(MatchData[Team],MatchData[[#This Row],[Team]],MatchData[Teleop Low Goals])/COUNTIF(MatchData[Team],MatchData[[#This Row],[Team]]),2)</f>
        <v>2.67</v>
      </c>
      <c r="CB39" s="14">
        <f ca="1">ROUND(SUMIF(MatchData[Team],MatchData[[#This Row],[Team]],MatchData[Teleop High Goals])/COUNTIF(MatchData[Team],MatchData[[#This Row],[Team]]),2)</f>
        <v>0</v>
      </c>
      <c r="CC39" s="14">
        <f>COUNTIF(MatchData[Team],MatchData[[#This Row],[Team]])</f>
        <v>6</v>
      </c>
      <c r="CD39" s="14">
        <f>SUMIF(MatchData[Team],MatchData[[#This Row],[Team]],MatchData[Portcullis Available])</f>
        <v>1</v>
      </c>
      <c r="CE39" s="14">
        <f>SUMIF(MatchData[Team],MatchData[[#This Row],[Team]],MatchData[Cheval Available])</f>
        <v>5</v>
      </c>
      <c r="CF39" s="14">
        <f>SUMIF(MatchData[Team],MatchData[[#This Row],[Team]],MatchData[Moat Available])</f>
        <v>5</v>
      </c>
      <c r="CG39" s="14">
        <f>SUMIF(MatchData[Team],MatchData[[#This Row],[Team]],MatchData[Ramparts Available])</f>
        <v>1</v>
      </c>
      <c r="CH39" s="14">
        <f>SUMIF(MatchData[Team],MatchData[[#This Row],[Team]],MatchData[Drawbridge Available])</f>
        <v>3</v>
      </c>
      <c r="CI39" s="14">
        <f>SUMIF(MatchData[Team],MatchData[[#This Row],[Team]],MatchData[Sally Port Available])</f>
        <v>3</v>
      </c>
      <c r="CJ39" s="14">
        <f>SUMIF(MatchData[Team],MatchData[[#This Row],[Team]],MatchData[Rock Wall Available])</f>
        <v>3</v>
      </c>
      <c r="CK39" s="14">
        <f>SUMIF(MatchData[Team],MatchData[[#This Row],[Team]],MatchData[Rough Terrain Available])</f>
        <v>3</v>
      </c>
      <c r="CL39" s="14">
        <f>SUMIF(MatchData[Team],MatchData[[#This Row],[Team]],MatchData[Low Bar Available])</f>
        <v>6</v>
      </c>
      <c r="CM39" s="14">
        <f ca="1">SUMIF(MatchData[Team],MatchData[[#This Row],[Team]],MatchData[Portcullis Teleop Crossings])</f>
        <v>1</v>
      </c>
      <c r="CN39" s="14">
        <f ca="1">SUMIF(MatchData[Team],MatchData[[#This Row],[Team]],MatchData[Cheval Teleop Crossings])</f>
        <v>0</v>
      </c>
      <c r="CO39" s="14">
        <f ca="1">SUMIF(MatchData[Team],MatchData[[#This Row],[Team]],MatchData[Moat Teleop Crossings])</f>
        <v>7</v>
      </c>
      <c r="CP39" s="14">
        <f ca="1">SUMIF(MatchData[Team],MatchData[[#This Row],[Team]],MatchData[Ramparts Teleop Crossings])</f>
        <v>1</v>
      </c>
      <c r="CQ39" s="14">
        <f ca="1">SUMIF(MatchData[Team],MatchData[[#This Row],[Team]],MatchData[Drawbridge Teleop Crossings])</f>
        <v>0</v>
      </c>
      <c r="CR39" s="14">
        <f ca="1">SUMIF(MatchData[Team],MatchData[[#This Row],[Team]],MatchData[Sally Port Teleop Crossings])</f>
        <v>0</v>
      </c>
      <c r="CS39" s="14">
        <f ca="1">SUMIF(MatchData[Team],MatchData[[#This Row],[Team]],MatchData[Rock Wall Teleop Crossings])</f>
        <v>1</v>
      </c>
      <c r="CT39" s="14">
        <f ca="1">SUMIF(MatchData[Team],MatchData[[#This Row],[Team]],MatchData[Rough Terrain Teleop Crossings])</f>
        <v>4</v>
      </c>
      <c r="CU39" s="14">
        <f ca="1">SUMIF(MatchData[Team],MatchData[[#This Row],[Team]],MatchData[Low Bar Teleop Crossings])</f>
        <v>2</v>
      </c>
      <c r="CV39" s="14">
        <f ca="1">IFERROR(ROUND(MatchData[[#This Row],[Portcullis Sum]]/MatchData[[#This Row],[Portcullis Avail Count]],2),0)</f>
        <v>1</v>
      </c>
      <c r="CW39">
        <f ca="1">IFERROR(ROUND(MatchData[[#This Row],[Cheval Sum]]/MatchData[[#This Row],[Cheval Avail Count]],2),0)</f>
        <v>0</v>
      </c>
      <c r="CX39">
        <f ca="1">IFERROR(ROUND(MatchData[[#This Row],[Moat Sum]]/MatchData[[#This Row],[Moat Avail Count]],2),0)</f>
        <v>1.4</v>
      </c>
      <c r="CY39">
        <f ca="1">IFERROR(ROUND(MatchData[[#This Row],[Ramparts Sum]]/MatchData[[#This Row],[Ramparts Avail Count]],2),0)</f>
        <v>1</v>
      </c>
      <c r="CZ39">
        <f ca="1">IFERROR(ROUND(MatchData[[#This Row],[Drawbridge Sum]]/MatchData[[#This Row],[Drawbridge HAvail Countigh6]],2),0)</f>
        <v>0</v>
      </c>
      <c r="DA39">
        <f ca="1">IFERROR(ROUND(MatchData[[#This Row],[Sally Port Sum]]/MatchData[[#This Row],[Sally Port Avail Count]],2),0)</f>
        <v>0</v>
      </c>
      <c r="DB39">
        <f ca="1">IFERROR(ROUND(MatchData[[#This Row],[Rock Wall Sum]]/MatchData[[#This Row],[Rock Wall Avail Count]],2),0)</f>
        <v>0.33</v>
      </c>
      <c r="DC39">
        <f ca="1">IFERROR(ROUND(MatchData[[#This Row],[Rough Terrain Sum]]/MatchData[[#This Row],[Rough Terrain Avail Count]],2),0)</f>
        <v>1.33</v>
      </c>
      <c r="DD39">
        <f ca="1">IFERROR(ROUND(MatchData[[#This Row],[Low Bar Sum]]/MatchData[[#This Row],[Low Bar Avail Count]],2),0)</f>
        <v>0.33</v>
      </c>
      <c r="DE39" s="14">
        <f t="array" aca="1" ref="DE39" ca="1">MAX(IF(C$4:C$75=C39,BE$4:BE$75))</f>
        <v>4</v>
      </c>
      <c r="DF39" s="14">
        <f ca="1">AVERAGEIF(MatchData[Team],MatchData[Team],MatchData[Total Score])</f>
        <v>24.833333333333332</v>
      </c>
      <c r="DG39" s="14">
        <f ca="1">ROUND(AVERAGEIF(MatchData[Team],MatchData[Team],MatchData[Climb or Challenge Flag]),2)</f>
        <v>1</v>
      </c>
    </row>
    <row r="40" spans="1:111">
      <c r="A40" t="s">
        <v>54</v>
      </c>
      <c r="B40" s="4">
        <v>2</v>
      </c>
      <c r="C40">
        <v>1008</v>
      </c>
      <c r="D40" t="s">
        <v>55</v>
      </c>
      <c r="E40" t="s">
        <v>64</v>
      </c>
      <c r="F40">
        <f ca="1">IF(MatchData[[#This Row],[Persona]] = 4,RANDBETWEEN(0,1),0)</f>
        <v>0</v>
      </c>
      <c r="G40">
        <f ca="1">IF(MatchData[[#This Row],[Persona]] = 3,RANDBETWEEN(0,1),0)</f>
        <v>0</v>
      </c>
      <c r="H40">
        <f ca="1">RANDBETWEEN(MatchData[[#This Row],[High Goal Low]],MatchData[[#This Row],[High Goal High]])</f>
        <v>0</v>
      </c>
      <c r="I40">
        <f ca="1">RANDBETWEEN(MatchData[[#This Row],[Low Goal Low]],MatchData[[#This Row],[Low Goal High]])</f>
        <v>2</v>
      </c>
      <c r="J40" s="6"/>
      <c r="K40" s="6">
        <v>1</v>
      </c>
      <c r="L40" s="6">
        <v>1</v>
      </c>
      <c r="M40" s="6"/>
      <c r="N40" s="6">
        <v>1</v>
      </c>
      <c r="O40" s="6"/>
      <c r="P40" s="6"/>
      <c r="Q40" s="5">
        <v>1</v>
      </c>
      <c r="R40" s="5">
        <v>1</v>
      </c>
      <c r="S40" s="5">
        <f ca="1">IF(MatchData[[#This Row],[Auto Crossing Test Generator]]=0,RANDBETWEEN(0,1),0)</f>
        <v>0</v>
      </c>
      <c r="T40" s="5">
        <f ca="1">IF(MatchData[Auto Crossing Test Generator]=1,1,0)</f>
        <v>0</v>
      </c>
      <c r="U40" s="5">
        <f ca="1">IF(MatchData[[#This Row],[Auto Crossing Test Generator]]=2,RANDBETWEEN(0,1),0)</f>
        <v>0</v>
      </c>
      <c r="V40" s="5">
        <f ca="1">IF(MatchData[[#This Row],[Auto Crossing Test Generator]]=3,RANDBETWEEN(0,1),0)</f>
        <v>0</v>
      </c>
      <c r="W40" s="5">
        <f ca="1">IF(MatchData[[#This Row],[Auto Crossing Test Generator]]=4,RANDBETWEEN(0,1),0)</f>
        <v>0</v>
      </c>
      <c r="X40" s="5">
        <f ca="1">IF(MatchData[[#This Row],[Auto Crossing Test Generator]]=5,RANDBETWEEN(0,1),0)</f>
        <v>0</v>
      </c>
      <c r="Y40" s="5">
        <f ca="1">IF(MatchData[[#This Row],[Auto Crossing Test Generator]]=6,RANDBETWEEN(0,1),0)</f>
        <v>0</v>
      </c>
      <c r="Z40" s="5">
        <f ca="1">IF(MatchData[[#This Row],[Auto Crossing Test Generator]]=7,RANDBETWEEN(0,1),0)</f>
        <v>0</v>
      </c>
      <c r="AA40" s="5">
        <f ca="1">IF(MatchData[[#This Row],[Auto Crossing Test Generator]]=8,RANDBETWEEN(0,1),0)</f>
        <v>0</v>
      </c>
      <c r="AB40" s="5">
        <f ca="1">IF(MatchData[[#This Row],[Auto Crossing Test Generator]]&gt;8,RANDBETWEEN(0,1),0)</f>
        <v>0</v>
      </c>
      <c r="AC40" s="5">
        <f ca="1">IF(MatchData[[#This Row],[Auto Crossing Test Generator]]=9,RANDBETWEEN(0,1),0)</f>
        <v>0</v>
      </c>
      <c r="AD40" s="5">
        <f ca="1">IF(MatchData[[#This Row],[Cheval Available]]=1,RANDBETWEEN(0,MatchData[[#This Row],[Cheval High]]),0)</f>
        <v>2</v>
      </c>
      <c r="AE40" s="5">
        <f ca="1">IF(MatchData[[#This Row],[Moat Available]]=1,RANDBETWEEN(0,MatchData[[#This Row],[Moat High]]),0)</f>
        <v>0</v>
      </c>
      <c r="AF40" s="5">
        <f ca="1">IF(MatchData[[#This Row],[Ramparts Available]]=1,RANDBETWEEN(0,MatchData[[#This Row],[Ramparts High]]),0)</f>
        <v>0</v>
      </c>
      <c r="AG40" s="5">
        <f ca="1">IF(MatchData[[#This Row],[Drawbridge Available]]=1,RANDBETWEEN(0,MatchData[[#This Row],[Drawbridge High]]),0)</f>
        <v>0</v>
      </c>
      <c r="AH40" s="5">
        <f ca="1">IF(MatchData[[#This Row],[Sally Port Available]]=1,RANDBETWEEN(0,MatchData[[#This Row],[Sally Port High]]),0)</f>
        <v>0</v>
      </c>
      <c r="AI40" s="5">
        <f ca="1">IF(MatchData[[#This Row],[Rock Wall Available]]=1,RANDBETWEEN(0,MatchData[[#This Row],[Rock Wall High]]),0)</f>
        <v>0</v>
      </c>
      <c r="AJ40" s="5">
        <f ca="1">IF(MatchData[[#This Row],[Rough Terrain Available]]=1,RANDBETWEEN(0,MatchData[[#This Row],[Rough Terrain High]]),0)</f>
        <v>3</v>
      </c>
      <c r="AK40" s="5">
        <f ca="1">IF(MatchData[[#This Row],[Low Bar Available]]=1,RANDBETWEEN(0,MatchData[[#This Row],[Low Bar High]]),0)</f>
        <v>1</v>
      </c>
      <c r="AL40" s="5">
        <f ca="1">IF(MatchData[Cheval Teleop Crossings]&gt;3,10, MatchData[Cheval Teleop Crossings]*5)</f>
        <v>10</v>
      </c>
      <c r="AM40" s="5">
        <f ca="1">IF(MatchData[Moat Teleop Crossings]&gt;3,10, MatchData[Moat Teleop Crossings]*5)</f>
        <v>0</v>
      </c>
      <c r="AN40" s="5">
        <f ca="1">IF(MatchData[Ramparts Teleop Crossings]&gt;3,10, MatchData[Ramparts Teleop Crossings]*5)</f>
        <v>0</v>
      </c>
      <c r="AO40" s="5">
        <f ca="1">IF(MatchData[Drawbridge Teleop Crossings]&gt;3,10, MatchData[Drawbridge Teleop Crossings]*5)</f>
        <v>0</v>
      </c>
      <c r="AP40" s="5">
        <f ca="1">IF(MatchData[Sally Port Teleop Crossings]&gt;3,10, MatchData[Sally Port Teleop Crossings]*5)</f>
        <v>0</v>
      </c>
      <c r="AQ40" s="5">
        <f ca="1">IF(MatchData[Rock Wall Teleop Crossings]&gt;3,10, MatchData[Rock Wall Teleop Crossings]*5)</f>
        <v>0</v>
      </c>
      <c r="AR40" s="5">
        <f ca="1">IF(MatchData[Rough Terrain Teleop Crossings]&gt;3,10, MatchData[Rough Terrain Teleop Crossings]*5)</f>
        <v>15</v>
      </c>
      <c r="AS40" s="5">
        <f ca="1">IF(MatchData[Low Bar Teleop Crossings]&gt;3,10, MatchData[Low Bar Teleop Crossings]*5)</f>
        <v>5</v>
      </c>
      <c r="AT40" s="5">
        <f ca="1">SUM(MatchData[[#This Row],[Portcullis Teleop Crossings]:[Low Bar Teleop Crossings]])</f>
        <v>6</v>
      </c>
      <c r="AU40" s="5">
        <f ca="1">IF(RANDBETWEEN(1,4)&gt;1,1,0)</f>
        <v>1</v>
      </c>
      <c r="AV40" s="5">
        <f ca="1">IF(MatchData[[#This Row],[Challenge Flag]]=1,0,IF(MatchData[[#This Row],[Climber]]=1,RANDBETWEEN(0,1),0))</f>
        <v>0</v>
      </c>
      <c r="AW40" s="5">
        <f ca="1">IF(MatchData[[#This Row],[Crossing Score]]&gt;=40,1,0)</f>
        <v>0</v>
      </c>
      <c r="AX40" s="5"/>
      <c r="AY40" s="5">
        <f ca="1">IF(RANDBETWEEN(1,100)&gt;95,1,0)</f>
        <v>0</v>
      </c>
      <c r="AZ40" s="5">
        <f ca="1">IF(RANDBETWEEN(1,100)&gt;80,1,0)</f>
        <v>1</v>
      </c>
      <c r="BA40" s="5">
        <f ca="1">IF(OR(MatchData[[#This Row],[Challenge Flag]],MatchData[[#This Row],[Climb Flag]]),1,0)</f>
        <v>1</v>
      </c>
      <c r="BB40" s="5">
        <f ca="1">MatchData[Auto High Goals]*10+MatchData[Teleop High Goals]*5</f>
        <v>0</v>
      </c>
      <c r="BC40" s="5">
        <f ca="1">MatchData[Auto Low Goals]*5+MatchData[Teleop Low Goals]*2</f>
        <v>4</v>
      </c>
      <c r="BD40" s="5">
        <f ca="1">MatchData[High Goal Score]+MatchData[Low Goal Score]</f>
        <v>4</v>
      </c>
      <c r="BE40" s="5">
        <f ca="1">MatchData[Teleop High Goals]+MatchData[Teleop Low Goals]</f>
        <v>2</v>
      </c>
      <c r="BF40" s="5">
        <f ca="1">MatchData[[#This Row],[Auto Reach Flag]]*2+SUM(MatchData[[#This Row],[Portcullis Auto Crossings]:[Low Bar Auto Crossings]])*10+MatchData[[#This Row],[Auto Low Goals]]*5+MatchData[Auto High Goals]*10</f>
        <v>0</v>
      </c>
      <c r="BG40" s="5">
        <f ca="1">SUM(MatchData[[#This Row],[Cheval Scored Teleop Crossings]:[Low Bar Scored Teleop Crossings]])</f>
        <v>30</v>
      </c>
      <c r="BH40" s="5">
        <f ca="1">MatchData[Challenge Flag]*5</f>
        <v>5</v>
      </c>
      <c r="BI40" s="5">
        <f ca="1">MatchData[Climb Flag]*15</f>
        <v>0</v>
      </c>
      <c r="BJ40" s="5">
        <f ca="1">SUM(MatchData[[#This Row],[Total Goal Score]],MatchData[[#This Row],[Crossing Score]],MatchData[[#This Row],[Challenge Score]],MatchData[[#This Row],[Climb Score]],MatchData[[#This Row],[Total Auto Score]])</f>
        <v>39</v>
      </c>
      <c r="BK40">
        <v>3</v>
      </c>
      <c r="BL40" s="5">
        <f ca="1">IF(RANDBETWEEN(0,10)&gt;=9,RANDBETWEEN(1,9),0)</f>
        <v>0</v>
      </c>
      <c r="BM40" s="5">
        <f>VLOOKUP(MatchData[[#This Row],[Persona]],Personas!$A$2:$O$5,3)</f>
        <v>2</v>
      </c>
      <c r="BN40" s="13">
        <f>VLOOKUP(MatchData[[#This Row],[Persona]],Personas!$A$2:$P$5,4)</f>
        <v>6</v>
      </c>
      <c r="BO40" s="13">
        <f>VLOOKUP(MatchData[[#This Row],[Persona]],Personas!$A$2:$P$5,5)</f>
        <v>0</v>
      </c>
      <c r="BP40" s="13">
        <f>VLOOKUP(MatchData[[#This Row],[Persona]],Personas!$A$2:$P$5,6)</f>
        <v>0</v>
      </c>
      <c r="BQ40" s="13">
        <f>VLOOKUP(MatchData[[#This Row],[Persona]],Personas!$A$2:$P$5,7)</f>
        <v>2</v>
      </c>
      <c r="BR40" s="13">
        <f>VLOOKUP(MatchData[[#This Row],[Persona]],Personas!$A$2:$P$5,8)</f>
        <v>2</v>
      </c>
      <c r="BS40" s="13">
        <f>VLOOKUP(MatchData[[#This Row],[Persona]],Personas!$A$2:$P$5,9)</f>
        <v>3</v>
      </c>
      <c r="BT40" s="13">
        <f>VLOOKUP(MatchData[[#This Row],[Persona]],Personas!$A$2:$P$5,10)</f>
        <v>3</v>
      </c>
      <c r="BU40" s="13">
        <f>VLOOKUP(MatchData[[#This Row],[Persona]],Personas!$A$2:$P$5,11)</f>
        <v>2</v>
      </c>
      <c r="BV40" s="13">
        <f>VLOOKUP(MatchData[[#This Row],[Persona]],Personas!$A$2:$P$5,12)</f>
        <v>2</v>
      </c>
      <c r="BW40" s="13">
        <f>VLOOKUP(MatchData[[#This Row],[Persona]],Personas!$A$2:$P$5,13)</f>
        <v>3</v>
      </c>
      <c r="BX40" s="13">
        <f>VLOOKUP(MatchData[[#This Row],[Persona]],Personas!$A$2:$P$5,14)</f>
        <v>3</v>
      </c>
      <c r="BY40" s="13">
        <f>VLOOKUP(MatchData[[#This Row],[Persona]],Personas!$A$2:$P$5,15)</f>
        <v>4</v>
      </c>
      <c r="BZ40" s="13">
        <f>VLOOKUP(MatchData[[#This Row],[Persona]],Personas!$A$2:$P$5,16)</f>
        <v>1</v>
      </c>
      <c r="CA40" s="14">
        <f ca="1">ROUND(SUMIF(MatchData[Team],MatchData[[#This Row],[Team]],MatchData[Teleop Low Goals])/COUNTIF(MatchData[Team],MatchData[[#This Row],[Team]]),2)</f>
        <v>3.4</v>
      </c>
      <c r="CB40" s="14">
        <f ca="1">ROUND(SUMIF(MatchData[Team],MatchData[[#This Row],[Team]],MatchData[Teleop High Goals])/COUNTIF(MatchData[Team],MatchData[[#This Row],[Team]]),2)</f>
        <v>0</v>
      </c>
      <c r="CC40" s="14">
        <f>COUNTIF(MatchData[Team],MatchData[[#This Row],[Team]])</f>
        <v>5</v>
      </c>
      <c r="CD40" s="14">
        <f>SUMIF(MatchData[Team],MatchData[[#This Row],[Team]],MatchData[Portcullis Available])</f>
        <v>0</v>
      </c>
      <c r="CE40" s="14">
        <f>SUMIF(MatchData[Team],MatchData[[#This Row],[Team]],MatchData[Cheval Available])</f>
        <v>5</v>
      </c>
      <c r="CF40" s="14">
        <f>SUMIF(MatchData[Team],MatchData[[#This Row],[Team]],MatchData[Moat Available])</f>
        <v>5</v>
      </c>
      <c r="CG40" s="14">
        <f>SUMIF(MatchData[Team],MatchData[[#This Row],[Team]],MatchData[Ramparts Available])</f>
        <v>0</v>
      </c>
      <c r="CH40" s="14">
        <f>SUMIF(MatchData[Team],MatchData[[#This Row],[Team]],MatchData[Drawbridge Available])</f>
        <v>3</v>
      </c>
      <c r="CI40" s="14">
        <f>SUMIF(MatchData[Team],MatchData[[#This Row],[Team]],MatchData[Sally Port Available])</f>
        <v>2</v>
      </c>
      <c r="CJ40" s="14">
        <f>SUMIF(MatchData[Team],MatchData[[#This Row],[Team]],MatchData[Rock Wall Available])</f>
        <v>2</v>
      </c>
      <c r="CK40" s="14">
        <f>SUMIF(MatchData[Team],MatchData[[#This Row],[Team]],MatchData[Rough Terrain Available])</f>
        <v>3</v>
      </c>
      <c r="CL40" s="14">
        <f>SUMIF(MatchData[Team],MatchData[[#This Row],[Team]],MatchData[Low Bar Available])</f>
        <v>5</v>
      </c>
      <c r="CM40" s="14">
        <f ca="1">SUMIF(MatchData[Team],MatchData[[#This Row],[Team]],MatchData[Portcullis Teleop Crossings])</f>
        <v>0</v>
      </c>
      <c r="CN40" s="14">
        <f ca="1">SUMIF(MatchData[Team],MatchData[[#This Row],[Team]],MatchData[Cheval Teleop Crossings])</f>
        <v>7</v>
      </c>
      <c r="CO40" s="14">
        <f ca="1">SUMIF(MatchData[Team],MatchData[[#This Row],[Team]],MatchData[Moat Teleop Crossings])</f>
        <v>3</v>
      </c>
      <c r="CP40" s="14">
        <f ca="1">SUMIF(MatchData[Team],MatchData[[#This Row],[Team]],MatchData[Ramparts Teleop Crossings])</f>
        <v>0</v>
      </c>
      <c r="CQ40" s="14">
        <f ca="1">SUMIF(MatchData[Team],MatchData[[#This Row],[Team]],MatchData[Drawbridge Teleop Crossings])</f>
        <v>0</v>
      </c>
      <c r="CR40" s="14">
        <f ca="1">SUMIF(MatchData[Team],MatchData[[#This Row],[Team]],MatchData[Sally Port Teleop Crossings])</f>
        <v>1</v>
      </c>
      <c r="CS40" s="14">
        <f ca="1">SUMIF(MatchData[Team],MatchData[[#This Row],[Team]],MatchData[Rock Wall Teleop Crossings])</f>
        <v>6</v>
      </c>
      <c r="CT40" s="14">
        <f ca="1">SUMIF(MatchData[Team],MatchData[[#This Row],[Team]],MatchData[Rough Terrain Teleop Crossings])</f>
        <v>9</v>
      </c>
      <c r="CU40" s="14">
        <f ca="1">SUMIF(MatchData[Team],MatchData[[#This Row],[Team]],MatchData[Low Bar Teleop Crossings])</f>
        <v>11</v>
      </c>
      <c r="CV40" s="14">
        <f ca="1">IFERROR(ROUND(MatchData[[#This Row],[Portcullis Sum]]/MatchData[[#This Row],[Portcullis Avail Count]],2),0)</f>
        <v>0</v>
      </c>
      <c r="CW40">
        <f ca="1">IFERROR(ROUND(MatchData[[#This Row],[Cheval Sum]]/MatchData[[#This Row],[Cheval Avail Count]],2),0)</f>
        <v>1.4</v>
      </c>
      <c r="CX40">
        <f ca="1">IFERROR(ROUND(MatchData[[#This Row],[Moat Sum]]/MatchData[[#This Row],[Moat Avail Count]],2),0)</f>
        <v>0.6</v>
      </c>
      <c r="CY40">
        <f ca="1">IFERROR(ROUND(MatchData[[#This Row],[Ramparts Sum]]/MatchData[[#This Row],[Ramparts Avail Count]],2),0)</f>
        <v>0</v>
      </c>
      <c r="CZ40">
        <f ca="1">IFERROR(ROUND(MatchData[[#This Row],[Drawbridge Sum]]/MatchData[[#This Row],[Drawbridge HAvail Countigh6]],2),0)</f>
        <v>0</v>
      </c>
      <c r="DA40">
        <f ca="1">IFERROR(ROUND(MatchData[[#This Row],[Sally Port Sum]]/MatchData[[#This Row],[Sally Port Avail Count]],2),0)</f>
        <v>0.5</v>
      </c>
      <c r="DB40">
        <f ca="1">IFERROR(ROUND(MatchData[[#This Row],[Cheval Sum]]/MatchData[[#This Row],[Cheval Avail Count]],2),0)</f>
        <v>1.4</v>
      </c>
      <c r="DC40">
        <f ca="1">IFERROR(ROUND(MatchData[[#This Row],[Moat Sum]]/MatchData[[#This Row],[Moat Avail Count]],2),0)</f>
        <v>0.6</v>
      </c>
      <c r="DD40">
        <f ca="1">IFERROR(ROUND(MatchData[[#This Row],[Ramparts Sum]]/MatchData[[#This Row],[Ramparts Avail Count]],2),0)</f>
        <v>0</v>
      </c>
      <c r="DE40" s="14">
        <f t="array" aca="1" ref="DE40" ca="1">MAX(IF(C$4:C$75=C40,BE$4:BE$75))</f>
        <v>4</v>
      </c>
      <c r="DF40" s="14">
        <f ca="1">AVERAGEIF(MatchData[Team],MatchData[Team],MatchData[Total Score])</f>
        <v>48.2</v>
      </c>
      <c r="DG40" s="14">
        <f ca="1">ROUND(AVERAGEIF(MatchData[Team],MatchData[Team],MatchData[Climb or Challenge Flag]),2)</f>
        <v>0.8</v>
      </c>
    </row>
    <row r="41" spans="1:111">
      <c r="A41" t="s">
        <v>54</v>
      </c>
      <c r="B41" s="4">
        <v>4</v>
      </c>
      <c r="C41">
        <v>1008</v>
      </c>
      <c r="D41" t="s">
        <v>55</v>
      </c>
      <c r="E41" t="s">
        <v>61</v>
      </c>
      <c r="F41">
        <f ca="1">IF(MatchData[[#This Row],[Persona]] = 4,RANDBETWEEN(0,1),0)</f>
        <v>0</v>
      </c>
      <c r="G41">
        <f ca="1">IF(MatchData[[#This Row],[Persona]] = 3,RANDBETWEEN(0,1),0)</f>
        <v>1</v>
      </c>
      <c r="H41">
        <f ca="1">RANDBETWEEN(MatchData[[#This Row],[High Goal Low]],MatchData[[#This Row],[High Goal High]])</f>
        <v>0</v>
      </c>
      <c r="I41">
        <f ca="1">RANDBETWEEN(MatchData[[#This Row],[Low Goal Low]],MatchData[[#This Row],[Low Goal High]])</f>
        <v>4</v>
      </c>
      <c r="J41" s="6"/>
      <c r="K41" s="6">
        <v>1</v>
      </c>
      <c r="L41" s="6">
        <v>1</v>
      </c>
      <c r="M41" s="6"/>
      <c r="N41" s="6"/>
      <c r="O41" s="6">
        <v>1</v>
      </c>
      <c r="P41" s="6">
        <v>1</v>
      </c>
      <c r="Q41" s="5"/>
      <c r="R41" s="5">
        <v>1</v>
      </c>
      <c r="S41" s="5">
        <f ca="1">IF(MatchData[[#This Row],[Auto Crossing Test Generator]]=0,RANDBETWEEN(0,1),0)</f>
        <v>1</v>
      </c>
      <c r="T41" s="5">
        <f ca="1">IF(MatchData[Auto Crossing Test Generator]=1,1,0)</f>
        <v>0</v>
      </c>
      <c r="U41" s="5">
        <f ca="1">IF(MatchData[[#This Row],[Auto Crossing Test Generator]]=2,RANDBETWEEN(0,1),0)</f>
        <v>0</v>
      </c>
      <c r="V41" s="5">
        <f ca="1">IF(MatchData[[#This Row],[Auto Crossing Test Generator]]=3,RANDBETWEEN(0,1),0)</f>
        <v>0</v>
      </c>
      <c r="W41" s="5">
        <f ca="1">IF(MatchData[[#This Row],[Auto Crossing Test Generator]]=4,RANDBETWEEN(0,1),0)</f>
        <v>0</v>
      </c>
      <c r="X41" s="5">
        <f ca="1">IF(MatchData[[#This Row],[Auto Crossing Test Generator]]=5,RANDBETWEEN(0,1),0)</f>
        <v>0</v>
      </c>
      <c r="Y41" s="5">
        <f ca="1">IF(MatchData[[#This Row],[Auto Crossing Test Generator]]=6,RANDBETWEEN(0,1),0)</f>
        <v>0</v>
      </c>
      <c r="Z41" s="5">
        <f ca="1">IF(MatchData[[#This Row],[Auto Crossing Test Generator]]=7,RANDBETWEEN(0,1),0)</f>
        <v>0</v>
      </c>
      <c r="AA41" s="5">
        <f ca="1">IF(MatchData[[#This Row],[Auto Crossing Test Generator]]=8,RANDBETWEEN(0,1),0)</f>
        <v>0</v>
      </c>
      <c r="AB41" s="5">
        <f ca="1">IF(MatchData[[#This Row],[Auto Crossing Test Generator]]&gt;8,RANDBETWEEN(0,1),0)</f>
        <v>0</v>
      </c>
      <c r="AC41" s="5">
        <f ca="1">IF(MatchData[[#This Row],[Auto Crossing Test Generator]]=9,RANDBETWEEN(0,1),0)</f>
        <v>0</v>
      </c>
      <c r="AD41" s="5">
        <f ca="1">IF(MatchData[[#This Row],[Cheval Available]]=1,RANDBETWEEN(0,MatchData[[#This Row],[Cheval High]]),0)</f>
        <v>2</v>
      </c>
      <c r="AE41" s="5">
        <f ca="1">IF(MatchData[[#This Row],[Moat Available]]=1,RANDBETWEEN(0,MatchData[[#This Row],[Moat High]]),0)</f>
        <v>0</v>
      </c>
      <c r="AF41" s="5">
        <f ca="1">IF(MatchData[[#This Row],[Ramparts Available]]=1,RANDBETWEEN(0,MatchData[[#This Row],[Ramparts High]]),0)</f>
        <v>0</v>
      </c>
      <c r="AG41" s="5">
        <f ca="1">IF(MatchData[[#This Row],[Drawbridge Available]]=1,RANDBETWEEN(0,MatchData[[#This Row],[Drawbridge High]]),0)</f>
        <v>0</v>
      </c>
      <c r="AH41" s="5">
        <f ca="1">IF(MatchData[[#This Row],[Sally Port Available]]=1,RANDBETWEEN(0,MatchData[[#This Row],[Sally Port High]]),0)</f>
        <v>1</v>
      </c>
      <c r="AI41" s="5">
        <f ca="1">IF(MatchData[[#This Row],[Rock Wall Available]]=1,RANDBETWEEN(0,MatchData[[#This Row],[Rock Wall High]]),0)</f>
        <v>3</v>
      </c>
      <c r="AJ41" s="5">
        <f ca="1">IF(MatchData[[#This Row],[Rough Terrain Available]]=1,RANDBETWEEN(0,MatchData[[#This Row],[Rough Terrain High]]),0)</f>
        <v>0</v>
      </c>
      <c r="AK41" s="5">
        <f ca="1">IF(MatchData[[#This Row],[Low Bar Available]]=1,RANDBETWEEN(0,MatchData[[#This Row],[Low Bar High]]),0)</f>
        <v>4</v>
      </c>
      <c r="AL41" s="5">
        <f ca="1">IF(MatchData[Cheval Teleop Crossings]&gt;3,10, MatchData[Cheval Teleop Crossings]*5)</f>
        <v>10</v>
      </c>
      <c r="AM41" s="5">
        <f ca="1">IF(MatchData[Moat Teleop Crossings]&gt;3,10, MatchData[Moat Teleop Crossings]*5)</f>
        <v>0</v>
      </c>
      <c r="AN41" s="5">
        <f ca="1">IF(MatchData[Ramparts Teleop Crossings]&gt;3,10, MatchData[Ramparts Teleop Crossings]*5)</f>
        <v>0</v>
      </c>
      <c r="AO41" s="5">
        <f ca="1">IF(MatchData[Drawbridge Teleop Crossings]&gt;3,10, MatchData[Drawbridge Teleop Crossings]*5)</f>
        <v>0</v>
      </c>
      <c r="AP41" s="5">
        <f ca="1">IF(MatchData[Sally Port Teleop Crossings]&gt;3,10, MatchData[Sally Port Teleop Crossings]*5)</f>
        <v>5</v>
      </c>
      <c r="AQ41" s="5">
        <f ca="1">IF(MatchData[Rock Wall Teleop Crossings]&gt;3,10, MatchData[Rock Wall Teleop Crossings]*5)</f>
        <v>15</v>
      </c>
      <c r="AR41" s="5">
        <f ca="1">IF(MatchData[Rough Terrain Teleop Crossings]&gt;3,10, MatchData[Rough Terrain Teleop Crossings]*5)</f>
        <v>0</v>
      </c>
      <c r="AS41" s="5">
        <f ca="1">IF(MatchData[Low Bar Teleop Crossings]&gt;3,10, MatchData[Low Bar Teleop Crossings]*5)</f>
        <v>10</v>
      </c>
      <c r="AT41" s="5">
        <f ca="1">SUM(MatchData[[#This Row],[Portcullis Teleop Crossings]:[Low Bar Teleop Crossings]])</f>
        <v>10</v>
      </c>
      <c r="AU41" s="5">
        <f ca="1">IF(RANDBETWEEN(1,4)&gt;1,1,0)</f>
        <v>1</v>
      </c>
      <c r="AV41" s="5">
        <f ca="1">IF(MatchData[[#This Row],[Challenge Flag]]=1,0,IF(MatchData[[#This Row],[Climber]]=1,RANDBETWEEN(0,1),0))</f>
        <v>0</v>
      </c>
      <c r="AW41" s="5">
        <f ca="1">IF(MatchData[[#This Row],[Crossing Score]]&gt;=40,1,0)</f>
        <v>1</v>
      </c>
      <c r="AX41" s="5"/>
      <c r="AY41" s="5">
        <f ca="1">IF(RANDBETWEEN(1,100)&gt;95,1,0)</f>
        <v>0</v>
      </c>
      <c r="AZ41" s="5">
        <f ca="1">IF(RANDBETWEEN(1,100)&gt;80,1,0)</f>
        <v>0</v>
      </c>
      <c r="BA41" s="5">
        <f ca="1">IF(OR(MatchData[[#This Row],[Challenge Flag]],MatchData[[#This Row],[Climb Flag]]),1,0)</f>
        <v>1</v>
      </c>
      <c r="BB41" s="5">
        <f ca="1">MatchData[Auto High Goals]*10+MatchData[Teleop High Goals]*5</f>
        <v>0</v>
      </c>
      <c r="BC41" s="5">
        <f ca="1">MatchData[Auto Low Goals]*5+MatchData[Teleop Low Goals]*2</f>
        <v>13</v>
      </c>
      <c r="BD41" s="5">
        <f ca="1">MatchData[High Goal Score]+MatchData[Low Goal Score]</f>
        <v>13</v>
      </c>
      <c r="BE41" s="5">
        <f ca="1">MatchData[Teleop High Goals]+MatchData[Teleop Low Goals]</f>
        <v>4</v>
      </c>
      <c r="BF41" s="5">
        <f ca="1">MatchData[[#This Row],[Auto Reach Flag]]*2+SUM(MatchData[[#This Row],[Portcullis Auto Crossings]:[Low Bar Auto Crossings]])*10+MatchData[[#This Row],[Auto Low Goals]]*5+MatchData[Auto High Goals]*10</f>
        <v>7</v>
      </c>
      <c r="BG41" s="5">
        <f ca="1">SUM(MatchData[[#This Row],[Cheval Scored Teleop Crossings]:[Low Bar Scored Teleop Crossings]])</f>
        <v>40</v>
      </c>
      <c r="BH41" s="5">
        <f ca="1">MatchData[Challenge Flag]*5</f>
        <v>5</v>
      </c>
      <c r="BI41" s="5">
        <f ca="1">MatchData[Climb Flag]*15</f>
        <v>0</v>
      </c>
      <c r="BJ41" s="5">
        <f ca="1">SUM(MatchData[[#This Row],[Total Goal Score]],MatchData[[#This Row],[Crossing Score]],MatchData[[#This Row],[Challenge Score]],MatchData[[#This Row],[Climb Score]],MatchData[[#This Row],[Total Auto Score]])</f>
        <v>65</v>
      </c>
      <c r="BK41">
        <v>3</v>
      </c>
      <c r="BL41" s="5">
        <f ca="1">IF(RANDBETWEEN(0,10)&gt;=9,RANDBETWEEN(1,9),0)</f>
        <v>0</v>
      </c>
      <c r="BM41" s="5">
        <f>VLOOKUP(MatchData[[#This Row],[Persona]],Personas!$A$2:$O$5,3)</f>
        <v>2</v>
      </c>
      <c r="BN41" s="13">
        <f>VLOOKUP(MatchData[[#This Row],[Persona]],Personas!$A$2:$P$5,4)</f>
        <v>6</v>
      </c>
      <c r="BO41" s="13">
        <f>VLOOKUP(MatchData[[#This Row],[Persona]],Personas!$A$2:$P$5,5)</f>
        <v>0</v>
      </c>
      <c r="BP41" s="13">
        <f>VLOOKUP(MatchData[[#This Row],[Persona]],Personas!$A$2:$P$5,6)</f>
        <v>0</v>
      </c>
      <c r="BQ41" s="13">
        <f>VLOOKUP(MatchData[[#This Row],[Persona]],Personas!$A$2:$P$5,7)</f>
        <v>2</v>
      </c>
      <c r="BR41" s="13">
        <f>VLOOKUP(MatchData[[#This Row],[Persona]],Personas!$A$2:$P$5,8)</f>
        <v>2</v>
      </c>
      <c r="BS41" s="13">
        <f>VLOOKUP(MatchData[[#This Row],[Persona]],Personas!$A$2:$P$5,9)</f>
        <v>3</v>
      </c>
      <c r="BT41" s="13">
        <f>VLOOKUP(MatchData[[#This Row],[Persona]],Personas!$A$2:$P$5,10)</f>
        <v>3</v>
      </c>
      <c r="BU41" s="13">
        <f>VLOOKUP(MatchData[[#This Row],[Persona]],Personas!$A$2:$P$5,11)</f>
        <v>2</v>
      </c>
      <c r="BV41" s="13">
        <f>VLOOKUP(MatchData[[#This Row],[Persona]],Personas!$A$2:$P$5,12)</f>
        <v>2</v>
      </c>
      <c r="BW41" s="13">
        <f>VLOOKUP(MatchData[[#This Row],[Persona]],Personas!$A$2:$P$5,13)</f>
        <v>3</v>
      </c>
      <c r="BX41" s="13">
        <f>VLOOKUP(MatchData[[#This Row],[Persona]],Personas!$A$2:$P$5,14)</f>
        <v>3</v>
      </c>
      <c r="BY41" s="13">
        <f>VLOOKUP(MatchData[[#This Row],[Persona]],Personas!$A$2:$P$5,15)</f>
        <v>4</v>
      </c>
      <c r="BZ41" s="13">
        <f>VLOOKUP(MatchData[[#This Row],[Persona]],Personas!$A$2:$P$5,16)</f>
        <v>1</v>
      </c>
      <c r="CA41" s="14">
        <f ca="1">ROUND(SUMIF(MatchData[Team],MatchData[[#This Row],[Team]],MatchData[Teleop Low Goals])/COUNTIF(MatchData[Team],MatchData[[#This Row],[Team]]),2)</f>
        <v>3.4</v>
      </c>
      <c r="CB41" s="14">
        <f ca="1">ROUND(SUMIF(MatchData[Team],MatchData[[#This Row],[Team]],MatchData[Teleop High Goals])/COUNTIF(MatchData[Team],MatchData[[#This Row],[Team]]),2)</f>
        <v>0</v>
      </c>
      <c r="CC41" s="14">
        <f>COUNTIF(MatchData[Team],MatchData[[#This Row],[Team]])</f>
        <v>5</v>
      </c>
      <c r="CD41" s="14">
        <f>SUMIF(MatchData[Team],MatchData[[#This Row],[Team]],MatchData[Portcullis Available])</f>
        <v>0</v>
      </c>
      <c r="CE41" s="14">
        <f>SUMIF(MatchData[Team],MatchData[[#This Row],[Team]],MatchData[Cheval Available])</f>
        <v>5</v>
      </c>
      <c r="CF41" s="14">
        <f>SUMIF(MatchData[Team],MatchData[[#This Row],[Team]],MatchData[Moat Available])</f>
        <v>5</v>
      </c>
      <c r="CG41" s="14">
        <f>SUMIF(MatchData[Team],MatchData[[#This Row],[Team]],MatchData[Ramparts Available])</f>
        <v>0</v>
      </c>
      <c r="CH41" s="14">
        <f>SUMIF(MatchData[Team],MatchData[[#This Row],[Team]],MatchData[Drawbridge Available])</f>
        <v>3</v>
      </c>
      <c r="CI41" s="14">
        <f>SUMIF(MatchData[Team],MatchData[[#This Row],[Team]],MatchData[Sally Port Available])</f>
        <v>2</v>
      </c>
      <c r="CJ41" s="14">
        <f>SUMIF(MatchData[Team],MatchData[[#This Row],[Team]],MatchData[Rock Wall Available])</f>
        <v>2</v>
      </c>
      <c r="CK41" s="14">
        <f>SUMIF(MatchData[Team],MatchData[[#This Row],[Team]],MatchData[Rough Terrain Available])</f>
        <v>3</v>
      </c>
      <c r="CL41" s="14">
        <f>SUMIF(MatchData[Team],MatchData[[#This Row],[Team]],MatchData[Low Bar Available])</f>
        <v>5</v>
      </c>
      <c r="CM41" s="14">
        <f ca="1">SUMIF(MatchData[Team],MatchData[[#This Row],[Team]],MatchData[Portcullis Teleop Crossings])</f>
        <v>0</v>
      </c>
      <c r="CN41" s="14">
        <f ca="1">SUMIF(MatchData[Team],MatchData[[#This Row],[Team]],MatchData[Cheval Teleop Crossings])</f>
        <v>7</v>
      </c>
      <c r="CO41" s="14">
        <f ca="1">SUMIF(MatchData[Team],MatchData[[#This Row],[Team]],MatchData[Moat Teleop Crossings])</f>
        <v>3</v>
      </c>
      <c r="CP41" s="14">
        <f ca="1">SUMIF(MatchData[Team],MatchData[[#This Row],[Team]],MatchData[Ramparts Teleop Crossings])</f>
        <v>0</v>
      </c>
      <c r="CQ41" s="14">
        <f ca="1">SUMIF(MatchData[Team],MatchData[[#This Row],[Team]],MatchData[Drawbridge Teleop Crossings])</f>
        <v>0</v>
      </c>
      <c r="CR41" s="14">
        <f ca="1">SUMIF(MatchData[Team],MatchData[[#This Row],[Team]],MatchData[Sally Port Teleop Crossings])</f>
        <v>1</v>
      </c>
      <c r="CS41" s="14">
        <f ca="1">SUMIF(MatchData[Team],MatchData[[#This Row],[Team]],MatchData[Rock Wall Teleop Crossings])</f>
        <v>6</v>
      </c>
      <c r="CT41" s="14">
        <f ca="1">SUMIF(MatchData[Team],MatchData[[#This Row],[Team]],MatchData[Rough Terrain Teleop Crossings])</f>
        <v>9</v>
      </c>
      <c r="CU41" s="14">
        <f ca="1">SUMIF(MatchData[Team],MatchData[[#This Row],[Team]],MatchData[Low Bar Teleop Crossings])</f>
        <v>11</v>
      </c>
      <c r="CV41" s="14">
        <f ca="1">IFERROR(ROUND(MatchData[[#This Row],[Portcullis Sum]]/MatchData[[#This Row],[Portcullis Avail Count]],2),0)</f>
        <v>0</v>
      </c>
      <c r="CW41">
        <f ca="1">IFERROR(ROUND(MatchData[[#This Row],[Cheval Sum]]/MatchData[[#This Row],[Cheval Avail Count]],2),0)</f>
        <v>1.4</v>
      </c>
      <c r="CX41">
        <f ca="1">IFERROR(ROUND(MatchData[[#This Row],[Moat Sum]]/MatchData[[#This Row],[Moat Avail Count]],2),0)</f>
        <v>0.6</v>
      </c>
      <c r="CY41">
        <f ca="1">IFERROR(ROUND(MatchData[[#This Row],[Ramparts Sum]]/MatchData[[#This Row],[Ramparts Avail Count]],2),0)</f>
        <v>0</v>
      </c>
      <c r="CZ41">
        <f ca="1">IFERROR(ROUND(MatchData[[#This Row],[Drawbridge Sum]]/MatchData[[#This Row],[Drawbridge HAvail Countigh6]],2),0)</f>
        <v>0</v>
      </c>
      <c r="DA41">
        <f ca="1">IFERROR(ROUND(MatchData[[#This Row],[Sally Port Sum]]/MatchData[[#This Row],[Sally Port Avail Count]],2),0)</f>
        <v>0.5</v>
      </c>
      <c r="DB41">
        <f ca="1">IFERROR(ROUND(MatchData[[#This Row],[Rock Wall Sum]]/MatchData[[#This Row],[Rock Wall Avail Count]],2),0)</f>
        <v>3</v>
      </c>
      <c r="DC41">
        <f ca="1">IFERROR(ROUND(MatchData[[#This Row],[Rough Terrain Sum]]/MatchData[[#This Row],[Rough Terrain Avail Count]],2),0)</f>
        <v>3</v>
      </c>
      <c r="DD41">
        <f ca="1">IFERROR(ROUND(MatchData[[#This Row],[Low Bar Sum]]/MatchData[[#This Row],[Low Bar Avail Count]],2),0)</f>
        <v>2.2000000000000002</v>
      </c>
      <c r="DE41" s="14">
        <f t="array" aca="1" ref="DE41" ca="1">MAX(IF(C$4:C$75=C41,BE$4:BE$75))</f>
        <v>4</v>
      </c>
      <c r="DF41" s="14">
        <f ca="1">AVERAGEIF(MatchData[Team],MatchData[Team],MatchData[Total Score])</f>
        <v>48.2</v>
      </c>
      <c r="DG41" s="14">
        <f ca="1">ROUND(AVERAGEIF(MatchData[Team],MatchData[Team],MatchData[Climb or Challenge Flag]),2)</f>
        <v>0.8</v>
      </c>
    </row>
    <row r="42" spans="1:111">
      <c r="A42" t="s">
        <v>54</v>
      </c>
      <c r="B42" s="4">
        <v>6</v>
      </c>
      <c r="C42">
        <v>1008</v>
      </c>
      <c r="D42" t="s">
        <v>56</v>
      </c>
      <c r="E42" t="s">
        <v>58</v>
      </c>
      <c r="F42">
        <f ca="1">IF(MatchData[[#This Row],[Persona]] = 4,RANDBETWEEN(0,1),0)</f>
        <v>0</v>
      </c>
      <c r="G42">
        <f ca="1">IF(MatchData[[#This Row],[Persona]] = 3,RANDBETWEEN(0,1),0)</f>
        <v>0</v>
      </c>
      <c r="H42">
        <f ca="1">RANDBETWEEN(MatchData[[#This Row],[High Goal Low]],MatchData[[#This Row],[High Goal High]])</f>
        <v>0</v>
      </c>
      <c r="I42">
        <f ca="1">RANDBETWEEN(MatchData[[#This Row],[Low Goal Low]],MatchData[[#This Row],[Low Goal High]])</f>
        <v>4</v>
      </c>
      <c r="J42" s="6"/>
      <c r="K42" s="6">
        <v>1</v>
      </c>
      <c r="L42" s="6">
        <v>1</v>
      </c>
      <c r="M42" s="6"/>
      <c r="N42" s="6">
        <v>1</v>
      </c>
      <c r="O42" s="6"/>
      <c r="P42" s="6"/>
      <c r="Q42" s="5">
        <v>1</v>
      </c>
      <c r="R42" s="5">
        <v>1</v>
      </c>
      <c r="S42" s="5">
        <f ca="1">IF(MatchData[[#This Row],[Auto Crossing Test Generator]]=0,RANDBETWEEN(0,1),0)</f>
        <v>0</v>
      </c>
      <c r="T42" s="5">
        <f ca="1">IF(MatchData[Auto Crossing Test Generator]=1,1,0)</f>
        <v>0</v>
      </c>
      <c r="U42" s="5">
        <f ca="1">IF(MatchData[[#This Row],[Auto Crossing Test Generator]]=2,RANDBETWEEN(0,1),0)</f>
        <v>0</v>
      </c>
      <c r="V42" s="5">
        <f ca="1">IF(MatchData[[#This Row],[Auto Crossing Test Generator]]=3,RANDBETWEEN(0,1),0)</f>
        <v>0</v>
      </c>
      <c r="W42" s="5">
        <f ca="1">IF(MatchData[[#This Row],[Auto Crossing Test Generator]]=4,RANDBETWEEN(0,1),0)</f>
        <v>0</v>
      </c>
      <c r="X42" s="5">
        <f ca="1">IF(MatchData[[#This Row],[Auto Crossing Test Generator]]=5,RANDBETWEEN(0,1),0)</f>
        <v>0</v>
      </c>
      <c r="Y42" s="5">
        <f ca="1">IF(MatchData[[#This Row],[Auto Crossing Test Generator]]=6,RANDBETWEEN(0,1),0)</f>
        <v>0</v>
      </c>
      <c r="Z42" s="5">
        <f ca="1">IF(MatchData[[#This Row],[Auto Crossing Test Generator]]=7,RANDBETWEEN(0,1),0)</f>
        <v>0</v>
      </c>
      <c r="AA42" s="5">
        <f ca="1">IF(MatchData[[#This Row],[Auto Crossing Test Generator]]=8,RANDBETWEEN(0,1),0)</f>
        <v>0</v>
      </c>
      <c r="AB42" s="5">
        <f ca="1">IF(MatchData[[#This Row],[Auto Crossing Test Generator]]&gt;8,RANDBETWEEN(0,1),0)</f>
        <v>0</v>
      </c>
      <c r="AC42" s="5">
        <f ca="1">IF(MatchData[[#This Row],[Auto Crossing Test Generator]]=9,RANDBETWEEN(0,1),0)</f>
        <v>0</v>
      </c>
      <c r="AD42" s="5">
        <f ca="1">IF(MatchData[[#This Row],[Cheval Available]]=1,RANDBETWEEN(0,MatchData[[#This Row],[Cheval High]]),0)</f>
        <v>0</v>
      </c>
      <c r="AE42" s="5">
        <f ca="1">IF(MatchData[[#This Row],[Moat Available]]=1,RANDBETWEEN(0,MatchData[[#This Row],[Moat High]]),0)</f>
        <v>0</v>
      </c>
      <c r="AF42" s="5">
        <f ca="1">IF(MatchData[[#This Row],[Ramparts Available]]=1,RANDBETWEEN(0,MatchData[[#This Row],[Ramparts High]]),0)</f>
        <v>0</v>
      </c>
      <c r="AG42" s="5">
        <f ca="1">IF(MatchData[[#This Row],[Drawbridge Available]]=1,RANDBETWEEN(0,MatchData[[#This Row],[Drawbridge High]]),0)</f>
        <v>0</v>
      </c>
      <c r="AH42" s="5">
        <f ca="1">IF(MatchData[[#This Row],[Sally Port Available]]=1,RANDBETWEEN(0,MatchData[[#This Row],[Sally Port High]]),0)</f>
        <v>0</v>
      </c>
      <c r="AI42" s="5">
        <f ca="1">IF(MatchData[[#This Row],[Rock Wall Available]]=1,RANDBETWEEN(0,MatchData[[#This Row],[Rock Wall High]]),0)</f>
        <v>0</v>
      </c>
      <c r="AJ42" s="5">
        <f ca="1">IF(MatchData[[#This Row],[Rough Terrain Available]]=1,RANDBETWEEN(0,MatchData[[#This Row],[Rough Terrain High]]),0)</f>
        <v>3</v>
      </c>
      <c r="AK42" s="5">
        <f ca="1">IF(MatchData[[#This Row],[Low Bar Available]]=1,RANDBETWEEN(0,MatchData[[#This Row],[Low Bar High]]),0)</f>
        <v>1</v>
      </c>
      <c r="AL42" s="5">
        <f ca="1">IF(MatchData[Cheval Teleop Crossings]&gt;3,10, MatchData[Cheval Teleop Crossings]*5)</f>
        <v>0</v>
      </c>
      <c r="AM42" s="5">
        <f ca="1">IF(MatchData[Moat Teleop Crossings]&gt;3,10, MatchData[Moat Teleop Crossings]*5)</f>
        <v>0</v>
      </c>
      <c r="AN42" s="5">
        <f ca="1">IF(MatchData[Ramparts Teleop Crossings]&gt;3,10, MatchData[Ramparts Teleop Crossings]*5)</f>
        <v>0</v>
      </c>
      <c r="AO42" s="5">
        <f ca="1">IF(MatchData[Drawbridge Teleop Crossings]&gt;3,10, MatchData[Drawbridge Teleop Crossings]*5)</f>
        <v>0</v>
      </c>
      <c r="AP42" s="5">
        <f ca="1">IF(MatchData[Sally Port Teleop Crossings]&gt;3,10, MatchData[Sally Port Teleop Crossings]*5)</f>
        <v>0</v>
      </c>
      <c r="AQ42" s="5">
        <f ca="1">IF(MatchData[Rock Wall Teleop Crossings]&gt;3,10, MatchData[Rock Wall Teleop Crossings]*5)</f>
        <v>0</v>
      </c>
      <c r="AR42" s="5">
        <f ca="1">IF(MatchData[Rough Terrain Teleop Crossings]&gt;3,10, MatchData[Rough Terrain Teleop Crossings]*5)</f>
        <v>15</v>
      </c>
      <c r="AS42" s="5">
        <f ca="1">IF(MatchData[Low Bar Teleop Crossings]&gt;3,10, MatchData[Low Bar Teleop Crossings]*5)</f>
        <v>5</v>
      </c>
      <c r="AT42" s="5">
        <f ca="1">SUM(MatchData[[#This Row],[Portcullis Teleop Crossings]:[Low Bar Teleop Crossings]])</f>
        <v>4</v>
      </c>
      <c r="AU42" s="5">
        <f ca="1">IF(RANDBETWEEN(1,4)&gt;1,1,0)</f>
        <v>1</v>
      </c>
      <c r="AV42" s="5">
        <f ca="1">IF(MatchData[[#This Row],[Challenge Flag]]=1,0,IF(MatchData[[#This Row],[Climber]]=1,RANDBETWEEN(0,1),0))</f>
        <v>0</v>
      </c>
      <c r="AW42" s="5">
        <f ca="1">IF(MatchData[[#This Row],[Crossing Score]]&gt;=40,1,0)</f>
        <v>0</v>
      </c>
      <c r="AX42" s="5"/>
      <c r="AY42" s="5">
        <f ca="1">IF(RANDBETWEEN(1,100)&gt;95,1,0)</f>
        <v>0</v>
      </c>
      <c r="AZ42" s="5">
        <f ca="1">IF(RANDBETWEEN(1,100)&gt;80,1,0)</f>
        <v>0</v>
      </c>
      <c r="BA42" s="5">
        <f ca="1">IF(OR(MatchData[[#This Row],[Challenge Flag]],MatchData[[#This Row],[Climb Flag]]),1,0)</f>
        <v>1</v>
      </c>
      <c r="BB42" s="5">
        <f ca="1">MatchData[Auto High Goals]*10+MatchData[Teleop High Goals]*5</f>
        <v>0</v>
      </c>
      <c r="BC42" s="5">
        <f ca="1">MatchData[Auto Low Goals]*5+MatchData[Teleop Low Goals]*2</f>
        <v>8</v>
      </c>
      <c r="BD42" s="5">
        <f ca="1">MatchData[High Goal Score]+MatchData[Low Goal Score]</f>
        <v>8</v>
      </c>
      <c r="BE42" s="5">
        <f ca="1">MatchData[Teleop High Goals]+MatchData[Teleop Low Goals]</f>
        <v>4</v>
      </c>
      <c r="BF42" s="5">
        <f ca="1">MatchData[[#This Row],[Auto Reach Flag]]*2+SUM(MatchData[[#This Row],[Portcullis Auto Crossings]:[Low Bar Auto Crossings]])*10+MatchData[[#This Row],[Auto Low Goals]]*5+MatchData[Auto High Goals]*10</f>
        <v>0</v>
      </c>
      <c r="BG42" s="5">
        <f ca="1">SUM(MatchData[[#This Row],[Cheval Scored Teleop Crossings]:[Low Bar Scored Teleop Crossings]])</f>
        <v>20</v>
      </c>
      <c r="BH42" s="5">
        <f ca="1">MatchData[Challenge Flag]*5</f>
        <v>5</v>
      </c>
      <c r="BI42" s="5">
        <f ca="1">MatchData[Climb Flag]*15</f>
        <v>0</v>
      </c>
      <c r="BJ42" s="5">
        <f ca="1">SUM(MatchData[[#This Row],[Total Goal Score]],MatchData[[#This Row],[Crossing Score]],MatchData[[#This Row],[Challenge Score]],MatchData[[#This Row],[Climb Score]],MatchData[[#This Row],[Total Auto Score]])</f>
        <v>33</v>
      </c>
      <c r="BK42">
        <v>3</v>
      </c>
      <c r="BL42" s="5">
        <f ca="1">IF(RANDBETWEEN(0,10)&gt;=9,RANDBETWEEN(1,9),0)</f>
        <v>0</v>
      </c>
      <c r="BM42" s="5">
        <f>VLOOKUP(MatchData[[#This Row],[Persona]],Personas!$A$2:$O$5,3)</f>
        <v>2</v>
      </c>
      <c r="BN42" s="13">
        <f>VLOOKUP(MatchData[[#This Row],[Persona]],Personas!$A$2:$P$5,4)</f>
        <v>6</v>
      </c>
      <c r="BO42" s="13">
        <f>VLOOKUP(MatchData[[#This Row],[Persona]],Personas!$A$2:$P$5,5)</f>
        <v>0</v>
      </c>
      <c r="BP42" s="13">
        <f>VLOOKUP(MatchData[[#This Row],[Persona]],Personas!$A$2:$P$5,6)</f>
        <v>0</v>
      </c>
      <c r="BQ42" s="13">
        <f>VLOOKUP(MatchData[[#This Row],[Persona]],Personas!$A$2:$P$5,7)</f>
        <v>2</v>
      </c>
      <c r="BR42" s="13">
        <f>VLOOKUP(MatchData[[#This Row],[Persona]],Personas!$A$2:$P$5,8)</f>
        <v>2</v>
      </c>
      <c r="BS42" s="13">
        <f>VLOOKUP(MatchData[[#This Row],[Persona]],Personas!$A$2:$P$5,9)</f>
        <v>3</v>
      </c>
      <c r="BT42" s="13">
        <f>VLOOKUP(MatchData[[#This Row],[Persona]],Personas!$A$2:$P$5,10)</f>
        <v>3</v>
      </c>
      <c r="BU42" s="13">
        <f>VLOOKUP(MatchData[[#This Row],[Persona]],Personas!$A$2:$P$5,11)</f>
        <v>2</v>
      </c>
      <c r="BV42" s="13">
        <f>VLOOKUP(MatchData[[#This Row],[Persona]],Personas!$A$2:$P$5,12)</f>
        <v>2</v>
      </c>
      <c r="BW42" s="13">
        <f>VLOOKUP(MatchData[[#This Row],[Persona]],Personas!$A$2:$P$5,13)</f>
        <v>3</v>
      </c>
      <c r="BX42" s="13">
        <f>VLOOKUP(MatchData[[#This Row],[Persona]],Personas!$A$2:$P$5,14)</f>
        <v>3</v>
      </c>
      <c r="BY42" s="13">
        <f>VLOOKUP(MatchData[[#This Row],[Persona]],Personas!$A$2:$P$5,15)</f>
        <v>4</v>
      </c>
      <c r="BZ42" s="13">
        <f>VLOOKUP(MatchData[[#This Row],[Persona]],Personas!$A$2:$P$5,16)</f>
        <v>1</v>
      </c>
      <c r="CA42" s="14">
        <f ca="1">ROUND(SUMIF(MatchData[Team],MatchData[[#This Row],[Team]],MatchData[Teleop Low Goals])/COUNTIF(MatchData[Team],MatchData[[#This Row],[Team]]),2)</f>
        <v>3.4</v>
      </c>
      <c r="CB42" s="14">
        <f ca="1">ROUND(SUMIF(MatchData[Team],MatchData[[#This Row],[Team]],MatchData[Teleop High Goals])/COUNTIF(MatchData[Team],MatchData[[#This Row],[Team]]),2)</f>
        <v>0</v>
      </c>
      <c r="CC42" s="14">
        <f>COUNTIF(MatchData[Team],MatchData[[#This Row],[Team]])</f>
        <v>5</v>
      </c>
      <c r="CD42" s="14">
        <f>SUMIF(MatchData[Team],MatchData[[#This Row],[Team]],MatchData[Portcullis Available])</f>
        <v>0</v>
      </c>
      <c r="CE42" s="14">
        <f>SUMIF(MatchData[Team],MatchData[[#This Row],[Team]],MatchData[Cheval Available])</f>
        <v>5</v>
      </c>
      <c r="CF42" s="14">
        <f>SUMIF(MatchData[Team],MatchData[[#This Row],[Team]],MatchData[Moat Available])</f>
        <v>5</v>
      </c>
      <c r="CG42" s="14">
        <f>SUMIF(MatchData[Team],MatchData[[#This Row],[Team]],MatchData[Ramparts Available])</f>
        <v>0</v>
      </c>
      <c r="CH42" s="14">
        <f>SUMIF(MatchData[Team],MatchData[[#This Row],[Team]],MatchData[Drawbridge Available])</f>
        <v>3</v>
      </c>
      <c r="CI42" s="14">
        <f>SUMIF(MatchData[Team],MatchData[[#This Row],[Team]],MatchData[Sally Port Available])</f>
        <v>2</v>
      </c>
      <c r="CJ42" s="14">
        <f>SUMIF(MatchData[Team],MatchData[[#This Row],[Team]],MatchData[Rock Wall Available])</f>
        <v>2</v>
      </c>
      <c r="CK42" s="14">
        <f>SUMIF(MatchData[Team],MatchData[[#This Row],[Team]],MatchData[Rough Terrain Available])</f>
        <v>3</v>
      </c>
      <c r="CL42" s="14">
        <f>SUMIF(MatchData[Team],MatchData[[#This Row],[Team]],MatchData[Low Bar Available])</f>
        <v>5</v>
      </c>
      <c r="CM42" s="14">
        <f ca="1">SUMIF(MatchData[Team],MatchData[[#This Row],[Team]],MatchData[Portcullis Teleop Crossings])</f>
        <v>0</v>
      </c>
      <c r="CN42" s="14">
        <f ca="1">SUMIF(MatchData[Team],MatchData[[#This Row],[Team]],MatchData[Cheval Teleop Crossings])</f>
        <v>7</v>
      </c>
      <c r="CO42" s="14">
        <f ca="1">SUMIF(MatchData[Team],MatchData[[#This Row],[Team]],MatchData[Moat Teleop Crossings])</f>
        <v>3</v>
      </c>
      <c r="CP42" s="14">
        <f ca="1">SUMIF(MatchData[Team],MatchData[[#This Row],[Team]],MatchData[Ramparts Teleop Crossings])</f>
        <v>0</v>
      </c>
      <c r="CQ42" s="14">
        <f ca="1">SUMIF(MatchData[Team],MatchData[[#This Row],[Team]],MatchData[Drawbridge Teleop Crossings])</f>
        <v>0</v>
      </c>
      <c r="CR42" s="14">
        <f ca="1">SUMIF(MatchData[Team],MatchData[[#This Row],[Team]],MatchData[Sally Port Teleop Crossings])</f>
        <v>1</v>
      </c>
      <c r="CS42" s="14">
        <f ca="1">SUMIF(MatchData[Team],MatchData[[#This Row],[Team]],MatchData[Rock Wall Teleop Crossings])</f>
        <v>6</v>
      </c>
      <c r="CT42" s="14">
        <f ca="1">SUMIF(MatchData[Team],MatchData[[#This Row],[Team]],MatchData[Rough Terrain Teleop Crossings])</f>
        <v>9</v>
      </c>
      <c r="CU42" s="14">
        <f ca="1">SUMIF(MatchData[Team],MatchData[[#This Row],[Team]],MatchData[Low Bar Teleop Crossings])</f>
        <v>11</v>
      </c>
      <c r="CV42" s="14">
        <f ca="1">IFERROR(ROUND(MatchData[[#This Row],[Portcullis Sum]]/MatchData[[#This Row],[Portcullis Avail Count]],2),0)</f>
        <v>0</v>
      </c>
      <c r="CW42">
        <f ca="1">IFERROR(ROUND(MatchData[[#This Row],[Cheval Sum]]/MatchData[[#This Row],[Cheval Avail Count]],2),0)</f>
        <v>1.4</v>
      </c>
      <c r="CX42">
        <f ca="1">IFERROR(ROUND(MatchData[[#This Row],[Moat Sum]]/MatchData[[#This Row],[Moat Avail Count]],2),0)</f>
        <v>0.6</v>
      </c>
      <c r="CY42">
        <f ca="1">IFERROR(ROUND(MatchData[[#This Row],[Ramparts Sum]]/MatchData[[#This Row],[Ramparts Avail Count]],2),0)</f>
        <v>0</v>
      </c>
      <c r="CZ42">
        <f ca="1">IFERROR(ROUND(MatchData[[#This Row],[Drawbridge Sum]]/MatchData[[#This Row],[Drawbridge HAvail Countigh6]],2),0)</f>
        <v>0</v>
      </c>
      <c r="DA42">
        <f ca="1">IFERROR(ROUND(MatchData[[#This Row],[Sally Port Sum]]/MatchData[[#This Row],[Sally Port Avail Count]],2),0)</f>
        <v>0.5</v>
      </c>
      <c r="DB42">
        <f ca="1">IFERROR(ROUND(MatchData[[#This Row],[Rock Wall Sum]]/MatchData[[#This Row],[Rock Wall Avail Count]],2),0)</f>
        <v>3</v>
      </c>
      <c r="DC42">
        <f ca="1">IFERROR(ROUND(MatchData[[#This Row],[Rough Terrain Sum]]/MatchData[[#This Row],[Rough Terrain Avail Count]],2),0)</f>
        <v>3</v>
      </c>
      <c r="DD42">
        <f ca="1">IFERROR(ROUND(MatchData[[#This Row],[Low Bar Sum]]/MatchData[[#This Row],[Low Bar Avail Count]],2),0)</f>
        <v>2.2000000000000002</v>
      </c>
      <c r="DE42" s="14">
        <f t="array" aca="1" ref="DE42" ca="1">MAX(IF(C$4:C$75=C42,BE$4:BE$75))</f>
        <v>4</v>
      </c>
      <c r="DF42" s="14">
        <f ca="1">AVERAGEIF(MatchData[Team],MatchData[Team],MatchData[Total Score])</f>
        <v>48.2</v>
      </c>
      <c r="DG42" s="14">
        <f ca="1">ROUND(AVERAGEIF(MatchData[Team],MatchData[Team],MatchData[Climb or Challenge Flag]),2)</f>
        <v>0.8</v>
      </c>
    </row>
    <row r="43" spans="1:111">
      <c r="A43" t="s">
        <v>54</v>
      </c>
      <c r="B43" s="4">
        <v>8</v>
      </c>
      <c r="C43">
        <v>1008</v>
      </c>
      <c r="D43" t="s">
        <v>56</v>
      </c>
      <c r="E43" t="s">
        <v>63</v>
      </c>
      <c r="F43">
        <f ca="1">IF(MatchData[[#This Row],[Persona]] = 4,RANDBETWEEN(0,1),0)</f>
        <v>0</v>
      </c>
      <c r="G43">
        <f ca="1">IF(MatchData[[#This Row],[Persona]] = 3,RANDBETWEEN(0,1),0)</f>
        <v>0</v>
      </c>
      <c r="H43">
        <f ca="1">RANDBETWEEN(MatchData[[#This Row],[High Goal Low]],MatchData[[#This Row],[High Goal High]])</f>
        <v>0</v>
      </c>
      <c r="I43">
        <f ca="1">RANDBETWEEN(MatchData[[#This Row],[Low Goal Low]],MatchData[[#This Row],[Low Goal High]])</f>
        <v>4</v>
      </c>
      <c r="J43" s="6"/>
      <c r="K43" s="6">
        <v>1</v>
      </c>
      <c r="L43" s="6">
        <v>1</v>
      </c>
      <c r="M43" s="6"/>
      <c r="N43" s="6"/>
      <c r="O43" s="6">
        <v>1</v>
      </c>
      <c r="P43" s="6">
        <v>1</v>
      </c>
      <c r="Q43" s="5"/>
      <c r="R43" s="5">
        <v>1</v>
      </c>
      <c r="S43" s="5">
        <f ca="1">IF(MatchData[[#This Row],[Auto Crossing Test Generator]]=0,RANDBETWEEN(0,1),0)</f>
        <v>0</v>
      </c>
      <c r="T43" s="5">
        <f ca="1">IF(MatchData[Auto Crossing Test Generator]=1,1,0)</f>
        <v>0</v>
      </c>
      <c r="U43" s="5">
        <f ca="1">IF(MatchData[[#This Row],[Auto Crossing Test Generator]]=2,RANDBETWEEN(0,1),0)</f>
        <v>0</v>
      </c>
      <c r="V43" s="5">
        <f ca="1">IF(MatchData[[#This Row],[Auto Crossing Test Generator]]=3,RANDBETWEEN(0,1),0)</f>
        <v>0</v>
      </c>
      <c r="W43" s="5">
        <f ca="1">IF(MatchData[[#This Row],[Auto Crossing Test Generator]]=4,RANDBETWEEN(0,1),0)</f>
        <v>0</v>
      </c>
      <c r="X43" s="5">
        <f ca="1">IF(MatchData[[#This Row],[Auto Crossing Test Generator]]=5,RANDBETWEEN(0,1),0)</f>
        <v>0</v>
      </c>
      <c r="Y43" s="5">
        <f ca="1">IF(MatchData[[#This Row],[Auto Crossing Test Generator]]=6,RANDBETWEEN(0,1),0)</f>
        <v>0</v>
      </c>
      <c r="Z43" s="5">
        <f ca="1">IF(MatchData[[#This Row],[Auto Crossing Test Generator]]=7,RANDBETWEEN(0,1),0)</f>
        <v>0</v>
      </c>
      <c r="AA43" s="5">
        <f ca="1">IF(MatchData[[#This Row],[Auto Crossing Test Generator]]=8,RANDBETWEEN(0,1),0)</f>
        <v>0</v>
      </c>
      <c r="AB43" s="5">
        <f ca="1">IF(MatchData[[#This Row],[Auto Crossing Test Generator]]&gt;8,RANDBETWEEN(0,1),0)</f>
        <v>0</v>
      </c>
      <c r="AC43" s="5">
        <f ca="1">IF(MatchData[[#This Row],[Auto Crossing Test Generator]]=9,RANDBETWEEN(0,1),0)</f>
        <v>0</v>
      </c>
      <c r="AD43" s="5">
        <f ca="1">IF(MatchData[[#This Row],[Cheval Available]]=1,RANDBETWEEN(0,MatchData[[#This Row],[Cheval High]]),0)</f>
        <v>2</v>
      </c>
      <c r="AE43" s="5">
        <f ca="1">IF(MatchData[[#This Row],[Moat Available]]=1,RANDBETWEEN(0,MatchData[[#This Row],[Moat High]]),0)</f>
        <v>0</v>
      </c>
      <c r="AF43" s="5">
        <f ca="1">IF(MatchData[[#This Row],[Ramparts Available]]=1,RANDBETWEEN(0,MatchData[[#This Row],[Ramparts High]]),0)</f>
        <v>0</v>
      </c>
      <c r="AG43" s="5">
        <f ca="1">IF(MatchData[[#This Row],[Drawbridge Available]]=1,RANDBETWEEN(0,MatchData[[#This Row],[Drawbridge High]]),0)</f>
        <v>0</v>
      </c>
      <c r="AH43" s="5">
        <f ca="1">IF(MatchData[[#This Row],[Sally Port Available]]=1,RANDBETWEEN(0,MatchData[[#This Row],[Sally Port High]]),0)</f>
        <v>0</v>
      </c>
      <c r="AI43" s="5">
        <f ca="1">IF(MatchData[[#This Row],[Rock Wall Available]]=1,RANDBETWEEN(0,MatchData[[#This Row],[Rock Wall High]]),0)</f>
        <v>3</v>
      </c>
      <c r="AJ43" s="5">
        <f ca="1">IF(MatchData[[#This Row],[Rough Terrain Available]]=1,RANDBETWEEN(0,MatchData[[#This Row],[Rough Terrain High]]),0)</f>
        <v>0</v>
      </c>
      <c r="AK43" s="5">
        <f ca="1">IF(MatchData[[#This Row],[Low Bar Available]]=1,RANDBETWEEN(0,MatchData[[#This Row],[Low Bar High]]),0)</f>
        <v>2</v>
      </c>
      <c r="AL43" s="5">
        <f ca="1">IF(MatchData[Cheval Teleop Crossings]&gt;3,10, MatchData[Cheval Teleop Crossings]*5)</f>
        <v>10</v>
      </c>
      <c r="AM43" s="5">
        <f ca="1">IF(MatchData[Moat Teleop Crossings]&gt;3,10, MatchData[Moat Teleop Crossings]*5)</f>
        <v>0</v>
      </c>
      <c r="AN43" s="5">
        <f ca="1">IF(MatchData[Ramparts Teleop Crossings]&gt;3,10, MatchData[Ramparts Teleop Crossings]*5)</f>
        <v>0</v>
      </c>
      <c r="AO43" s="5">
        <f ca="1">IF(MatchData[Drawbridge Teleop Crossings]&gt;3,10, MatchData[Drawbridge Teleop Crossings]*5)</f>
        <v>0</v>
      </c>
      <c r="AP43" s="5">
        <f ca="1">IF(MatchData[Sally Port Teleop Crossings]&gt;3,10, MatchData[Sally Port Teleop Crossings]*5)</f>
        <v>0</v>
      </c>
      <c r="AQ43" s="5">
        <f ca="1">IF(MatchData[Rock Wall Teleop Crossings]&gt;3,10, MatchData[Rock Wall Teleop Crossings]*5)</f>
        <v>15</v>
      </c>
      <c r="AR43" s="5">
        <f ca="1">IF(MatchData[Rough Terrain Teleop Crossings]&gt;3,10, MatchData[Rough Terrain Teleop Crossings]*5)</f>
        <v>0</v>
      </c>
      <c r="AS43" s="5">
        <f ca="1">IF(MatchData[Low Bar Teleop Crossings]&gt;3,10, MatchData[Low Bar Teleop Crossings]*5)</f>
        <v>10</v>
      </c>
      <c r="AT43" s="5">
        <f ca="1">SUM(MatchData[[#This Row],[Portcullis Teleop Crossings]:[Low Bar Teleop Crossings]])</f>
        <v>7</v>
      </c>
      <c r="AU43" s="5">
        <f ca="1">IF(RANDBETWEEN(1,4)&gt;1,1,0)</f>
        <v>1</v>
      </c>
      <c r="AV43" s="5">
        <f ca="1">IF(MatchData[[#This Row],[Challenge Flag]]=1,0,IF(MatchData[[#This Row],[Climber]]=1,RANDBETWEEN(0,1),0))</f>
        <v>0</v>
      </c>
      <c r="AW43" s="5">
        <f ca="1">IF(MatchData[[#This Row],[Crossing Score]]&gt;=40,1,0)</f>
        <v>0</v>
      </c>
      <c r="AX43" s="5"/>
      <c r="AY43" s="5">
        <f ca="1">IF(RANDBETWEEN(1,100)&gt;95,1,0)</f>
        <v>0</v>
      </c>
      <c r="AZ43" s="5">
        <f ca="1">IF(RANDBETWEEN(1,100)&gt;80,1,0)</f>
        <v>0</v>
      </c>
      <c r="BA43" s="5">
        <f ca="1">IF(OR(MatchData[[#This Row],[Challenge Flag]],MatchData[[#This Row],[Climb Flag]]),1,0)</f>
        <v>1</v>
      </c>
      <c r="BB43" s="5">
        <f ca="1">MatchData[Auto High Goals]*10+MatchData[Teleop High Goals]*5</f>
        <v>0</v>
      </c>
      <c r="BC43" s="5">
        <f ca="1">MatchData[Auto Low Goals]*5+MatchData[Teleop Low Goals]*2</f>
        <v>8</v>
      </c>
      <c r="BD43" s="5">
        <f ca="1">MatchData[High Goal Score]+MatchData[Low Goal Score]</f>
        <v>8</v>
      </c>
      <c r="BE43" s="5">
        <f ca="1">MatchData[Teleop High Goals]+MatchData[Teleop Low Goals]</f>
        <v>4</v>
      </c>
      <c r="BF43" s="5">
        <f ca="1">MatchData[[#This Row],[Auto Reach Flag]]*2+SUM(MatchData[[#This Row],[Portcullis Auto Crossings]:[Low Bar Auto Crossings]])*10+MatchData[[#This Row],[Auto Low Goals]]*5+MatchData[Auto High Goals]*10</f>
        <v>0</v>
      </c>
      <c r="BG43" s="5">
        <f ca="1">SUM(MatchData[[#This Row],[Cheval Scored Teleop Crossings]:[Low Bar Scored Teleop Crossings]])</f>
        <v>35</v>
      </c>
      <c r="BH43" s="5">
        <f ca="1">MatchData[Challenge Flag]*5</f>
        <v>5</v>
      </c>
      <c r="BI43" s="5">
        <f ca="1">MatchData[Climb Flag]*15</f>
        <v>0</v>
      </c>
      <c r="BJ43" s="5">
        <f ca="1">SUM(MatchData[[#This Row],[Total Goal Score]],MatchData[[#This Row],[Crossing Score]],MatchData[[#This Row],[Challenge Score]],MatchData[[#This Row],[Climb Score]],MatchData[[#This Row],[Total Auto Score]])</f>
        <v>48</v>
      </c>
      <c r="BK43">
        <v>3</v>
      </c>
      <c r="BL43" s="5">
        <f ca="1">IF(RANDBETWEEN(0,10)&gt;=9,RANDBETWEEN(1,9),0)</f>
        <v>0</v>
      </c>
      <c r="BM43" s="5">
        <f>VLOOKUP(MatchData[[#This Row],[Persona]],Personas!$A$2:$O$5,3)</f>
        <v>2</v>
      </c>
      <c r="BN43" s="13">
        <f>VLOOKUP(MatchData[[#This Row],[Persona]],Personas!$A$2:$P$5,4)</f>
        <v>6</v>
      </c>
      <c r="BO43" s="13">
        <f>VLOOKUP(MatchData[[#This Row],[Persona]],Personas!$A$2:$P$5,5)</f>
        <v>0</v>
      </c>
      <c r="BP43" s="13">
        <f>VLOOKUP(MatchData[[#This Row],[Persona]],Personas!$A$2:$P$5,6)</f>
        <v>0</v>
      </c>
      <c r="BQ43" s="13">
        <f>VLOOKUP(MatchData[[#This Row],[Persona]],Personas!$A$2:$P$5,7)</f>
        <v>2</v>
      </c>
      <c r="BR43" s="13">
        <f>VLOOKUP(MatchData[[#This Row],[Persona]],Personas!$A$2:$P$5,8)</f>
        <v>2</v>
      </c>
      <c r="BS43" s="13">
        <f>VLOOKUP(MatchData[[#This Row],[Persona]],Personas!$A$2:$P$5,9)</f>
        <v>3</v>
      </c>
      <c r="BT43" s="13">
        <f>VLOOKUP(MatchData[[#This Row],[Persona]],Personas!$A$2:$P$5,10)</f>
        <v>3</v>
      </c>
      <c r="BU43" s="13">
        <f>VLOOKUP(MatchData[[#This Row],[Persona]],Personas!$A$2:$P$5,11)</f>
        <v>2</v>
      </c>
      <c r="BV43" s="13">
        <f>VLOOKUP(MatchData[[#This Row],[Persona]],Personas!$A$2:$P$5,12)</f>
        <v>2</v>
      </c>
      <c r="BW43" s="13">
        <f>VLOOKUP(MatchData[[#This Row],[Persona]],Personas!$A$2:$P$5,13)</f>
        <v>3</v>
      </c>
      <c r="BX43" s="13">
        <f>VLOOKUP(MatchData[[#This Row],[Persona]],Personas!$A$2:$P$5,14)</f>
        <v>3</v>
      </c>
      <c r="BY43" s="13">
        <f>VLOOKUP(MatchData[[#This Row],[Persona]],Personas!$A$2:$P$5,15)</f>
        <v>4</v>
      </c>
      <c r="BZ43" s="13">
        <f>VLOOKUP(MatchData[[#This Row],[Persona]],Personas!$A$2:$P$5,16)</f>
        <v>1</v>
      </c>
      <c r="CA43" s="14">
        <f ca="1">ROUND(SUMIF(MatchData[Team],MatchData[[#This Row],[Team]],MatchData[Teleop Low Goals])/COUNTIF(MatchData[Team],MatchData[[#This Row],[Team]]),2)</f>
        <v>3.4</v>
      </c>
      <c r="CB43" s="14">
        <f ca="1">ROUND(SUMIF(MatchData[Team],MatchData[[#This Row],[Team]],MatchData[Teleop High Goals])/COUNTIF(MatchData[Team],MatchData[[#This Row],[Team]]),2)</f>
        <v>0</v>
      </c>
      <c r="CC43" s="14">
        <f>COUNTIF(MatchData[Team],MatchData[[#This Row],[Team]])</f>
        <v>5</v>
      </c>
      <c r="CD43" s="14">
        <f>SUMIF(MatchData[Team],MatchData[[#This Row],[Team]],MatchData[Portcullis Available])</f>
        <v>0</v>
      </c>
      <c r="CE43" s="14">
        <f>SUMIF(MatchData[Team],MatchData[[#This Row],[Team]],MatchData[Cheval Available])</f>
        <v>5</v>
      </c>
      <c r="CF43" s="14">
        <f>SUMIF(MatchData[Team],MatchData[[#This Row],[Team]],MatchData[Moat Available])</f>
        <v>5</v>
      </c>
      <c r="CG43" s="14">
        <f>SUMIF(MatchData[Team],MatchData[[#This Row],[Team]],MatchData[Ramparts Available])</f>
        <v>0</v>
      </c>
      <c r="CH43" s="14">
        <f>SUMIF(MatchData[Team],MatchData[[#This Row],[Team]],MatchData[Drawbridge Available])</f>
        <v>3</v>
      </c>
      <c r="CI43" s="14">
        <f>SUMIF(MatchData[Team],MatchData[[#This Row],[Team]],MatchData[Sally Port Available])</f>
        <v>2</v>
      </c>
      <c r="CJ43" s="14">
        <f>SUMIF(MatchData[Team],MatchData[[#This Row],[Team]],MatchData[Rock Wall Available])</f>
        <v>2</v>
      </c>
      <c r="CK43" s="14">
        <f>SUMIF(MatchData[Team],MatchData[[#This Row],[Team]],MatchData[Rough Terrain Available])</f>
        <v>3</v>
      </c>
      <c r="CL43" s="14">
        <f>SUMIF(MatchData[Team],MatchData[[#This Row],[Team]],MatchData[Low Bar Available])</f>
        <v>5</v>
      </c>
      <c r="CM43" s="14">
        <f ca="1">SUMIF(MatchData[Team],MatchData[[#This Row],[Team]],MatchData[Portcullis Teleop Crossings])</f>
        <v>0</v>
      </c>
      <c r="CN43" s="14">
        <f ca="1">SUMIF(MatchData[Team],MatchData[[#This Row],[Team]],MatchData[Cheval Teleop Crossings])</f>
        <v>7</v>
      </c>
      <c r="CO43" s="14">
        <f ca="1">SUMIF(MatchData[Team],MatchData[[#This Row],[Team]],MatchData[Moat Teleop Crossings])</f>
        <v>3</v>
      </c>
      <c r="CP43" s="14">
        <f ca="1">SUMIF(MatchData[Team],MatchData[[#This Row],[Team]],MatchData[Ramparts Teleop Crossings])</f>
        <v>0</v>
      </c>
      <c r="CQ43" s="14">
        <f ca="1">SUMIF(MatchData[Team],MatchData[[#This Row],[Team]],MatchData[Drawbridge Teleop Crossings])</f>
        <v>0</v>
      </c>
      <c r="CR43" s="14">
        <f ca="1">SUMIF(MatchData[Team],MatchData[[#This Row],[Team]],MatchData[Sally Port Teleop Crossings])</f>
        <v>1</v>
      </c>
      <c r="CS43" s="14">
        <f ca="1">SUMIF(MatchData[Team],MatchData[[#This Row],[Team]],MatchData[Rock Wall Teleop Crossings])</f>
        <v>6</v>
      </c>
      <c r="CT43" s="14">
        <f ca="1">SUMIF(MatchData[Team],MatchData[[#This Row],[Team]],MatchData[Rough Terrain Teleop Crossings])</f>
        <v>9</v>
      </c>
      <c r="CU43" s="14">
        <f ca="1">SUMIF(MatchData[Team],MatchData[[#This Row],[Team]],MatchData[Low Bar Teleop Crossings])</f>
        <v>11</v>
      </c>
      <c r="CV43" s="14">
        <f ca="1">IFERROR(ROUND(MatchData[[#This Row],[Portcullis Sum]]/MatchData[[#This Row],[Portcullis Avail Count]],2),0)</f>
        <v>0</v>
      </c>
      <c r="CW43">
        <f ca="1">IFERROR(ROUND(MatchData[[#This Row],[Cheval Sum]]/MatchData[[#This Row],[Cheval Avail Count]],2),0)</f>
        <v>1.4</v>
      </c>
      <c r="CX43">
        <f ca="1">IFERROR(ROUND(MatchData[[#This Row],[Moat Sum]]/MatchData[[#This Row],[Moat Avail Count]],2),0)</f>
        <v>0.6</v>
      </c>
      <c r="CY43">
        <f ca="1">IFERROR(ROUND(MatchData[[#This Row],[Ramparts Sum]]/MatchData[[#This Row],[Ramparts Avail Count]],2),0)</f>
        <v>0</v>
      </c>
      <c r="CZ43">
        <f ca="1">IFERROR(ROUND(MatchData[[#This Row],[Drawbridge Sum]]/MatchData[[#This Row],[Drawbridge HAvail Countigh6]],2),0)</f>
        <v>0</v>
      </c>
      <c r="DA43">
        <f ca="1">IFERROR(ROUND(MatchData[[#This Row],[Sally Port Sum]]/MatchData[[#This Row],[Sally Port Avail Count]],2),0)</f>
        <v>0.5</v>
      </c>
      <c r="DB43">
        <f ca="1">IFERROR(ROUND(MatchData[[#This Row],[Rock Wall Sum]]/MatchData[[#This Row],[Rock Wall Avail Count]],2),0)</f>
        <v>3</v>
      </c>
      <c r="DC43">
        <f ca="1">IFERROR(ROUND(MatchData[[#This Row],[Rough Terrain Sum]]/MatchData[[#This Row],[Rough Terrain Avail Count]],2),0)</f>
        <v>3</v>
      </c>
      <c r="DD43">
        <f ca="1">IFERROR(ROUND(MatchData[[#This Row],[Low Bar Sum]]/MatchData[[#This Row],[Low Bar Avail Count]],2),0)</f>
        <v>2.2000000000000002</v>
      </c>
      <c r="DE43" s="14">
        <f t="array" aca="1" ref="DE43" ca="1">MAX(IF(C$4:C$75=C43,BE$4:BE$75))</f>
        <v>4</v>
      </c>
      <c r="DF43" s="14">
        <f ca="1">AVERAGEIF(MatchData[Team],MatchData[Team],MatchData[Total Score])</f>
        <v>48.2</v>
      </c>
      <c r="DG43" s="14">
        <f ca="1">ROUND(AVERAGEIF(MatchData[Team],MatchData[Team],MatchData[Climb or Challenge Flag]),2)</f>
        <v>0.8</v>
      </c>
    </row>
    <row r="44" spans="1:111">
      <c r="A44" t="s">
        <v>54</v>
      </c>
      <c r="B44" s="4">
        <v>10</v>
      </c>
      <c r="C44">
        <v>1008</v>
      </c>
      <c r="D44" t="s">
        <v>56</v>
      </c>
      <c r="E44" t="s">
        <v>60</v>
      </c>
      <c r="F44">
        <f ca="1">IF(MatchData[[#This Row],[Persona]] = 4,RANDBETWEEN(0,1),0)</f>
        <v>0</v>
      </c>
      <c r="G44">
        <f ca="1">IF(MatchData[[#This Row],[Persona]] = 3,RANDBETWEEN(0,1),0)</f>
        <v>0</v>
      </c>
      <c r="H44">
        <f ca="1">RANDBETWEEN(MatchData[[#This Row],[High Goal Low]],MatchData[[#This Row],[High Goal High]])</f>
        <v>0</v>
      </c>
      <c r="I44">
        <f ca="1">RANDBETWEEN(MatchData[[#This Row],[Low Goal Low]],MatchData[[#This Row],[Low Goal High]])</f>
        <v>3</v>
      </c>
      <c r="J44" s="6"/>
      <c r="K44" s="6">
        <v>1</v>
      </c>
      <c r="L44" s="6">
        <v>1</v>
      </c>
      <c r="M44" s="6"/>
      <c r="N44" s="6">
        <v>1</v>
      </c>
      <c r="O44" s="6"/>
      <c r="P44" s="6"/>
      <c r="Q44" s="5">
        <v>1</v>
      </c>
      <c r="R44" s="5">
        <v>1</v>
      </c>
      <c r="S44" s="5">
        <f ca="1">IF(MatchData[[#This Row],[Auto Crossing Test Generator]]=0,RANDBETWEEN(0,1),0)</f>
        <v>0</v>
      </c>
      <c r="T44" s="5">
        <f ca="1">IF(MatchData[Auto Crossing Test Generator]=1,1,0)</f>
        <v>0</v>
      </c>
      <c r="U44" s="5">
        <f ca="1">IF(MatchData[[#This Row],[Auto Crossing Test Generator]]=2,RANDBETWEEN(0,1),0)</f>
        <v>0</v>
      </c>
      <c r="V44" s="5">
        <f ca="1">IF(MatchData[[#This Row],[Auto Crossing Test Generator]]=3,RANDBETWEEN(0,1),0)</f>
        <v>0</v>
      </c>
      <c r="W44" s="5">
        <f ca="1">IF(MatchData[[#This Row],[Auto Crossing Test Generator]]=4,RANDBETWEEN(0,1),0)</f>
        <v>0</v>
      </c>
      <c r="X44" s="5">
        <f ca="1">IF(MatchData[[#This Row],[Auto Crossing Test Generator]]=5,RANDBETWEEN(0,1),0)</f>
        <v>0</v>
      </c>
      <c r="Y44" s="5">
        <f ca="1">IF(MatchData[[#This Row],[Auto Crossing Test Generator]]=6,RANDBETWEEN(0,1),0)</f>
        <v>0</v>
      </c>
      <c r="Z44" s="5">
        <f ca="1">IF(MatchData[[#This Row],[Auto Crossing Test Generator]]=7,RANDBETWEEN(0,1),0)</f>
        <v>0</v>
      </c>
      <c r="AA44" s="5">
        <f ca="1">IF(MatchData[[#This Row],[Auto Crossing Test Generator]]=8,RANDBETWEEN(0,1),0)</f>
        <v>0</v>
      </c>
      <c r="AB44" s="5">
        <f ca="1">IF(MatchData[[#This Row],[Auto Crossing Test Generator]]&gt;8,RANDBETWEEN(0,1),0)</f>
        <v>0</v>
      </c>
      <c r="AC44" s="5">
        <f ca="1">IF(MatchData[[#This Row],[Auto Crossing Test Generator]]=9,RANDBETWEEN(0,1),0)</f>
        <v>0</v>
      </c>
      <c r="AD44" s="5">
        <f ca="1">IF(MatchData[[#This Row],[Cheval Available]]=1,RANDBETWEEN(0,MatchData[[#This Row],[Cheval High]]),0)</f>
        <v>1</v>
      </c>
      <c r="AE44" s="5">
        <f ca="1">IF(MatchData[[#This Row],[Moat Available]]=1,RANDBETWEEN(0,MatchData[[#This Row],[Moat High]]),0)</f>
        <v>3</v>
      </c>
      <c r="AF44" s="5">
        <f ca="1">IF(MatchData[[#This Row],[Ramparts Available]]=1,RANDBETWEEN(0,MatchData[[#This Row],[Ramparts High]]),0)</f>
        <v>0</v>
      </c>
      <c r="AG44" s="5">
        <f ca="1">IF(MatchData[[#This Row],[Drawbridge Available]]=1,RANDBETWEEN(0,MatchData[[#This Row],[Drawbridge High]]),0)</f>
        <v>0</v>
      </c>
      <c r="AH44" s="5">
        <f ca="1">IF(MatchData[[#This Row],[Sally Port Available]]=1,RANDBETWEEN(0,MatchData[[#This Row],[Sally Port High]]),0)</f>
        <v>0</v>
      </c>
      <c r="AI44" s="5">
        <f ca="1">IF(MatchData[[#This Row],[Rock Wall Available]]=1,RANDBETWEEN(0,MatchData[[#This Row],[Rock Wall High]]),0)</f>
        <v>0</v>
      </c>
      <c r="AJ44" s="5">
        <f ca="1">IF(MatchData[[#This Row],[Rough Terrain Available]]=1,RANDBETWEEN(0,MatchData[[#This Row],[Rough Terrain High]]),0)</f>
        <v>3</v>
      </c>
      <c r="AK44" s="5">
        <f ca="1">IF(MatchData[[#This Row],[Low Bar Available]]=1,RANDBETWEEN(0,MatchData[[#This Row],[Low Bar High]]),0)</f>
        <v>3</v>
      </c>
      <c r="AL44" s="5">
        <f ca="1">IF(MatchData[Cheval Teleop Crossings]&gt;3,10, MatchData[Cheval Teleop Crossings]*5)</f>
        <v>5</v>
      </c>
      <c r="AM44" s="5">
        <f ca="1">IF(MatchData[Moat Teleop Crossings]&gt;3,10, MatchData[Moat Teleop Crossings]*5)</f>
        <v>15</v>
      </c>
      <c r="AN44" s="5">
        <f ca="1">IF(MatchData[Ramparts Teleop Crossings]&gt;3,10, MatchData[Ramparts Teleop Crossings]*5)</f>
        <v>0</v>
      </c>
      <c r="AO44" s="5">
        <f ca="1">IF(MatchData[Drawbridge Teleop Crossings]&gt;3,10, MatchData[Drawbridge Teleop Crossings]*5)</f>
        <v>0</v>
      </c>
      <c r="AP44" s="5">
        <f ca="1">IF(MatchData[Sally Port Teleop Crossings]&gt;3,10, MatchData[Sally Port Teleop Crossings]*5)</f>
        <v>0</v>
      </c>
      <c r="AQ44" s="5">
        <f ca="1">IF(MatchData[Rock Wall Teleop Crossings]&gt;3,10, MatchData[Rock Wall Teleop Crossings]*5)</f>
        <v>0</v>
      </c>
      <c r="AR44" s="5">
        <f ca="1">IF(MatchData[Rough Terrain Teleop Crossings]&gt;3,10, MatchData[Rough Terrain Teleop Crossings]*5)</f>
        <v>15</v>
      </c>
      <c r="AS44" s="5">
        <f ca="1">IF(MatchData[Low Bar Teleop Crossings]&gt;3,10, MatchData[Low Bar Teleop Crossings]*5)</f>
        <v>15</v>
      </c>
      <c r="AT44" s="5">
        <f ca="1">SUM(MatchData[[#This Row],[Portcullis Teleop Crossings]:[Low Bar Teleop Crossings]])</f>
        <v>10</v>
      </c>
      <c r="AU44" s="5">
        <f ca="1">IF(RANDBETWEEN(1,4)&gt;1,1,0)</f>
        <v>0</v>
      </c>
      <c r="AV44" s="5">
        <f ca="1">IF(MatchData[[#This Row],[Challenge Flag]]=1,0,IF(MatchData[[#This Row],[Climber]]=1,RANDBETWEEN(0,1),0))</f>
        <v>0</v>
      </c>
      <c r="AW44" s="5">
        <f ca="1">IF(MatchData[[#This Row],[Crossing Score]]&gt;=40,1,0)</f>
        <v>1</v>
      </c>
      <c r="AX44" s="5"/>
      <c r="AY44" s="5">
        <f ca="1">IF(RANDBETWEEN(1,100)&gt;95,1,0)</f>
        <v>0</v>
      </c>
      <c r="AZ44" s="5">
        <f ca="1">IF(RANDBETWEEN(1,100)&gt;80,1,0)</f>
        <v>0</v>
      </c>
      <c r="BA44" s="5">
        <f ca="1">IF(OR(MatchData[[#This Row],[Challenge Flag]],MatchData[[#This Row],[Climb Flag]]),1,0)</f>
        <v>0</v>
      </c>
      <c r="BB44" s="5">
        <f ca="1">MatchData[Auto High Goals]*10+MatchData[Teleop High Goals]*5</f>
        <v>0</v>
      </c>
      <c r="BC44" s="5">
        <f ca="1">MatchData[Auto Low Goals]*5+MatchData[Teleop Low Goals]*2</f>
        <v>6</v>
      </c>
      <c r="BD44" s="5">
        <f ca="1">MatchData[High Goal Score]+MatchData[Low Goal Score]</f>
        <v>6</v>
      </c>
      <c r="BE44" s="5">
        <f ca="1">MatchData[Teleop High Goals]+MatchData[Teleop Low Goals]</f>
        <v>3</v>
      </c>
      <c r="BF44" s="5">
        <f ca="1">MatchData[[#This Row],[Auto Reach Flag]]*2+SUM(MatchData[[#This Row],[Portcullis Auto Crossings]:[Low Bar Auto Crossings]])*10+MatchData[[#This Row],[Auto Low Goals]]*5+MatchData[Auto High Goals]*10</f>
        <v>0</v>
      </c>
      <c r="BG44" s="5">
        <f ca="1">SUM(MatchData[[#This Row],[Cheval Scored Teleop Crossings]:[Low Bar Scored Teleop Crossings]])</f>
        <v>50</v>
      </c>
      <c r="BH44" s="5">
        <f ca="1">MatchData[Challenge Flag]*5</f>
        <v>0</v>
      </c>
      <c r="BI44" s="5">
        <f ca="1">MatchData[Climb Flag]*15</f>
        <v>0</v>
      </c>
      <c r="BJ44" s="5">
        <f ca="1">SUM(MatchData[[#This Row],[Total Goal Score]],MatchData[[#This Row],[Crossing Score]],MatchData[[#This Row],[Challenge Score]],MatchData[[#This Row],[Climb Score]],MatchData[[#This Row],[Total Auto Score]])</f>
        <v>56</v>
      </c>
      <c r="BK44">
        <v>3</v>
      </c>
      <c r="BL44" s="5">
        <f ca="1">IF(RANDBETWEEN(0,10)&gt;=9,RANDBETWEEN(1,9),0)</f>
        <v>0</v>
      </c>
      <c r="BM44" s="5">
        <f>VLOOKUP(MatchData[[#This Row],[Persona]],Personas!$A$2:$O$5,3)</f>
        <v>2</v>
      </c>
      <c r="BN44" s="13">
        <f>VLOOKUP(MatchData[[#This Row],[Persona]],Personas!$A$2:$P$5,4)</f>
        <v>6</v>
      </c>
      <c r="BO44" s="13">
        <f>VLOOKUP(MatchData[[#This Row],[Persona]],Personas!$A$2:$P$5,5)</f>
        <v>0</v>
      </c>
      <c r="BP44" s="13">
        <f>VLOOKUP(MatchData[[#This Row],[Persona]],Personas!$A$2:$P$5,6)</f>
        <v>0</v>
      </c>
      <c r="BQ44" s="13">
        <f>VLOOKUP(MatchData[[#This Row],[Persona]],Personas!$A$2:$P$5,7)</f>
        <v>2</v>
      </c>
      <c r="BR44" s="13">
        <f>VLOOKUP(MatchData[[#This Row],[Persona]],Personas!$A$2:$P$5,8)</f>
        <v>2</v>
      </c>
      <c r="BS44" s="13">
        <f>VLOOKUP(MatchData[[#This Row],[Persona]],Personas!$A$2:$P$5,9)</f>
        <v>3</v>
      </c>
      <c r="BT44" s="13">
        <f>VLOOKUP(MatchData[[#This Row],[Persona]],Personas!$A$2:$P$5,10)</f>
        <v>3</v>
      </c>
      <c r="BU44" s="13">
        <f>VLOOKUP(MatchData[[#This Row],[Persona]],Personas!$A$2:$P$5,11)</f>
        <v>2</v>
      </c>
      <c r="BV44" s="13">
        <f>VLOOKUP(MatchData[[#This Row],[Persona]],Personas!$A$2:$P$5,12)</f>
        <v>2</v>
      </c>
      <c r="BW44" s="13">
        <f>VLOOKUP(MatchData[[#This Row],[Persona]],Personas!$A$2:$P$5,13)</f>
        <v>3</v>
      </c>
      <c r="BX44" s="13">
        <f>VLOOKUP(MatchData[[#This Row],[Persona]],Personas!$A$2:$P$5,14)</f>
        <v>3</v>
      </c>
      <c r="BY44" s="13">
        <f>VLOOKUP(MatchData[[#This Row],[Persona]],Personas!$A$2:$P$5,15)</f>
        <v>4</v>
      </c>
      <c r="BZ44" s="13">
        <f>VLOOKUP(MatchData[[#This Row],[Persona]],Personas!$A$2:$P$5,16)</f>
        <v>1</v>
      </c>
      <c r="CA44" s="14">
        <f ca="1">ROUND(SUMIF(MatchData[Team],MatchData[[#This Row],[Team]],MatchData[Teleop Low Goals])/COUNTIF(MatchData[Team],MatchData[[#This Row],[Team]]),2)</f>
        <v>3.4</v>
      </c>
      <c r="CB44" s="14">
        <f ca="1">ROUND(SUMIF(MatchData[Team],MatchData[[#This Row],[Team]],MatchData[Teleop High Goals])/COUNTIF(MatchData[Team],MatchData[[#This Row],[Team]]),2)</f>
        <v>0</v>
      </c>
      <c r="CC44" s="14">
        <f>COUNTIF(MatchData[Team],MatchData[[#This Row],[Team]])</f>
        <v>5</v>
      </c>
      <c r="CD44" s="14">
        <f>SUMIF(MatchData[Team],MatchData[[#This Row],[Team]],MatchData[Portcullis Available])</f>
        <v>0</v>
      </c>
      <c r="CE44" s="14">
        <f>SUMIF(MatchData[Team],MatchData[[#This Row],[Team]],MatchData[Cheval Available])</f>
        <v>5</v>
      </c>
      <c r="CF44" s="14">
        <f>SUMIF(MatchData[Team],MatchData[[#This Row],[Team]],MatchData[Moat Available])</f>
        <v>5</v>
      </c>
      <c r="CG44" s="14">
        <f>SUMIF(MatchData[Team],MatchData[[#This Row],[Team]],MatchData[Ramparts Available])</f>
        <v>0</v>
      </c>
      <c r="CH44" s="14">
        <f>SUMIF(MatchData[Team],MatchData[[#This Row],[Team]],MatchData[Drawbridge Available])</f>
        <v>3</v>
      </c>
      <c r="CI44" s="14">
        <f>SUMIF(MatchData[Team],MatchData[[#This Row],[Team]],MatchData[Sally Port Available])</f>
        <v>2</v>
      </c>
      <c r="CJ44" s="14">
        <f>SUMIF(MatchData[Team],MatchData[[#This Row],[Team]],MatchData[Rock Wall Available])</f>
        <v>2</v>
      </c>
      <c r="CK44" s="14">
        <f>SUMIF(MatchData[Team],MatchData[[#This Row],[Team]],MatchData[Rough Terrain Available])</f>
        <v>3</v>
      </c>
      <c r="CL44" s="14">
        <f>SUMIF(MatchData[Team],MatchData[[#This Row],[Team]],MatchData[Low Bar Available])</f>
        <v>5</v>
      </c>
      <c r="CM44" s="14">
        <f ca="1">SUMIF(MatchData[Team],MatchData[[#This Row],[Team]],MatchData[Portcullis Teleop Crossings])</f>
        <v>0</v>
      </c>
      <c r="CN44" s="14">
        <f ca="1">SUMIF(MatchData[Team],MatchData[[#This Row],[Team]],MatchData[Cheval Teleop Crossings])</f>
        <v>7</v>
      </c>
      <c r="CO44" s="14">
        <f ca="1">SUMIF(MatchData[Team],MatchData[[#This Row],[Team]],MatchData[Moat Teleop Crossings])</f>
        <v>3</v>
      </c>
      <c r="CP44" s="14">
        <f ca="1">SUMIF(MatchData[Team],MatchData[[#This Row],[Team]],MatchData[Ramparts Teleop Crossings])</f>
        <v>0</v>
      </c>
      <c r="CQ44" s="14">
        <f ca="1">SUMIF(MatchData[Team],MatchData[[#This Row],[Team]],MatchData[Drawbridge Teleop Crossings])</f>
        <v>0</v>
      </c>
      <c r="CR44" s="14">
        <f ca="1">SUMIF(MatchData[Team],MatchData[[#This Row],[Team]],MatchData[Sally Port Teleop Crossings])</f>
        <v>1</v>
      </c>
      <c r="CS44" s="14">
        <f ca="1">SUMIF(MatchData[Team],MatchData[[#This Row],[Team]],MatchData[Rock Wall Teleop Crossings])</f>
        <v>6</v>
      </c>
      <c r="CT44" s="14">
        <f ca="1">SUMIF(MatchData[Team],MatchData[[#This Row],[Team]],MatchData[Rough Terrain Teleop Crossings])</f>
        <v>9</v>
      </c>
      <c r="CU44" s="14">
        <f ca="1">SUMIF(MatchData[Team],MatchData[[#This Row],[Team]],MatchData[Low Bar Teleop Crossings])</f>
        <v>11</v>
      </c>
      <c r="CV44" s="14">
        <f ca="1">IFERROR(ROUND(MatchData[[#This Row],[Portcullis Sum]]/MatchData[[#This Row],[Portcullis Avail Count]],2),0)</f>
        <v>0</v>
      </c>
      <c r="CW44">
        <f ca="1">IFERROR(ROUND(MatchData[[#This Row],[Cheval Sum]]/MatchData[[#This Row],[Cheval Avail Count]],2),0)</f>
        <v>1.4</v>
      </c>
      <c r="CX44">
        <f ca="1">IFERROR(ROUND(MatchData[[#This Row],[Moat Sum]]/MatchData[[#This Row],[Moat Avail Count]],2),0)</f>
        <v>0.6</v>
      </c>
      <c r="CY44">
        <f ca="1">IFERROR(ROUND(MatchData[[#This Row],[Ramparts Sum]]/MatchData[[#This Row],[Ramparts Avail Count]],2),0)</f>
        <v>0</v>
      </c>
      <c r="CZ44">
        <f ca="1">IFERROR(ROUND(MatchData[[#This Row],[Drawbridge Sum]]/MatchData[[#This Row],[Drawbridge HAvail Countigh6]],2),0)</f>
        <v>0</v>
      </c>
      <c r="DA44">
        <f ca="1">IFERROR(ROUND(MatchData[[#This Row],[Sally Port Sum]]/MatchData[[#This Row],[Sally Port Avail Count]],2),0)</f>
        <v>0.5</v>
      </c>
      <c r="DB44">
        <f ca="1">IFERROR(ROUND(MatchData[[#This Row],[Rock Wall Sum]]/MatchData[[#This Row],[Rock Wall Avail Count]],2),0)</f>
        <v>3</v>
      </c>
      <c r="DC44">
        <f ca="1">IFERROR(ROUND(MatchData[[#This Row],[Rough Terrain Sum]]/MatchData[[#This Row],[Rough Terrain Avail Count]],2),0)</f>
        <v>3</v>
      </c>
      <c r="DD44">
        <f ca="1">IFERROR(ROUND(MatchData[[#This Row],[Low Bar Sum]]/MatchData[[#This Row],[Low Bar Avail Count]],2),0)</f>
        <v>2.2000000000000002</v>
      </c>
      <c r="DE44" s="14">
        <f t="array" aca="1" ref="DE44" ca="1">MAX(IF(C$4:C$75=C44,BE$4:BE$75))</f>
        <v>4</v>
      </c>
      <c r="DF44" s="14">
        <f ca="1">AVERAGEIF(MatchData[Team],MatchData[Team],MatchData[Total Score])</f>
        <v>48.2</v>
      </c>
      <c r="DG44" s="14">
        <f ca="1">ROUND(AVERAGEIF(MatchData[Team],MatchData[Team],MatchData[Climb or Challenge Flag]),2)</f>
        <v>0.8</v>
      </c>
    </row>
    <row r="45" spans="1:111">
      <c r="A45" t="s">
        <v>54</v>
      </c>
      <c r="B45" s="4">
        <v>2</v>
      </c>
      <c r="C45">
        <v>1009</v>
      </c>
      <c r="D45" t="s">
        <v>55</v>
      </c>
      <c r="E45" t="s">
        <v>57</v>
      </c>
      <c r="F45">
        <f ca="1">IF(MatchData[[#This Row],[Persona]] = 4,RANDBETWEEN(0,1),0)</f>
        <v>0</v>
      </c>
      <c r="G45">
        <f ca="1">IF(MatchData[[#This Row],[Persona]] = 3,RANDBETWEEN(0,1),0)</f>
        <v>0</v>
      </c>
      <c r="H45">
        <f ca="1">RANDBETWEEN(MatchData[[#This Row],[High Goal Low]],MatchData[[#This Row],[High Goal High]])</f>
        <v>3</v>
      </c>
      <c r="I45">
        <f ca="1">RANDBETWEEN(MatchData[[#This Row],[Low Goal Low]],MatchData[[#This Row],[Low Goal High]])</f>
        <v>1</v>
      </c>
      <c r="J45" s="6"/>
      <c r="K45" s="6">
        <v>1</v>
      </c>
      <c r="L45" s="6">
        <v>1</v>
      </c>
      <c r="M45" s="6"/>
      <c r="N45" s="6">
        <v>1</v>
      </c>
      <c r="O45" s="6"/>
      <c r="P45" s="6"/>
      <c r="Q45" s="5">
        <v>1</v>
      </c>
      <c r="R45" s="5">
        <v>1</v>
      </c>
      <c r="S45" s="5">
        <f ca="1">IF(MatchData[[#This Row],[Auto Crossing Test Generator]]=0,RANDBETWEEN(0,1),0)</f>
        <v>1</v>
      </c>
      <c r="T45" s="5">
        <f ca="1">IF(MatchData[Auto Crossing Test Generator]=1,1,0)</f>
        <v>0</v>
      </c>
      <c r="U45" s="5">
        <f ca="1">IF(MatchData[[#This Row],[Auto Crossing Test Generator]]=2,RANDBETWEEN(0,1),0)</f>
        <v>0</v>
      </c>
      <c r="V45" s="5">
        <f ca="1">IF(MatchData[[#This Row],[Auto Crossing Test Generator]]=3,RANDBETWEEN(0,1),0)</f>
        <v>0</v>
      </c>
      <c r="W45" s="5">
        <f ca="1">IF(MatchData[[#This Row],[Auto Crossing Test Generator]]=4,RANDBETWEEN(0,1),0)</f>
        <v>0</v>
      </c>
      <c r="X45" s="5">
        <f ca="1">IF(MatchData[[#This Row],[Auto Crossing Test Generator]]=5,RANDBETWEEN(0,1),0)</f>
        <v>0</v>
      </c>
      <c r="Y45" s="5">
        <f ca="1">IF(MatchData[[#This Row],[Auto Crossing Test Generator]]=6,RANDBETWEEN(0,1),0)</f>
        <v>0</v>
      </c>
      <c r="Z45" s="5">
        <f ca="1">IF(MatchData[[#This Row],[Auto Crossing Test Generator]]=7,RANDBETWEEN(0,1),0)</f>
        <v>0</v>
      </c>
      <c r="AA45" s="5">
        <f ca="1">IF(MatchData[[#This Row],[Auto Crossing Test Generator]]=8,RANDBETWEEN(0,1),0)</f>
        <v>0</v>
      </c>
      <c r="AB45" s="5">
        <f ca="1">IF(MatchData[[#This Row],[Auto Crossing Test Generator]]&gt;8,RANDBETWEEN(0,1),0)</f>
        <v>0</v>
      </c>
      <c r="AC45" s="5">
        <f ca="1">IF(MatchData[[#This Row],[Auto Crossing Test Generator]]=9,RANDBETWEEN(0,1),0)</f>
        <v>0</v>
      </c>
      <c r="AD45" s="5">
        <f ca="1">IF(MatchData[[#This Row],[Cheval Available]]=1,RANDBETWEEN(0,MatchData[[#This Row],[Cheval High]]),0)</f>
        <v>0</v>
      </c>
      <c r="AE45" s="5">
        <f ca="1">IF(MatchData[[#This Row],[Moat Available]]=1,RANDBETWEEN(0,MatchData[[#This Row],[Moat High]]),0)</f>
        <v>4</v>
      </c>
      <c r="AF45" s="5">
        <f ca="1">IF(MatchData[[#This Row],[Ramparts Available]]=1,RANDBETWEEN(0,MatchData[[#This Row],[Ramparts High]]),0)</f>
        <v>0</v>
      </c>
      <c r="AG45" s="5">
        <f ca="1">IF(MatchData[[#This Row],[Drawbridge Available]]=1,RANDBETWEEN(0,MatchData[[#This Row],[Drawbridge High]]),0)</f>
        <v>3</v>
      </c>
      <c r="AH45" s="5">
        <f ca="1">IF(MatchData[[#This Row],[Sally Port Available]]=1,RANDBETWEEN(0,MatchData[[#This Row],[Sally Port High]]),0)</f>
        <v>0</v>
      </c>
      <c r="AI45" s="5">
        <f ca="1">IF(MatchData[[#This Row],[Rock Wall Available]]=1,RANDBETWEEN(0,MatchData[[#This Row],[Rock Wall High]]),0)</f>
        <v>0</v>
      </c>
      <c r="AJ45" s="5">
        <f ca="1">IF(MatchData[[#This Row],[Rough Terrain Available]]=1,RANDBETWEEN(0,MatchData[[#This Row],[Rough Terrain High]]),0)</f>
        <v>2</v>
      </c>
      <c r="AK45" s="5">
        <f ca="1">IF(MatchData[[#This Row],[Low Bar Available]]=1,RANDBETWEEN(0,MatchData[[#This Row],[Low Bar High]]),0)</f>
        <v>2</v>
      </c>
      <c r="AL45" s="5">
        <f ca="1">IF(MatchData[Cheval Teleop Crossings]&gt;3,10, MatchData[Cheval Teleop Crossings]*5)</f>
        <v>0</v>
      </c>
      <c r="AM45" s="5">
        <f ca="1">IF(MatchData[Moat Teleop Crossings]&gt;3,10, MatchData[Moat Teleop Crossings]*5)</f>
        <v>10</v>
      </c>
      <c r="AN45" s="5">
        <f ca="1">IF(MatchData[Ramparts Teleop Crossings]&gt;3,10, MatchData[Ramparts Teleop Crossings]*5)</f>
        <v>0</v>
      </c>
      <c r="AO45" s="5">
        <f ca="1">IF(MatchData[Drawbridge Teleop Crossings]&gt;3,10, MatchData[Drawbridge Teleop Crossings]*5)</f>
        <v>15</v>
      </c>
      <c r="AP45" s="5">
        <f ca="1">IF(MatchData[Sally Port Teleop Crossings]&gt;3,10, MatchData[Sally Port Teleop Crossings]*5)</f>
        <v>0</v>
      </c>
      <c r="AQ45" s="5">
        <f ca="1">IF(MatchData[Rock Wall Teleop Crossings]&gt;3,10, MatchData[Rock Wall Teleop Crossings]*5)</f>
        <v>0</v>
      </c>
      <c r="AR45" s="5">
        <f ca="1">IF(MatchData[Rough Terrain Teleop Crossings]&gt;3,10, MatchData[Rough Terrain Teleop Crossings]*5)</f>
        <v>10</v>
      </c>
      <c r="AS45" s="5">
        <f ca="1">IF(MatchData[Low Bar Teleop Crossings]&gt;3,10, MatchData[Low Bar Teleop Crossings]*5)</f>
        <v>10</v>
      </c>
      <c r="AT45" s="5">
        <f ca="1">SUM(MatchData[[#This Row],[Portcullis Teleop Crossings]:[Low Bar Teleop Crossings]])</f>
        <v>11</v>
      </c>
      <c r="AU45" s="5">
        <f ca="1">IF(RANDBETWEEN(1,4)&gt;1,1,0)</f>
        <v>1</v>
      </c>
      <c r="AV45" s="5">
        <f ca="1">IF(MatchData[[#This Row],[Challenge Flag]]=1,0,IF(MatchData[[#This Row],[Climber]]=1,RANDBETWEEN(0,1),0))</f>
        <v>0</v>
      </c>
      <c r="AW45" s="5">
        <f ca="1">IF(MatchData[[#This Row],[Crossing Score]]&gt;=40,1,0)</f>
        <v>1</v>
      </c>
      <c r="AX45" s="5"/>
      <c r="AY45" s="5">
        <f ca="1">IF(RANDBETWEEN(1,100)&gt;95,1,0)</f>
        <v>0</v>
      </c>
      <c r="AZ45" s="5">
        <f ca="1">IF(RANDBETWEEN(1,100)&gt;80,1,0)</f>
        <v>0</v>
      </c>
      <c r="BA45" s="5">
        <f ca="1">IF(OR(MatchData[[#This Row],[Challenge Flag]],MatchData[[#This Row],[Climb Flag]]),1,0)</f>
        <v>1</v>
      </c>
      <c r="BB45" s="5">
        <f ca="1">MatchData[Auto High Goals]*10+MatchData[Teleop High Goals]*5</f>
        <v>15</v>
      </c>
      <c r="BC45" s="5">
        <f ca="1">MatchData[Auto Low Goals]*5+MatchData[Teleop Low Goals]*2</f>
        <v>2</v>
      </c>
      <c r="BD45" s="5">
        <f ca="1">MatchData[High Goal Score]+MatchData[Low Goal Score]</f>
        <v>17</v>
      </c>
      <c r="BE45" s="5">
        <f ca="1">MatchData[Teleop High Goals]+MatchData[Teleop Low Goals]</f>
        <v>4</v>
      </c>
      <c r="BF45" s="5">
        <f ca="1">MatchData[[#This Row],[Auto Reach Flag]]*2+SUM(MatchData[[#This Row],[Portcullis Auto Crossings]:[Low Bar Auto Crossings]])*10+MatchData[[#This Row],[Auto Low Goals]]*5+MatchData[Auto High Goals]*10</f>
        <v>2</v>
      </c>
      <c r="BG45" s="5">
        <f ca="1">SUM(MatchData[[#This Row],[Cheval Scored Teleop Crossings]:[Low Bar Scored Teleop Crossings]])</f>
        <v>45</v>
      </c>
      <c r="BH45" s="5">
        <f ca="1">MatchData[Challenge Flag]*5</f>
        <v>5</v>
      </c>
      <c r="BI45" s="5">
        <f ca="1">MatchData[Climb Flag]*15</f>
        <v>0</v>
      </c>
      <c r="BJ45" s="5">
        <f ca="1">SUM(MatchData[[#This Row],[Total Goal Score]],MatchData[[#This Row],[Crossing Score]],MatchData[[#This Row],[Challenge Score]],MatchData[[#This Row],[Climb Score]],MatchData[[#This Row],[Total Auto Score]])</f>
        <v>69</v>
      </c>
      <c r="BK45">
        <v>4</v>
      </c>
      <c r="BL45" s="5">
        <f ca="1">IF(RANDBETWEEN(0,10)&gt;=9,RANDBETWEEN(1,9),0)</f>
        <v>0</v>
      </c>
      <c r="BM45" s="5">
        <f>VLOOKUP(MatchData[[#This Row],[Persona]],Personas!$A$2:$O$5,3)</f>
        <v>1</v>
      </c>
      <c r="BN45" s="13">
        <f>VLOOKUP(MatchData[[#This Row],[Persona]],Personas!$A$2:$P$5,4)</f>
        <v>4</v>
      </c>
      <c r="BO45" s="13">
        <f>VLOOKUP(MatchData[[#This Row],[Persona]],Personas!$A$2:$P$5,5)</f>
        <v>1</v>
      </c>
      <c r="BP45" s="13">
        <f>VLOOKUP(MatchData[[#This Row],[Persona]],Personas!$A$2:$P$5,6)</f>
        <v>4</v>
      </c>
      <c r="BQ45" s="13">
        <f>VLOOKUP(MatchData[[#This Row],[Persona]],Personas!$A$2:$P$5,7)</f>
        <v>3</v>
      </c>
      <c r="BR45" s="13">
        <f>VLOOKUP(MatchData[[#This Row],[Persona]],Personas!$A$2:$P$5,8)</f>
        <v>3</v>
      </c>
      <c r="BS45" s="13">
        <f>VLOOKUP(MatchData[[#This Row],[Persona]],Personas!$A$2:$P$5,9)</f>
        <v>4</v>
      </c>
      <c r="BT45" s="13">
        <f>VLOOKUP(MatchData[[#This Row],[Persona]],Personas!$A$2:$P$5,10)</f>
        <v>4</v>
      </c>
      <c r="BU45" s="13">
        <f>VLOOKUP(MatchData[[#This Row],[Persona]],Personas!$A$2:$P$5,11)</f>
        <v>3</v>
      </c>
      <c r="BV45" s="13">
        <f>VLOOKUP(MatchData[[#This Row],[Persona]],Personas!$A$2:$P$5,12)</f>
        <v>3</v>
      </c>
      <c r="BW45" s="13">
        <f>VLOOKUP(MatchData[[#This Row],[Persona]],Personas!$A$2:$P$5,13)</f>
        <v>4</v>
      </c>
      <c r="BX45" s="13">
        <f>VLOOKUP(MatchData[[#This Row],[Persona]],Personas!$A$2:$P$5,14)</f>
        <v>4</v>
      </c>
      <c r="BY45" s="13">
        <f>VLOOKUP(MatchData[[#This Row],[Persona]],Personas!$A$2:$P$5,15)</f>
        <v>5</v>
      </c>
      <c r="BZ45" s="13">
        <f>VLOOKUP(MatchData[[#This Row],[Persona]],Personas!$A$2:$P$5,16)</f>
        <v>0</v>
      </c>
      <c r="CA45" s="14">
        <f ca="1">ROUND(SUMIF(MatchData[Team],MatchData[[#This Row],[Team]],MatchData[Teleop Low Goals])/COUNTIF(MatchData[Team],MatchData[[#This Row],[Team]]),2)</f>
        <v>2</v>
      </c>
      <c r="CB45" s="14">
        <f ca="1">ROUND(SUMIF(MatchData[Team],MatchData[[#This Row],[Team]],MatchData[Teleop High Goals])/COUNTIF(MatchData[Team],MatchData[[#This Row],[Team]]),2)</f>
        <v>2</v>
      </c>
      <c r="CC45" s="14">
        <f>COUNTIF(MatchData[Team],MatchData[[#This Row],[Team]])</f>
        <v>5</v>
      </c>
      <c r="CD45" s="14">
        <f>SUMIF(MatchData[Team],MatchData[[#This Row],[Team]],MatchData[Portcullis Available])</f>
        <v>1</v>
      </c>
      <c r="CE45" s="14">
        <f>SUMIF(MatchData[Team],MatchData[[#This Row],[Team]],MatchData[Cheval Available])</f>
        <v>4</v>
      </c>
      <c r="CF45" s="14">
        <f>SUMIF(MatchData[Team],MatchData[[#This Row],[Team]],MatchData[Moat Available])</f>
        <v>4</v>
      </c>
      <c r="CG45" s="14">
        <f>SUMIF(MatchData[Team],MatchData[[#This Row],[Team]],MatchData[Ramparts Available])</f>
        <v>1</v>
      </c>
      <c r="CH45" s="14">
        <f>SUMIF(MatchData[Team],MatchData[[#This Row],[Team]],MatchData[Drawbridge Available])</f>
        <v>2</v>
      </c>
      <c r="CI45" s="14">
        <f>SUMIF(MatchData[Team],MatchData[[#This Row],[Team]],MatchData[Sally Port Available])</f>
        <v>3</v>
      </c>
      <c r="CJ45" s="14">
        <f>SUMIF(MatchData[Team],MatchData[[#This Row],[Team]],MatchData[Rock Wall Available])</f>
        <v>3</v>
      </c>
      <c r="CK45" s="14">
        <f>SUMIF(MatchData[Team],MatchData[[#This Row],[Team]],MatchData[Rough Terrain Available])</f>
        <v>2</v>
      </c>
      <c r="CL45" s="14">
        <f>SUMIF(MatchData[Team],MatchData[[#This Row],[Team]],MatchData[Low Bar Available])</f>
        <v>5</v>
      </c>
      <c r="CM45" s="14">
        <f ca="1">SUMIF(MatchData[Team],MatchData[[#This Row],[Team]],MatchData[Portcullis Teleop Crossings])</f>
        <v>0</v>
      </c>
      <c r="CN45" s="14">
        <f ca="1">SUMIF(MatchData[Team],MatchData[[#This Row],[Team]],MatchData[Cheval Teleop Crossings])</f>
        <v>7</v>
      </c>
      <c r="CO45" s="14">
        <f ca="1">SUMIF(MatchData[Team],MatchData[[#This Row],[Team]],MatchData[Moat Teleop Crossings])</f>
        <v>12</v>
      </c>
      <c r="CP45" s="14">
        <f ca="1">SUMIF(MatchData[Team],MatchData[[#This Row],[Team]],MatchData[Ramparts Teleop Crossings])</f>
        <v>0</v>
      </c>
      <c r="CQ45" s="14">
        <f ca="1">SUMIF(MatchData[Team],MatchData[[#This Row],[Team]],MatchData[Drawbridge Teleop Crossings])</f>
        <v>6</v>
      </c>
      <c r="CR45" s="14">
        <f ca="1">SUMIF(MatchData[Team],MatchData[[#This Row],[Team]],MatchData[Sally Port Teleop Crossings])</f>
        <v>6</v>
      </c>
      <c r="CS45" s="14">
        <f ca="1">SUMIF(MatchData[Team],MatchData[[#This Row],[Team]],MatchData[Rock Wall Teleop Crossings])</f>
        <v>7</v>
      </c>
      <c r="CT45" s="14">
        <f ca="1">SUMIF(MatchData[Team],MatchData[[#This Row],[Team]],MatchData[Rough Terrain Teleop Crossings])</f>
        <v>5</v>
      </c>
      <c r="CU45" s="14">
        <f ca="1">SUMIF(MatchData[Team],MatchData[[#This Row],[Team]],MatchData[Low Bar Teleop Crossings])</f>
        <v>11</v>
      </c>
      <c r="CV45" s="14">
        <f ca="1">IFERROR(ROUND(MatchData[[#This Row],[Portcullis Sum]]/MatchData[[#This Row],[Portcullis Avail Count]],2),0)</f>
        <v>0</v>
      </c>
      <c r="CW45">
        <f ca="1">IFERROR(ROUND(MatchData[[#This Row],[Cheval Sum]]/MatchData[[#This Row],[Cheval Avail Count]],2),0)</f>
        <v>1.75</v>
      </c>
      <c r="CX45">
        <f ca="1">IFERROR(ROUND(MatchData[[#This Row],[Moat Sum]]/MatchData[[#This Row],[Moat Avail Count]],2),0)</f>
        <v>3</v>
      </c>
      <c r="CY45">
        <f ca="1">IFERROR(ROUND(MatchData[[#This Row],[Ramparts Sum]]/MatchData[[#This Row],[Ramparts Avail Count]],2),0)</f>
        <v>0</v>
      </c>
      <c r="CZ45">
        <f ca="1">IFERROR(ROUND(MatchData[[#This Row],[Drawbridge Sum]]/MatchData[[#This Row],[Drawbridge HAvail Countigh6]],2),0)</f>
        <v>3</v>
      </c>
      <c r="DA45">
        <f ca="1">IFERROR(ROUND(MatchData[[#This Row],[Sally Port Sum]]/MatchData[[#This Row],[Sally Port Avail Count]],2),0)</f>
        <v>2</v>
      </c>
      <c r="DB45">
        <f ca="1">IFERROR(ROUND(MatchData[[#This Row],[Rock Wall Sum]]/MatchData[[#This Row],[Rock Wall Avail Count]],2),0)</f>
        <v>2.33</v>
      </c>
      <c r="DC45">
        <f ca="1">IFERROR(ROUND(MatchData[[#This Row],[Rough Terrain Sum]]/MatchData[[#This Row],[Rough Terrain Avail Count]],2),0)</f>
        <v>2.5</v>
      </c>
      <c r="DD45">
        <f ca="1">IFERROR(ROUND(MatchData[[#This Row],[Low Bar Sum]]/MatchData[[#This Row],[Low Bar Avail Count]],2),0)</f>
        <v>2.2000000000000002</v>
      </c>
      <c r="DE45" s="14">
        <f t="array" aca="1" ref="DE45" ca="1">MAX(IF(C$4:C$75=C45,BE$4:BE$75))</f>
        <v>6</v>
      </c>
      <c r="DF45" s="14">
        <f ca="1">AVERAGEIF(MatchData[Team],MatchData[Team],MatchData[Total Score])</f>
        <v>71.2</v>
      </c>
      <c r="DG45" s="14">
        <f ca="1">ROUND(AVERAGEIF(MatchData[Team],MatchData[Team],MatchData[Climb or Challenge Flag]),2)</f>
        <v>0.8</v>
      </c>
    </row>
    <row r="46" spans="1:111">
      <c r="A46" t="s">
        <v>54</v>
      </c>
      <c r="B46" s="4">
        <v>4</v>
      </c>
      <c r="C46">
        <v>1009</v>
      </c>
      <c r="D46" t="s">
        <v>56</v>
      </c>
      <c r="E46" t="s">
        <v>62</v>
      </c>
      <c r="F46">
        <f ca="1">IF(MatchData[[#This Row],[Persona]] = 4,RANDBETWEEN(0,1),0)</f>
        <v>1</v>
      </c>
      <c r="G46">
        <f ca="1">IF(MatchData[[#This Row],[Persona]] = 3,RANDBETWEEN(0,1),0)</f>
        <v>0</v>
      </c>
      <c r="H46">
        <f ca="1">RANDBETWEEN(MatchData[[#This Row],[High Goal Low]],MatchData[[#This Row],[High Goal High]])</f>
        <v>1</v>
      </c>
      <c r="I46">
        <f ca="1">RANDBETWEEN(MatchData[[#This Row],[Low Goal Low]],MatchData[[#This Row],[Low Goal High]])</f>
        <v>1</v>
      </c>
      <c r="J46" s="6"/>
      <c r="K46" s="6">
        <v>1</v>
      </c>
      <c r="L46" s="6">
        <v>1</v>
      </c>
      <c r="M46" s="6"/>
      <c r="N46" s="6"/>
      <c r="O46" s="6">
        <v>1</v>
      </c>
      <c r="P46" s="6">
        <v>1</v>
      </c>
      <c r="Q46" s="5"/>
      <c r="R46" s="5">
        <v>1</v>
      </c>
      <c r="S46" s="5">
        <f ca="1">IF(MatchData[[#This Row],[Auto Crossing Test Generator]]=0,RANDBETWEEN(0,1),0)</f>
        <v>0</v>
      </c>
      <c r="T46" s="5">
        <f ca="1">IF(MatchData[Auto Crossing Test Generator]=1,1,0)</f>
        <v>0</v>
      </c>
      <c r="U46" s="5">
        <f ca="1">IF(MatchData[[#This Row],[Auto Crossing Test Generator]]=2,RANDBETWEEN(0,1),0)</f>
        <v>0</v>
      </c>
      <c r="V46" s="5">
        <f ca="1">IF(MatchData[[#This Row],[Auto Crossing Test Generator]]=3,RANDBETWEEN(0,1),0)</f>
        <v>0</v>
      </c>
      <c r="W46" s="5">
        <f ca="1">IF(MatchData[[#This Row],[Auto Crossing Test Generator]]=4,RANDBETWEEN(0,1),0)</f>
        <v>0</v>
      </c>
      <c r="X46" s="5">
        <f ca="1">IF(MatchData[[#This Row],[Auto Crossing Test Generator]]=5,RANDBETWEEN(0,1),0)</f>
        <v>0</v>
      </c>
      <c r="Y46" s="5">
        <f ca="1">IF(MatchData[[#This Row],[Auto Crossing Test Generator]]=6,RANDBETWEEN(0,1),0)</f>
        <v>0</v>
      </c>
      <c r="Z46" s="5">
        <f ca="1">IF(MatchData[[#This Row],[Auto Crossing Test Generator]]=7,RANDBETWEEN(0,1),0)</f>
        <v>0</v>
      </c>
      <c r="AA46" s="5">
        <f ca="1">IF(MatchData[[#This Row],[Auto Crossing Test Generator]]=8,RANDBETWEEN(0,1),0)</f>
        <v>0</v>
      </c>
      <c r="AB46" s="5">
        <f ca="1">IF(MatchData[[#This Row],[Auto Crossing Test Generator]]&gt;8,RANDBETWEEN(0,1),0)</f>
        <v>0</v>
      </c>
      <c r="AC46" s="5">
        <f ca="1">IF(MatchData[[#This Row],[Auto Crossing Test Generator]]=9,RANDBETWEEN(0,1),0)</f>
        <v>0</v>
      </c>
      <c r="AD46" s="5">
        <f ca="1">IF(MatchData[[#This Row],[Cheval Available]]=1,RANDBETWEEN(0,MatchData[[#This Row],[Cheval High]]),0)</f>
        <v>2</v>
      </c>
      <c r="AE46" s="5">
        <f ca="1">IF(MatchData[[#This Row],[Moat Available]]=1,RANDBETWEEN(0,MatchData[[#This Row],[Moat High]]),0)</f>
        <v>4</v>
      </c>
      <c r="AF46" s="5">
        <f ca="1">IF(MatchData[[#This Row],[Ramparts Available]]=1,RANDBETWEEN(0,MatchData[[#This Row],[Ramparts High]]),0)</f>
        <v>0</v>
      </c>
      <c r="AG46" s="5">
        <f ca="1">IF(MatchData[[#This Row],[Drawbridge Available]]=1,RANDBETWEEN(0,MatchData[[#This Row],[Drawbridge High]]),0)</f>
        <v>0</v>
      </c>
      <c r="AH46" s="5">
        <f ca="1">IF(MatchData[[#This Row],[Sally Port Available]]=1,RANDBETWEEN(0,MatchData[[#This Row],[Sally Port High]]),0)</f>
        <v>2</v>
      </c>
      <c r="AI46" s="5">
        <f ca="1">IF(MatchData[[#This Row],[Rock Wall Available]]=1,RANDBETWEEN(0,MatchData[[#This Row],[Rock Wall High]]),0)</f>
        <v>4</v>
      </c>
      <c r="AJ46" s="5">
        <f ca="1">IF(MatchData[[#This Row],[Rough Terrain Available]]=1,RANDBETWEEN(0,MatchData[[#This Row],[Rough Terrain High]]),0)</f>
        <v>0</v>
      </c>
      <c r="AK46" s="5">
        <f ca="1">IF(MatchData[[#This Row],[Low Bar Available]]=1,RANDBETWEEN(0,MatchData[[#This Row],[Low Bar High]]),0)</f>
        <v>4</v>
      </c>
      <c r="AL46" s="5">
        <f ca="1">IF(MatchData[Cheval Teleop Crossings]&gt;3,10, MatchData[Cheval Teleop Crossings]*5)</f>
        <v>10</v>
      </c>
      <c r="AM46" s="5">
        <f ca="1">IF(MatchData[Moat Teleop Crossings]&gt;3,10, MatchData[Moat Teleop Crossings]*5)</f>
        <v>10</v>
      </c>
      <c r="AN46" s="5">
        <f ca="1">IF(MatchData[Ramparts Teleop Crossings]&gt;3,10, MatchData[Ramparts Teleop Crossings]*5)</f>
        <v>0</v>
      </c>
      <c r="AO46" s="5">
        <f ca="1">IF(MatchData[Drawbridge Teleop Crossings]&gt;3,10, MatchData[Drawbridge Teleop Crossings]*5)</f>
        <v>0</v>
      </c>
      <c r="AP46" s="5">
        <f ca="1">IF(MatchData[Sally Port Teleop Crossings]&gt;3,10, MatchData[Sally Port Teleop Crossings]*5)</f>
        <v>10</v>
      </c>
      <c r="AQ46" s="5">
        <f ca="1">IF(MatchData[Rock Wall Teleop Crossings]&gt;3,10, MatchData[Rock Wall Teleop Crossings]*5)</f>
        <v>10</v>
      </c>
      <c r="AR46" s="5">
        <f ca="1">IF(MatchData[Rough Terrain Teleop Crossings]&gt;3,10, MatchData[Rough Terrain Teleop Crossings]*5)</f>
        <v>0</v>
      </c>
      <c r="AS46" s="5">
        <f ca="1">IF(MatchData[Low Bar Teleop Crossings]&gt;3,10, MatchData[Low Bar Teleop Crossings]*5)</f>
        <v>10</v>
      </c>
      <c r="AT46" s="5">
        <f ca="1">SUM(MatchData[[#This Row],[Portcullis Teleop Crossings]:[Low Bar Teleop Crossings]])</f>
        <v>16</v>
      </c>
      <c r="AU46" s="5">
        <f ca="1">IF(RANDBETWEEN(1,4)&gt;1,1,0)</f>
        <v>0</v>
      </c>
      <c r="AV46" s="5">
        <f ca="1">IF(MatchData[[#This Row],[Challenge Flag]]=1,0,IF(MatchData[[#This Row],[Climber]]=1,RANDBETWEEN(0,1),0))</f>
        <v>0</v>
      </c>
      <c r="AW46" s="5">
        <f ca="1">IF(MatchData[[#This Row],[Crossing Score]]&gt;=40,1,0)</f>
        <v>1</v>
      </c>
      <c r="AX46" s="5"/>
      <c r="AY46" s="5">
        <f ca="1">IF(RANDBETWEEN(1,100)&gt;95,1,0)</f>
        <v>0</v>
      </c>
      <c r="AZ46" s="5">
        <f ca="1">IF(RANDBETWEEN(1,100)&gt;80,1,0)</f>
        <v>0</v>
      </c>
      <c r="BA46" s="5">
        <f ca="1">IF(OR(MatchData[[#This Row],[Challenge Flag]],MatchData[[#This Row],[Climb Flag]]),1,0)</f>
        <v>0</v>
      </c>
      <c r="BB46" s="5">
        <f ca="1">MatchData[Auto High Goals]*10+MatchData[Teleop High Goals]*5</f>
        <v>15</v>
      </c>
      <c r="BC46" s="5">
        <f ca="1">MatchData[Auto Low Goals]*5+MatchData[Teleop Low Goals]*2</f>
        <v>2</v>
      </c>
      <c r="BD46" s="5">
        <f ca="1">MatchData[High Goal Score]+MatchData[Low Goal Score]</f>
        <v>17</v>
      </c>
      <c r="BE46" s="5">
        <f ca="1">MatchData[Teleop High Goals]+MatchData[Teleop Low Goals]</f>
        <v>2</v>
      </c>
      <c r="BF46" s="5">
        <f ca="1">MatchData[[#This Row],[Auto Reach Flag]]*2+SUM(MatchData[[#This Row],[Portcullis Auto Crossings]:[Low Bar Auto Crossings]])*10+MatchData[[#This Row],[Auto Low Goals]]*5+MatchData[Auto High Goals]*10</f>
        <v>10</v>
      </c>
      <c r="BG46" s="5">
        <f ca="1">SUM(MatchData[[#This Row],[Cheval Scored Teleop Crossings]:[Low Bar Scored Teleop Crossings]])</f>
        <v>50</v>
      </c>
      <c r="BH46" s="5">
        <f ca="1">MatchData[Challenge Flag]*5</f>
        <v>0</v>
      </c>
      <c r="BI46" s="5">
        <f ca="1">MatchData[Climb Flag]*15</f>
        <v>0</v>
      </c>
      <c r="BJ46" s="5">
        <f ca="1">SUM(MatchData[[#This Row],[Total Goal Score]],MatchData[[#This Row],[Crossing Score]],MatchData[[#This Row],[Challenge Score]],MatchData[[#This Row],[Climb Score]],MatchData[[#This Row],[Total Auto Score]])</f>
        <v>77</v>
      </c>
      <c r="BK46">
        <v>4</v>
      </c>
      <c r="BL46" s="5">
        <f ca="1">IF(RANDBETWEEN(0,10)&gt;=9,RANDBETWEEN(1,9),0)</f>
        <v>0</v>
      </c>
      <c r="BM46" s="5">
        <f>VLOOKUP(MatchData[[#This Row],[Persona]],Personas!$A$2:$O$5,3)</f>
        <v>1</v>
      </c>
      <c r="BN46" s="13">
        <f>VLOOKUP(MatchData[[#This Row],[Persona]],Personas!$A$2:$P$5,4)</f>
        <v>4</v>
      </c>
      <c r="BO46" s="13">
        <f>VLOOKUP(MatchData[[#This Row],[Persona]],Personas!$A$2:$P$5,5)</f>
        <v>1</v>
      </c>
      <c r="BP46" s="13">
        <f>VLOOKUP(MatchData[[#This Row],[Persona]],Personas!$A$2:$P$5,6)</f>
        <v>4</v>
      </c>
      <c r="BQ46" s="13">
        <f>VLOOKUP(MatchData[[#This Row],[Persona]],Personas!$A$2:$P$5,7)</f>
        <v>3</v>
      </c>
      <c r="BR46" s="13">
        <f>VLOOKUP(MatchData[[#This Row],[Persona]],Personas!$A$2:$P$5,8)</f>
        <v>3</v>
      </c>
      <c r="BS46" s="13">
        <f>VLOOKUP(MatchData[[#This Row],[Persona]],Personas!$A$2:$P$5,9)</f>
        <v>4</v>
      </c>
      <c r="BT46" s="13">
        <f>VLOOKUP(MatchData[[#This Row],[Persona]],Personas!$A$2:$P$5,10)</f>
        <v>4</v>
      </c>
      <c r="BU46" s="13">
        <f>VLOOKUP(MatchData[[#This Row],[Persona]],Personas!$A$2:$P$5,11)</f>
        <v>3</v>
      </c>
      <c r="BV46" s="13">
        <f>VLOOKUP(MatchData[[#This Row],[Persona]],Personas!$A$2:$P$5,12)</f>
        <v>3</v>
      </c>
      <c r="BW46" s="13">
        <f>VLOOKUP(MatchData[[#This Row],[Persona]],Personas!$A$2:$P$5,13)</f>
        <v>4</v>
      </c>
      <c r="BX46" s="13">
        <f>VLOOKUP(MatchData[[#This Row],[Persona]],Personas!$A$2:$P$5,14)</f>
        <v>4</v>
      </c>
      <c r="BY46" s="13">
        <f>VLOOKUP(MatchData[[#This Row],[Persona]],Personas!$A$2:$P$5,15)</f>
        <v>5</v>
      </c>
      <c r="BZ46" s="13">
        <f>VLOOKUP(MatchData[[#This Row],[Persona]],Personas!$A$2:$P$5,16)</f>
        <v>0</v>
      </c>
      <c r="CA46" s="14">
        <f ca="1">ROUND(SUMIF(MatchData[Team],MatchData[[#This Row],[Team]],MatchData[Teleop Low Goals])/COUNTIF(MatchData[Team],MatchData[[#This Row],[Team]]),2)</f>
        <v>2</v>
      </c>
      <c r="CB46" s="14">
        <f ca="1">ROUND(SUMIF(MatchData[Team],MatchData[[#This Row],[Team]],MatchData[Teleop High Goals])/COUNTIF(MatchData[Team],MatchData[[#This Row],[Team]]),2)</f>
        <v>2</v>
      </c>
      <c r="CC46" s="14">
        <f>COUNTIF(MatchData[Team],MatchData[[#This Row],[Team]])</f>
        <v>5</v>
      </c>
      <c r="CD46" s="14">
        <f>SUMIF(MatchData[Team],MatchData[[#This Row],[Team]],MatchData[Portcullis Available])</f>
        <v>1</v>
      </c>
      <c r="CE46" s="14">
        <f>SUMIF(MatchData[Team],MatchData[[#This Row],[Team]],MatchData[Cheval Available])</f>
        <v>4</v>
      </c>
      <c r="CF46" s="14">
        <f>SUMIF(MatchData[Team],MatchData[[#This Row],[Team]],MatchData[Moat Available])</f>
        <v>4</v>
      </c>
      <c r="CG46" s="14">
        <f>SUMIF(MatchData[Team],MatchData[[#This Row],[Team]],MatchData[Ramparts Available])</f>
        <v>1</v>
      </c>
      <c r="CH46" s="14">
        <f>SUMIF(MatchData[Team],MatchData[[#This Row],[Team]],MatchData[Drawbridge Available])</f>
        <v>2</v>
      </c>
      <c r="CI46" s="14">
        <f>SUMIF(MatchData[Team],MatchData[[#This Row],[Team]],MatchData[Sally Port Available])</f>
        <v>3</v>
      </c>
      <c r="CJ46" s="14">
        <f>SUMIF(MatchData[Team],MatchData[[#This Row],[Team]],MatchData[Rock Wall Available])</f>
        <v>3</v>
      </c>
      <c r="CK46" s="14">
        <f>SUMIF(MatchData[Team],MatchData[[#This Row],[Team]],MatchData[Rough Terrain Available])</f>
        <v>2</v>
      </c>
      <c r="CL46" s="14">
        <f>SUMIF(MatchData[Team],MatchData[[#This Row],[Team]],MatchData[Low Bar Available])</f>
        <v>5</v>
      </c>
      <c r="CM46" s="14">
        <f ca="1">SUMIF(MatchData[Team],MatchData[[#This Row],[Team]],MatchData[Portcullis Teleop Crossings])</f>
        <v>0</v>
      </c>
      <c r="CN46" s="14">
        <f ca="1">SUMIF(MatchData[Team],MatchData[[#This Row],[Team]],MatchData[Cheval Teleop Crossings])</f>
        <v>7</v>
      </c>
      <c r="CO46" s="14">
        <f ca="1">SUMIF(MatchData[Team],MatchData[[#This Row],[Team]],MatchData[Moat Teleop Crossings])</f>
        <v>12</v>
      </c>
      <c r="CP46" s="14">
        <f ca="1">SUMIF(MatchData[Team],MatchData[[#This Row],[Team]],MatchData[Ramparts Teleop Crossings])</f>
        <v>0</v>
      </c>
      <c r="CQ46" s="14">
        <f ca="1">SUMIF(MatchData[Team],MatchData[[#This Row],[Team]],MatchData[Drawbridge Teleop Crossings])</f>
        <v>6</v>
      </c>
      <c r="CR46" s="14">
        <f ca="1">SUMIF(MatchData[Team],MatchData[[#This Row],[Team]],MatchData[Sally Port Teleop Crossings])</f>
        <v>6</v>
      </c>
      <c r="CS46" s="14">
        <f ca="1">SUMIF(MatchData[Team],MatchData[[#This Row],[Team]],MatchData[Rock Wall Teleop Crossings])</f>
        <v>7</v>
      </c>
      <c r="CT46" s="14">
        <f ca="1">SUMIF(MatchData[Team],MatchData[[#This Row],[Team]],MatchData[Rough Terrain Teleop Crossings])</f>
        <v>5</v>
      </c>
      <c r="CU46" s="14">
        <f ca="1">SUMIF(MatchData[Team],MatchData[[#This Row],[Team]],MatchData[Low Bar Teleop Crossings])</f>
        <v>11</v>
      </c>
      <c r="CV46" s="14">
        <f ca="1">IFERROR(ROUND(MatchData[[#This Row],[Portcullis Sum]]/MatchData[[#This Row],[Portcullis Avail Count]],2),0)</f>
        <v>0</v>
      </c>
      <c r="CW46">
        <f ca="1">IFERROR(ROUND(MatchData[[#This Row],[Cheval Sum]]/MatchData[[#This Row],[Cheval Avail Count]],2),0)</f>
        <v>1.75</v>
      </c>
      <c r="CX46">
        <f ca="1">IFERROR(ROUND(MatchData[[#This Row],[Moat Sum]]/MatchData[[#This Row],[Moat Avail Count]],2),0)</f>
        <v>3</v>
      </c>
      <c r="CY46">
        <f ca="1">IFERROR(ROUND(MatchData[[#This Row],[Ramparts Sum]]/MatchData[[#This Row],[Ramparts Avail Count]],2),0)</f>
        <v>0</v>
      </c>
      <c r="CZ46">
        <f ca="1">IFERROR(ROUND(MatchData[[#This Row],[Drawbridge Sum]]/MatchData[[#This Row],[Drawbridge HAvail Countigh6]],2),0)</f>
        <v>3</v>
      </c>
      <c r="DA46">
        <f ca="1">IFERROR(ROUND(MatchData[[#This Row],[Sally Port Sum]]/MatchData[[#This Row],[Sally Port Avail Count]],2),0)</f>
        <v>2</v>
      </c>
      <c r="DB46">
        <f ca="1">IFERROR(ROUND(MatchData[[#This Row],[Rock Wall Sum]]/MatchData[[#This Row],[Rock Wall Avail Count]],2),0)</f>
        <v>2.33</v>
      </c>
      <c r="DC46">
        <f ca="1">IFERROR(ROUND(MatchData[[#This Row],[Rough Terrain Sum]]/MatchData[[#This Row],[Rough Terrain Avail Count]],2),0)</f>
        <v>2.5</v>
      </c>
      <c r="DD46">
        <f ca="1">IFERROR(ROUND(MatchData[[#This Row],[Low Bar Sum]]/MatchData[[#This Row],[Low Bar Avail Count]],2),0)</f>
        <v>2.2000000000000002</v>
      </c>
      <c r="DE46" s="14">
        <f t="array" aca="1" ref="DE46" ca="1">MAX(IF(C$4:C$75=C46,BE$4:BE$75))</f>
        <v>6</v>
      </c>
      <c r="DF46" s="14">
        <f ca="1">AVERAGEIF(MatchData[Team],MatchData[Team],MatchData[Total Score])</f>
        <v>71.2</v>
      </c>
      <c r="DG46" s="14">
        <f ca="1">ROUND(AVERAGEIF(MatchData[Team],MatchData[Team],MatchData[Climb or Challenge Flag]),2)</f>
        <v>0.8</v>
      </c>
    </row>
    <row r="47" spans="1:111">
      <c r="A47" t="s">
        <v>54</v>
      </c>
      <c r="B47" s="4">
        <v>6</v>
      </c>
      <c r="C47">
        <v>1009</v>
      </c>
      <c r="D47" t="s">
        <v>56</v>
      </c>
      <c r="E47" t="s">
        <v>59</v>
      </c>
      <c r="F47">
        <f ca="1">IF(MatchData[[#This Row],[Persona]] = 4,RANDBETWEEN(0,1),0)</f>
        <v>0</v>
      </c>
      <c r="G47">
        <f ca="1">IF(MatchData[[#This Row],[Persona]] = 3,RANDBETWEEN(0,1),0)</f>
        <v>0</v>
      </c>
      <c r="H47">
        <f ca="1">RANDBETWEEN(MatchData[[#This Row],[High Goal Low]],MatchData[[#This Row],[High Goal High]])</f>
        <v>1</v>
      </c>
      <c r="I47">
        <f ca="1">RANDBETWEEN(MatchData[[#This Row],[Low Goal Low]],MatchData[[#This Row],[Low Goal High]])</f>
        <v>4</v>
      </c>
      <c r="J47" s="6"/>
      <c r="K47" s="6">
        <v>1</v>
      </c>
      <c r="L47" s="6">
        <v>1</v>
      </c>
      <c r="M47" s="6"/>
      <c r="N47" s="6">
        <v>1</v>
      </c>
      <c r="O47" s="6"/>
      <c r="P47" s="6"/>
      <c r="Q47" s="5">
        <v>1</v>
      </c>
      <c r="R47" s="5">
        <v>1</v>
      </c>
      <c r="S47" s="5">
        <f ca="1">IF(MatchData[[#This Row],[Auto Crossing Test Generator]]=0,RANDBETWEEN(0,1),0)</f>
        <v>1</v>
      </c>
      <c r="T47" s="5">
        <f ca="1">IF(MatchData[Auto Crossing Test Generator]=1,1,0)</f>
        <v>0</v>
      </c>
      <c r="U47" s="5">
        <f ca="1">IF(MatchData[[#This Row],[Auto Crossing Test Generator]]=2,RANDBETWEEN(0,1),0)</f>
        <v>0</v>
      </c>
      <c r="V47" s="5">
        <f ca="1">IF(MatchData[[#This Row],[Auto Crossing Test Generator]]=3,RANDBETWEEN(0,1),0)</f>
        <v>0</v>
      </c>
      <c r="W47" s="5">
        <f ca="1">IF(MatchData[[#This Row],[Auto Crossing Test Generator]]=4,RANDBETWEEN(0,1),0)</f>
        <v>0</v>
      </c>
      <c r="X47" s="5">
        <f ca="1">IF(MatchData[[#This Row],[Auto Crossing Test Generator]]=5,RANDBETWEEN(0,1),0)</f>
        <v>0</v>
      </c>
      <c r="Y47" s="5">
        <f ca="1">IF(MatchData[[#This Row],[Auto Crossing Test Generator]]=6,RANDBETWEEN(0,1),0)</f>
        <v>0</v>
      </c>
      <c r="Z47" s="5">
        <f ca="1">IF(MatchData[[#This Row],[Auto Crossing Test Generator]]=7,RANDBETWEEN(0,1),0)</f>
        <v>0</v>
      </c>
      <c r="AA47" s="5">
        <f ca="1">IF(MatchData[[#This Row],[Auto Crossing Test Generator]]=8,RANDBETWEEN(0,1),0)</f>
        <v>0</v>
      </c>
      <c r="AB47" s="5">
        <f ca="1">IF(MatchData[[#This Row],[Auto Crossing Test Generator]]&gt;8,RANDBETWEEN(0,1),0)</f>
        <v>0</v>
      </c>
      <c r="AC47" s="5">
        <f ca="1">IF(MatchData[[#This Row],[Auto Crossing Test Generator]]=9,RANDBETWEEN(0,1),0)</f>
        <v>0</v>
      </c>
      <c r="AD47" s="5">
        <f ca="1">IF(MatchData[[#This Row],[Cheval Available]]=1,RANDBETWEEN(0,MatchData[[#This Row],[Cheval High]]),0)</f>
        <v>2</v>
      </c>
      <c r="AE47" s="5">
        <f ca="1">IF(MatchData[[#This Row],[Moat Available]]=1,RANDBETWEEN(0,MatchData[[#This Row],[Moat High]]),0)</f>
        <v>0</v>
      </c>
      <c r="AF47" s="5">
        <f ca="1">IF(MatchData[[#This Row],[Ramparts Available]]=1,RANDBETWEEN(0,MatchData[[#This Row],[Ramparts High]]),0)</f>
        <v>0</v>
      </c>
      <c r="AG47" s="5">
        <f ca="1">IF(MatchData[[#This Row],[Drawbridge Available]]=1,RANDBETWEEN(0,MatchData[[#This Row],[Drawbridge High]]),0)</f>
        <v>3</v>
      </c>
      <c r="AH47" s="5">
        <f ca="1">IF(MatchData[[#This Row],[Sally Port Available]]=1,RANDBETWEEN(0,MatchData[[#This Row],[Sally Port High]]),0)</f>
        <v>0</v>
      </c>
      <c r="AI47" s="5">
        <f ca="1">IF(MatchData[[#This Row],[Rock Wall Available]]=1,RANDBETWEEN(0,MatchData[[#This Row],[Rock Wall High]]),0)</f>
        <v>0</v>
      </c>
      <c r="AJ47" s="5">
        <f ca="1">IF(MatchData[[#This Row],[Rough Terrain Available]]=1,RANDBETWEEN(0,MatchData[[#This Row],[Rough Terrain High]]),0)</f>
        <v>3</v>
      </c>
      <c r="AK47" s="5">
        <f ca="1">IF(MatchData[[#This Row],[Low Bar Available]]=1,RANDBETWEEN(0,MatchData[[#This Row],[Low Bar High]]),0)</f>
        <v>0</v>
      </c>
      <c r="AL47" s="5">
        <f ca="1">IF(MatchData[Cheval Teleop Crossings]&gt;3,10, MatchData[Cheval Teleop Crossings]*5)</f>
        <v>10</v>
      </c>
      <c r="AM47" s="5">
        <f ca="1">IF(MatchData[Moat Teleop Crossings]&gt;3,10, MatchData[Moat Teleop Crossings]*5)</f>
        <v>0</v>
      </c>
      <c r="AN47" s="5">
        <f ca="1">IF(MatchData[Ramparts Teleop Crossings]&gt;3,10, MatchData[Ramparts Teleop Crossings]*5)</f>
        <v>0</v>
      </c>
      <c r="AO47" s="5">
        <f ca="1">IF(MatchData[Drawbridge Teleop Crossings]&gt;3,10, MatchData[Drawbridge Teleop Crossings]*5)</f>
        <v>15</v>
      </c>
      <c r="AP47" s="5">
        <f ca="1">IF(MatchData[Sally Port Teleop Crossings]&gt;3,10, MatchData[Sally Port Teleop Crossings]*5)</f>
        <v>0</v>
      </c>
      <c r="AQ47" s="5">
        <f ca="1">IF(MatchData[Rock Wall Teleop Crossings]&gt;3,10, MatchData[Rock Wall Teleop Crossings]*5)</f>
        <v>0</v>
      </c>
      <c r="AR47" s="5">
        <f ca="1">IF(MatchData[Rough Terrain Teleop Crossings]&gt;3,10, MatchData[Rough Terrain Teleop Crossings]*5)</f>
        <v>15</v>
      </c>
      <c r="AS47" s="5">
        <f ca="1">IF(MatchData[Low Bar Teleop Crossings]&gt;3,10, MatchData[Low Bar Teleop Crossings]*5)</f>
        <v>0</v>
      </c>
      <c r="AT47" s="5">
        <f ca="1">SUM(MatchData[[#This Row],[Portcullis Teleop Crossings]:[Low Bar Teleop Crossings]])</f>
        <v>8</v>
      </c>
      <c r="AU47" s="5">
        <f ca="1">IF(RANDBETWEEN(1,4)&gt;1,1,0)</f>
        <v>1</v>
      </c>
      <c r="AV47" s="5">
        <f ca="1">IF(MatchData[[#This Row],[Challenge Flag]]=1,0,IF(MatchData[[#This Row],[Climber]]=1,RANDBETWEEN(0,1),0))</f>
        <v>0</v>
      </c>
      <c r="AW47" s="5">
        <f ca="1">IF(MatchData[[#This Row],[Crossing Score]]&gt;=40,1,0)</f>
        <v>1</v>
      </c>
      <c r="AX47" s="5"/>
      <c r="AY47" s="5">
        <f ca="1">IF(RANDBETWEEN(1,100)&gt;95,1,0)</f>
        <v>0</v>
      </c>
      <c r="AZ47" s="5">
        <f ca="1">IF(RANDBETWEEN(1,100)&gt;80,1,0)</f>
        <v>0</v>
      </c>
      <c r="BA47" s="5">
        <f ca="1">IF(OR(MatchData[[#This Row],[Challenge Flag]],MatchData[[#This Row],[Climb Flag]]),1,0)</f>
        <v>1</v>
      </c>
      <c r="BB47" s="5">
        <f ca="1">MatchData[Auto High Goals]*10+MatchData[Teleop High Goals]*5</f>
        <v>5</v>
      </c>
      <c r="BC47" s="5">
        <f ca="1">MatchData[Auto Low Goals]*5+MatchData[Teleop Low Goals]*2</f>
        <v>8</v>
      </c>
      <c r="BD47" s="5">
        <f ca="1">MatchData[High Goal Score]+MatchData[Low Goal Score]</f>
        <v>13</v>
      </c>
      <c r="BE47" s="5">
        <f ca="1">MatchData[Teleop High Goals]+MatchData[Teleop Low Goals]</f>
        <v>5</v>
      </c>
      <c r="BF47" s="5">
        <f ca="1">MatchData[[#This Row],[Auto Reach Flag]]*2+SUM(MatchData[[#This Row],[Portcullis Auto Crossings]:[Low Bar Auto Crossings]])*10+MatchData[[#This Row],[Auto Low Goals]]*5+MatchData[Auto High Goals]*10</f>
        <v>2</v>
      </c>
      <c r="BG47" s="5">
        <f ca="1">SUM(MatchData[[#This Row],[Cheval Scored Teleop Crossings]:[Low Bar Scored Teleop Crossings]])</f>
        <v>40</v>
      </c>
      <c r="BH47" s="5">
        <f ca="1">MatchData[Challenge Flag]*5</f>
        <v>5</v>
      </c>
      <c r="BI47" s="5">
        <f ca="1">MatchData[Climb Flag]*15</f>
        <v>0</v>
      </c>
      <c r="BJ47" s="5">
        <f ca="1">SUM(MatchData[[#This Row],[Total Goal Score]],MatchData[[#This Row],[Crossing Score]],MatchData[[#This Row],[Challenge Score]],MatchData[[#This Row],[Climb Score]],MatchData[[#This Row],[Total Auto Score]])</f>
        <v>60</v>
      </c>
      <c r="BK47">
        <v>4</v>
      </c>
      <c r="BL47" s="5">
        <f ca="1">IF(RANDBETWEEN(0,10)&gt;=9,RANDBETWEEN(1,9),0)</f>
        <v>0</v>
      </c>
      <c r="BM47" s="5">
        <f>VLOOKUP(MatchData[[#This Row],[Persona]],Personas!$A$2:$O$5,3)</f>
        <v>1</v>
      </c>
      <c r="BN47" s="13">
        <f>VLOOKUP(MatchData[[#This Row],[Persona]],Personas!$A$2:$P$5,4)</f>
        <v>4</v>
      </c>
      <c r="BO47" s="13">
        <f>VLOOKUP(MatchData[[#This Row],[Persona]],Personas!$A$2:$P$5,5)</f>
        <v>1</v>
      </c>
      <c r="BP47" s="13">
        <f>VLOOKUP(MatchData[[#This Row],[Persona]],Personas!$A$2:$P$5,6)</f>
        <v>4</v>
      </c>
      <c r="BQ47" s="13">
        <f>VLOOKUP(MatchData[[#This Row],[Persona]],Personas!$A$2:$P$5,7)</f>
        <v>3</v>
      </c>
      <c r="BR47" s="13">
        <f>VLOOKUP(MatchData[[#This Row],[Persona]],Personas!$A$2:$P$5,8)</f>
        <v>3</v>
      </c>
      <c r="BS47" s="13">
        <f>VLOOKUP(MatchData[[#This Row],[Persona]],Personas!$A$2:$P$5,9)</f>
        <v>4</v>
      </c>
      <c r="BT47" s="13">
        <f>VLOOKUP(MatchData[[#This Row],[Persona]],Personas!$A$2:$P$5,10)</f>
        <v>4</v>
      </c>
      <c r="BU47" s="13">
        <f>VLOOKUP(MatchData[[#This Row],[Persona]],Personas!$A$2:$P$5,11)</f>
        <v>3</v>
      </c>
      <c r="BV47" s="13">
        <f>VLOOKUP(MatchData[[#This Row],[Persona]],Personas!$A$2:$P$5,12)</f>
        <v>3</v>
      </c>
      <c r="BW47" s="13">
        <f>VLOOKUP(MatchData[[#This Row],[Persona]],Personas!$A$2:$P$5,13)</f>
        <v>4</v>
      </c>
      <c r="BX47" s="13">
        <f>VLOOKUP(MatchData[[#This Row],[Persona]],Personas!$A$2:$P$5,14)</f>
        <v>4</v>
      </c>
      <c r="BY47" s="13">
        <f>VLOOKUP(MatchData[[#This Row],[Persona]],Personas!$A$2:$P$5,15)</f>
        <v>5</v>
      </c>
      <c r="BZ47" s="13">
        <f>VLOOKUP(MatchData[[#This Row],[Persona]],Personas!$A$2:$P$5,16)</f>
        <v>0</v>
      </c>
      <c r="CA47" s="14">
        <f ca="1">ROUND(SUMIF(MatchData[Team],MatchData[[#This Row],[Team]],MatchData[Teleop Low Goals])/COUNTIF(MatchData[Team],MatchData[[#This Row],[Team]]),2)</f>
        <v>2</v>
      </c>
      <c r="CB47" s="14">
        <f ca="1">ROUND(SUMIF(MatchData[Team],MatchData[[#This Row],[Team]],MatchData[Teleop High Goals])/COUNTIF(MatchData[Team],MatchData[[#This Row],[Team]]),2)</f>
        <v>2</v>
      </c>
      <c r="CC47" s="14">
        <f>COUNTIF(MatchData[Team],MatchData[[#This Row],[Team]])</f>
        <v>5</v>
      </c>
      <c r="CD47" s="14">
        <f>SUMIF(MatchData[Team],MatchData[[#This Row],[Team]],MatchData[Portcullis Available])</f>
        <v>1</v>
      </c>
      <c r="CE47" s="14">
        <f>SUMIF(MatchData[Team],MatchData[[#This Row],[Team]],MatchData[Cheval Available])</f>
        <v>4</v>
      </c>
      <c r="CF47" s="14">
        <f>SUMIF(MatchData[Team],MatchData[[#This Row],[Team]],MatchData[Moat Available])</f>
        <v>4</v>
      </c>
      <c r="CG47" s="14">
        <f>SUMIF(MatchData[Team],MatchData[[#This Row],[Team]],MatchData[Ramparts Available])</f>
        <v>1</v>
      </c>
      <c r="CH47" s="14">
        <f>SUMIF(MatchData[Team],MatchData[[#This Row],[Team]],MatchData[Drawbridge Available])</f>
        <v>2</v>
      </c>
      <c r="CI47" s="14">
        <f>SUMIF(MatchData[Team],MatchData[[#This Row],[Team]],MatchData[Sally Port Available])</f>
        <v>3</v>
      </c>
      <c r="CJ47" s="14">
        <f>SUMIF(MatchData[Team],MatchData[[#This Row],[Team]],MatchData[Rock Wall Available])</f>
        <v>3</v>
      </c>
      <c r="CK47" s="14">
        <f>SUMIF(MatchData[Team],MatchData[[#This Row],[Team]],MatchData[Rough Terrain Available])</f>
        <v>2</v>
      </c>
      <c r="CL47" s="14">
        <f>SUMIF(MatchData[Team],MatchData[[#This Row],[Team]],MatchData[Low Bar Available])</f>
        <v>5</v>
      </c>
      <c r="CM47" s="14">
        <f ca="1">SUMIF(MatchData[Team],MatchData[[#This Row],[Team]],MatchData[Portcullis Teleop Crossings])</f>
        <v>0</v>
      </c>
      <c r="CN47" s="14">
        <f ca="1">SUMIF(MatchData[Team],MatchData[[#This Row],[Team]],MatchData[Cheval Teleop Crossings])</f>
        <v>7</v>
      </c>
      <c r="CO47" s="14">
        <f ca="1">SUMIF(MatchData[Team],MatchData[[#This Row],[Team]],MatchData[Moat Teleop Crossings])</f>
        <v>12</v>
      </c>
      <c r="CP47" s="14">
        <f ca="1">SUMIF(MatchData[Team],MatchData[[#This Row],[Team]],MatchData[Ramparts Teleop Crossings])</f>
        <v>0</v>
      </c>
      <c r="CQ47" s="14">
        <f ca="1">SUMIF(MatchData[Team],MatchData[[#This Row],[Team]],MatchData[Drawbridge Teleop Crossings])</f>
        <v>6</v>
      </c>
      <c r="CR47" s="14">
        <f ca="1">SUMIF(MatchData[Team],MatchData[[#This Row],[Team]],MatchData[Sally Port Teleop Crossings])</f>
        <v>6</v>
      </c>
      <c r="CS47" s="14">
        <f ca="1">SUMIF(MatchData[Team],MatchData[[#This Row],[Team]],MatchData[Rock Wall Teleop Crossings])</f>
        <v>7</v>
      </c>
      <c r="CT47" s="14">
        <f ca="1">SUMIF(MatchData[Team],MatchData[[#This Row],[Team]],MatchData[Rough Terrain Teleop Crossings])</f>
        <v>5</v>
      </c>
      <c r="CU47" s="14">
        <f ca="1">SUMIF(MatchData[Team],MatchData[[#This Row],[Team]],MatchData[Low Bar Teleop Crossings])</f>
        <v>11</v>
      </c>
      <c r="CV47" s="14">
        <f ca="1">IFERROR(ROUND(MatchData[[#This Row],[Portcullis Sum]]/MatchData[[#This Row],[Portcullis Avail Count]],2),0)</f>
        <v>0</v>
      </c>
      <c r="CW47">
        <f ca="1">IFERROR(ROUND(MatchData[[#This Row],[Cheval Sum]]/MatchData[[#This Row],[Cheval Avail Count]],2),0)</f>
        <v>1.75</v>
      </c>
      <c r="CX47">
        <f ca="1">IFERROR(ROUND(MatchData[[#This Row],[Moat Sum]]/MatchData[[#This Row],[Moat Avail Count]],2),0)</f>
        <v>3</v>
      </c>
      <c r="CY47">
        <f ca="1">IFERROR(ROUND(MatchData[[#This Row],[Ramparts Sum]]/MatchData[[#This Row],[Ramparts Avail Count]],2),0)</f>
        <v>0</v>
      </c>
      <c r="CZ47">
        <f ca="1">IFERROR(ROUND(MatchData[[#This Row],[Drawbridge Sum]]/MatchData[[#This Row],[Drawbridge HAvail Countigh6]],2),0)</f>
        <v>3</v>
      </c>
      <c r="DA47">
        <f ca="1">IFERROR(ROUND(MatchData[[#This Row],[Sally Port Sum]]/MatchData[[#This Row],[Sally Port Avail Count]],2),0)</f>
        <v>2</v>
      </c>
      <c r="DB47">
        <f ca="1">IFERROR(ROUND(MatchData[[#This Row],[Rock Wall Sum]]/MatchData[[#This Row],[Rock Wall Avail Count]],2),0)</f>
        <v>2.33</v>
      </c>
      <c r="DC47">
        <f ca="1">IFERROR(ROUND(MatchData[[#This Row],[Rough Terrain Sum]]/MatchData[[#This Row],[Rough Terrain Avail Count]],2),0)</f>
        <v>2.5</v>
      </c>
      <c r="DD47">
        <f ca="1">IFERROR(ROUND(MatchData[[#This Row],[Low Bar Sum]]/MatchData[[#This Row],[Low Bar Avail Count]],2),0)</f>
        <v>2.2000000000000002</v>
      </c>
      <c r="DE47" s="14">
        <f t="array" aca="1" ref="DE47" ca="1">MAX(IF(C$4:C$75=C47,BE$4:BE$75))</f>
        <v>6</v>
      </c>
      <c r="DF47" s="14">
        <f ca="1">AVERAGEIF(MatchData[Team],MatchData[Team],MatchData[Total Score])</f>
        <v>71.2</v>
      </c>
      <c r="DG47" s="14">
        <f ca="1">ROUND(AVERAGEIF(MatchData[Team],MatchData[Team],MatchData[Climb or Challenge Flag]),2)</f>
        <v>0.8</v>
      </c>
    </row>
    <row r="48" spans="1:111">
      <c r="A48" t="s">
        <v>54</v>
      </c>
      <c r="B48" s="4">
        <v>8</v>
      </c>
      <c r="C48">
        <v>1009</v>
      </c>
      <c r="D48" t="s">
        <v>56</v>
      </c>
      <c r="E48" t="s">
        <v>64</v>
      </c>
      <c r="F48">
        <f ca="1">IF(MatchData[[#This Row],[Persona]] = 4,RANDBETWEEN(0,1),0)</f>
        <v>1</v>
      </c>
      <c r="G48">
        <f ca="1">IF(MatchData[[#This Row],[Persona]] = 3,RANDBETWEEN(0,1),0)</f>
        <v>0</v>
      </c>
      <c r="H48">
        <f ca="1">RANDBETWEEN(MatchData[[#This Row],[High Goal Low]],MatchData[[#This Row],[High Goal High]])</f>
        <v>2</v>
      </c>
      <c r="I48">
        <f ca="1">RANDBETWEEN(MatchData[[#This Row],[Low Goal Low]],MatchData[[#This Row],[Low Goal High]])</f>
        <v>1</v>
      </c>
      <c r="J48" s="6"/>
      <c r="K48" s="6">
        <v>1</v>
      </c>
      <c r="L48" s="6">
        <v>1</v>
      </c>
      <c r="M48" s="6"/>
      <c r="N48" s="6"/>
      <c r="O48" s="6">
        <v>1</v>
      </c>
      <c r="P48" s="6">
        <v>1</v>
      </c>
      <c r="Q48" s="5"/>
      <c r="R48" s="5">
        <v>1</v>
      </c>
      <c r="S48" s="5">
        <f ca="1">IF(MatchData[[#This Row],[Auto Crossing Test Generator]]=0,RANDBETWEEN(0,1),0)</f>
        <v>0</v>
      </c>
      <c r="T48" s="5">
        <f ca="1">IF(MatchData[Auto Crossing Test Generator]=1,1,0)</f>
        <v>0</v>
      </c>
      <c r="U48" s="5">
        <f ca="1">IF(MatchData[[#This Row],[Auto Crossing Test Generator]]=2,RANDBETWEEN(0,1),0)</f>
        <v>0</v>
      </c>
      <c r="V48" s="5">
        <f ca="1">IF(MatchData[[#This Row],[Auto Crossing Test Generator]]=3,RANDBETWEEN(0,1),0)</f>
        <v>0</v>
      </c>
      <c r="W48" s="5">
        <f ca="1">IF(MatchData[[#This Row],[Auto Crossing Test Generator]]=4,RANDBETWEEN(0,1),0)</f>
        <v>0</v>
      </c>
      <c r="X48" s="5">
        <f ca="1">IF(MatchData[[#This Row],[Auto Crossing Test Generator]]=5,RANDBETWEEN(0,1),0)</f>
        <v>0</v>
      </c>
      <c r="Y48" s="5">
        <f ca="1">IF(MatchData[[#This Row],[Auto Crossing Test Generator]]=6,RANDBETWEEN(0,1),0)</f>
        <v>0</v>
      </c>
      <c r="Z48" s="5">
        <f ca="1">IF(MatchData[[#This Row],[Auto Crossing Test Generator]]=7,RANDBETWEEN(0,1),0)</f>
        <v>0</v>
      </c>
      <c r="AA48" s="5">
        <f ca="1">IF(MatchData[[#This Row],[Auto Crossing Test Generator]]=8,RANDBETWEEN(0,1),0)</f>
        <v>1</v>
      </c>
      <c r="AB48" s="5">
        <f ca="1">IF(MatchData[[#This Row],[Auto Crossing Test Generator]]&gt;8,RANDBETWEEN(0,1),0)</f>
        <v>0</v>
      </c>
      <c r="AC48" s="5">
        <f ca="1">IF(MatchData[[#This Row],[Auto Crossing Test Generator]]=9,RANDBETWEEN(0,1),0)</f>
        <v>0</v>
      </c>
      <c r="AD48" s="5">
        <f ca="1">IF(MatchData[[#This Row],[Cheval Available]]=1,RANDBETWEEN(0,MatchData[[#This Row],[Cheval High]]),0)</f>
        <v>3</v>
      </c>
      <c r="AE48" s="5">
        <f ca="1">IF(MatchData[[#This Row],[Moat Available]]=1,RANDBETWEEN(0,MatchData[[#This Row],[Moat High]]),0)</f>
        <v>4</v>
      </c>
      <c r="AF48" s="5">
        <f ca="1">IF(MatchData[[#This Row],[Ramparts Available]]=1,RANDBETWEEN(0,MatchData[[#This Row],[Ramparts High]]),0)</f>
        <v>0</v>
      </c>
      <c r="AG48" s="5">
        <f ca="1">IF(MatchData[[#This Row],[Drawbridge Available]]=1,RANDBETWEEN(0,MatchData[[#This Row],[Drawbridge High]]),0)</f>
        <v>0</v>
      </c>
      <c r="AH48" s="5">
        <f ca="1">IF(MatchData[[#This Row],[Sally Port Available]]=1,RANDBETWEEN(0,MatchData[[#This Row],[Sally Port High]]),0)</f>
        <v>3</v>
      </c>
      <c r="AI48" s="5">
        <f ca="1">IF(MatchData[[#This Row],[Rock Wall Available]]=1,RANDBETWEEN(0,MatchData[[#This Row],[Rock Wall High]]),0)</f>
        <v>2</v>
      </c>
      <c r="AJ48" s="5">
        <f ca="1">IF(MatchData[[#This Row],[Rough Terrain Available]]=1,RANDBETWEEN(0,MatchData[[#This Row],[Rough Terrain High]]),0)</f>
        <v>0</v>
      </c>
      <c r="AK48" s="5">
        <f ca="1">IF(MatchData[[#This Row],[Low Bar Available]]=1,RANDBETWEEN(0,MatchData[[#This Row],[Low Bar High]]),0)</f>
        <v>1</v>
      </c>
      <c r="AL48" s="5">
        <f ca="1">IF(MatchData[Cheval Teleop Crossings]&gt;3,10, MatchData[Cheval Teleop Crossings]*5)</f>
        <v>15</v>
      </c>
      <c r="AM48" s="5">
        <f ca="1">IF(MatchData[Moat Teleop Crossings]&gt;3,10, MatchData[Moat Teleop Crossings]*5)</f>
        <v>10</v>
      </c>
      <c r="AN48" s="5">
        <f ca="1">IF(MatchData[Ramparts Teleop Crossings]&gt;3,10, MatchData[Ramparts Teleop Crossings]*5)</f>
        <v>0</v>
      </c>
      <c r="AO48" s="5">
        <f ca="1">IF(MatchData[Drawbridge Teleop Crossings]&gt;3,10, MatchData[Drawbridge Teleop Crossings]*5)</f>
        <v>0</v>
      </c>
      <c r="AP48" s="5">
        <f ca="1">IF(MatchData[Sally Port Teleop Crossings]&gt;3,10, MatchData[Sally Port Teleop Crossings]*5)</f>
        <v>15</v>
      </c>
      <c r="AQ48" s="5">
        <f ca="1">IF(MatchData[Rock Wall Teleop Crossings]&gt;3,10, MatchData[Rock Wall Teleop Crossings]*5)</f>
        <v>10</v>
      </c>
      <c r="AR48" s="5">
        <f ca="1">IF(MatchData[Rough Terrain Teleop Crossings]&gt;3,10, MatchData[Rough Terrain Teleop Crossings]*5)</f>
        <v>0</v>
      </c>
      <c r="AS48" s="5">
        <f ca="1">IF(MatchData[Low Bar Teleop Crossings]&gt;3,10, MatchData[Low Bar Teleop Crossings]*5)</f>
        <v>5</v>
      </c>
      <c r="AT48" s="5">
        <f ca="1">SUM(MatchData[[#This Row],[Portcullis Teleop Crossings]:[Low Bar Teleop Crossings]])</f>
        <v>13</v>
      </c>
      <c r="AU48" s="5">
        <f ca="1">IF(RANDBETWEEN(1,4)&gt;1,1,0)</f>
        <v>1</v>
      </c>
      <c r="AV48" s="5">
        <f ca="1">IF(MatchData[[#This Row],[Challenge Flag]]=1,0,IF(MatchData[[#This Row],[Climber]]=1,RANDBETWEEN(0,1),0))</f>
        <v>0</v>
      </c>
      <c r="AW48" s="5">
        <f ca="1">IF(MatchData[[#This Row],[Crossing Score]]&gt;=40,1,0)</f>
        <v>1</v>
      </c>
      <c r="AX48" s="5"/>
      <c r="AY48" s="5">
        <f ca="1">IF(RANDBETWEEN(1,100)&gt;95,1,0)</f>
        <v>0</v>
      </c>
      <c r="AZ48" s="5">
        <f ca="1">IF(RANDBETWEEN(1,100)&gt;80,1,0)</f>
        <v>0</v>
      </c>
      <c r="BA48" s="5">
        <f ca="1">IF(OR(MatchData[[#This Row],[Challenge Flag]],MatchData[[#This Row],[Climb Flag]]),1,0)</f>
        <v>1</v>
      </c>
      <c r="BB48" s="5">
        <f ca="1">MatchData[Auto High Goals]*10+MatchData[Teleop High Goals]*5</f>
        <v>20</v>
      </c>
      <c r="BC48" s="5">
        <f ca="1">MatchData[Auto Low Goals]*5+MatchData[Teleop Low Goals]*2</f>
        <v>2</v>
      </c>
      <c r="BD48" s="5">
        <f ca="1">MatchData[High Goal Score]+MatchData[Low Goal Score]</f>
        <v>22</v>
      </c>
      <c r="BE48" s="5">
        <f ca="1">MatchData[Teleop High Goals]+MatchData[Teleop Low Goals]</f>
        <v>3</v>
      </c>
      <c r="BF48" s="5">
        <f ca="1">MatchData[[#This Row],[Auto Reach Flag]]*2+SUM(MatchData[[#This Row],[Portcullis Auto Crossings]:[Low Bar Auto Crossings]])*10+MatchData[[#This Row],[Auto Low Goals]]*5+MatchData[Auto High Goals]*10</f>
        <v>20</v>
      </c>
      <c r="BG48" s="5">
        <f ca="1">SUM(MatchData[[#This Row],[Cheval Scored Teleop Crossings]:[Low Bar Scored Teleop Crossings]])</f>
        <v>55</v>
      </c>
      <c r="BH48" s="5">
        <f ca="1">MatchData[Challenge Flag]*5</f>
        <v>5</v>
      </c>
      <c r="BI48" s="5">
        <f ca="1">MatchData[Climb Flag]*15</f>
        <v>0</v>
      </c>
      <c r="BJ48" s="5">
        <f ca="1">SUM(MatchData[[#This Row],[Total Goal Score]],MatchData[[#This Row],[Crossing Score]],MatchData[[#This Row],[Challenge Score]],MatchData[[#This Row],[Climb Score]],MatchData[[#This Row],[Total Auto Score]])</f>
        <v>102</v>
      </c>
      <c r="BK48">
        <v>4</v>
      </c>
      <c r="BL48" s="5">
        <f ca="1">IF(RANDBETWEEN(0,10)&gt;=9,RANDBETWEEN(1,9),0)</f>
        <v>8</v>
      </c>
      <c r="BM48" s="5">
        <f>VLOOKUP(MatchData[[#This Row],[Persona]],Personas!$A$2:$O$5,3)</f>
        <v>1</v>
      </c>
      <c r="BN48" s="13">
        <f>VLOOKUP(MatchData[[#This Row],[Persona]],Personas!$A$2:$P$5,4)</f>
        <v>4</v>
      </c>
      <c r="BO48" s="13">
        <f>VLOOKUP(MatchData[[#This Row],[Persona]],Personas!$A$2:$P$5,5)</f>
        <v>1</v>
      </c>
      <c r="BP48" s="13">
        <f>VLOOKUP(MatchData[[#This Row],[Persona]],Personas!$A$2:$P$5,6)</f>
        <v>4</v>
      </c>
      <c r="BQ48" s="13">
        <f>VLOOKUP(MatchData[[#This Row],[Persona]],Personas!$A$2:$P$5,7)</f>
        <v>3</v>
      </c>
      <c r="BR48" s="13">
        <f>VLOOKUP(MatchData[[#This Row],[Persona]],Personas!$A$2:$P$5,8)</f>
        <v>3</v>
      </c>
      <c r="BS48" s="13">
        <f>VLOOKUP(MatchData[[#This Row],[Persona]],Personas!$A$2:$P$5,9)</f>
        <v>4</v>
      </c>
      <c r="BT48" s="13">
        <f>VLOOKUP(MatchData[[#This Row],[Persona]],Personas!$A$2:$P$5,10)</f>
        <v>4</v>
      </c>
      <c r="BU48" s="13">
        <f>VLOOKUP(MatchData[[#This Row],[Persona]],Personas!$A$2:$P$5,11)</f>
        <v>3</v>
      </c>
      <c r="BV48" s="13">
        <f>VLOOKUP(MatchData[[#This Row],[Persona]],Personas!$A$2:$P$5,12)</f>
        <v>3</v>
      </c>
      <c r="BW48" s="13">
        <f>VLOOKUP(MatchData[[#This Row],[Persona]],Personas!$A$2:$P$5,13)</f>
        <v>4</v>
      </c>
      <c r="BX48" s="13">
        <f>VLOOKUP(MatchData[[#This Row],[Persona]],Personas!$A$2:$P$5,14)</f>
        <v>4</v>
      </c>
      <c r="BY48" s="13">
        <f>VLOOKUP(MatchData[[#This Row],[Persona]],Personas!$A$2:$P$5,15)</f>
        <v>5</v>
      </c>
      <c r="BZ48" s="13">
        <f>VLOOKUP(MatchData[[#This Row],[Persona]],Personas!$A$2:$P$5,16)</f>
        <v>0</v>
      </c>
      <c r="CA48" s="14">
        <f ca="1">ROUND(SUMIF(MatchData[Team],MatchData[[#This Row],[Team]],MatchData[Teleop Low Goals])/COUNTIF(MatchData[Team],MatchData[[#This Row],[Team]]),2)</f>
        <v>2</v>
      </c>
      <c r="CB48" s="14">
        <f ca="1">ROUND(SUMIF(MatchData[Team],MatchData[[#This Row],[Team]],MatchData[Teleop High Goals])/COUNTIF(MatchData[Team],MatchData[[#This Row],[Team]]),2)</f>
        <v>2</v>
      </c>
      <c r="CC48" s="14">
        <f>COUNTIF(MatchData[Team],MatchData[[#This Row],[Team]])</f>
        <v>5</v>
      </c>
      <c r="CD48" s="14">
        <f>SUMIF(MatchData[Team],MatchData[[#This Row],[Team]],MatchData[Portcullis Available])</f>
        <v>1</v>
      </c>
      <c r="CE48" s="14">
        <f>SUMIF(MatchData[Team],MatchData[[#This Row],[Team]],MatchData[Cheval Available])</f>
        <v>4</v>
      </c>
      <c r="CF48" s="14">
        <f>SUMIF(MatchData[Team],MatchData[[#This Row],[Team]],MatchData[Moat Available])</f>
        <v>4</v>
      </c>
      <c r="CG48" s="14">
        <f>SUMIF(MatchData[Team],MatchData[[#This Row],[Team]],MatchData[Ramparts Available])</f>
        <v>1</v>
      </c>
      <c r="CH48" s="14">
        <f>SUMIF(MatchData[Team],MatchData[[#This Row],[Team]],MatchData[Drawbridge Available])</f>
        <v>2</v>
      </c>
      <c r="CI48" s="14">
        <f>SUMIF(MatchData[Team],MatchData[[#This Row],[Team]],MatchData[Sally Port Available])</f>
        <v>3</v>
      </c>
      <c r="CJ48" s="14">
        <f>SUMIF(MatchData[Team],MatchData[[#This Row],[Team]],MatchData[Rock Wall Available])</f>
        <v>3</v>
      </c>
      <c r="CK48" s="14">
        <f>SUMIF(MatchData[Team],MatchData[[#This Row],[Team]],MatchData[Rough Terrain Available])</f>
        <v>2</v>
      </c>
      <c r="CL48" s="14">
        <f>SUMIF(MatchData[Team],MatchData[[#This Row],[Team]],MatchData[Low Bar Available])</f>
        <v>5</v>
      </c>
      <c r="CM48" s="14">
        <f ca="1">SUMIF(MatchData[Team],MatchData[[#This Row],[Team]],MatchData[Portcullis Teleop Crossings])</f>
        <v>0</v>
      </c>
      <c r="CN48" s="14">
        <f ca="1">SUMIF(MatchData[Team],MatchData[[#This Row],[Team]],MatchData[Cheval Teleop Crossings])</f>
        <v>7</v>
      </c>
      <c r="CO48" s="14">
        <f ca="1">SUMIF(MatchData[Team],MatchData[[#This Row],[Team]],MatchData[Moat Teleop Crossings])</f>
        <v>12</v>
      </c>
      <c r="CP48" s="14">
        <f ca="1">SUMIF(MatchData[Team],MatchData[[#This Row],[Team]],MatchData[Ramparts Teleop Crossings])</f>
        <v>0</v>
      </c>
      <c r="CQ48" s="14">
        <f ca="1">SUMIF(MatchData[Team],MatchData[[#This Row],[Team]],MatchData[Drawbridge Teleop Crossings])</f>
        <v>6</v>
      </c>
      <c r="CR48" s="14">
        <f ca="1">SUMIF(MatchData[Team],MatchData[[#This Row],[Team]],MatchData[Sally Port Teleop Crossings])</f>
        <v>6</v>
      </c>
      <c r="CS48" s="14">
        <f ca="1">SUMIF(MatchData[Team],MatchData[[#This Row],[Team]],MatchData[Rock Wall Teleop Crossings])</f>
        <v>7</v>
      </c>
      <c r="CT48" s="14">
        <f ca="1">SUMIF(MatchData[Team],MatchData[[#This Row],[Team]],MatchData[Rough Terrain Teleop Crossings])</f>
        <v>5</v>
      </c>
      <c r="CU48" s="14">
        <f ca="1">SUMIF(MatchData[Team],MatchData[[#This Row],[Team]],MatchData[Low Bar Teleop Crossings])</f>
        <v>11</v>
      </c>
      <c r="CV48" s="14">
        <f ca="1">IFERROR(ROUND(MatchData[[#This Row],[Portcullis Sum]]/MatchData[[#This Row],[Portcullis Avail Count]],2),0)</f>
        <v>0</v>
      </c>
      <c r="CW48">
        <f ca="1">IFERROR(ROUND(MatchData[[#This Row],[Cheval Sum]]/MatchData[[#This Row],[Cheval Avail Count]],2),0)</f>
        <v>1.75</v>
      </c>
      <c r="CX48">
        <f ca="1">IFERROR(ROUND(MatchData[[#This Row],[Moat Sum]]/MatchData[[#This Row],[Moat Avail Count]],2),0)</f>
        <v>3</v>
      </c>
      <c r="CY48">
        <f ca="1">IFERROR(ROUND(MatchData[[#This Row],[Ramparts Sum]]/MatchData[[#This Row],[Ramparts Avail Count]],2),0)</f>
        <v>0</v>
      </c>
      <c r="CZ48">
        <f ca="1">IFERROR(ROUND(MatchData[[#This Row],[Drawbridge Sum]]/MatchData[[#This Row],[Drawbridge HAvail Countigh6]],2),0)</f>
        <v>3</v>
      </c>
      <c r="DA48">
        <f ca="1">IFERROR(ROUND(MatchData[[#This Row],[Sally Port Sum]]/MatchData[[#This Row],[Sally Port Avail Count]],2),0)</f>
        <v>2</v>
      </c>
      <c r="DB48">
        <f ca="1">IFERROR(ROUND(MatchData[[#This Row],[Rock Wall Sum]]/MatchData[[#This Row],[Rock Wall Avail Count]],2),0)</f>
        <v>2.33</v>
      </c>
      <c r="DC48">
        <f ca="1">IFERROR(ROUND(MatchData[[#This Row],[Rough Terrain Sum]]/MatchData[[#This Row],[Rough Terrain Avail Count]],2),0)</f>
        <v>2.5</v>
      </c>
      <c r="DD48">
        <f ca="1">IFERROR(ROUND(MatchData[[#This Row],[Low Bar Sum]]/MatchData[[#This Row],[Low Bar Avail Count]],2),0)</f>
        <v>2.2000000000000002</v>
      </c>
      <c r="DE48" s="14">
        <f t="array" aca="1" ref="DE48" ca="1">MAX(IF(C$4:C$75=C48,BE$4:BE$75))</f>
        <v>6</v>
      </c>
      <c r="DF48" s="14">
        <f ca="1">AVERAGEIF(MatchData[Team],MatchData[Team],MatchData[Total Score])</f>
        <v>71.2</v>
      </c>
      <c r="DG48" s="14">
        <f ca="1">ROUND(AVERAGEIF(MatchData[Team],MatchData[Team],MatchData[Climb or Challenge Flag]),2)</f>
        <v>0.8</v>
      </c>
    </row>
    <row r="49" spans="1:111">
      <c r="A49" t="s">
        <v>54</v>
      </c>
      <c r="B49" s="4">
        <v>11</v>
      </c>
      <c r="C49">
        <v>1009</v>
      </c>
      <c r="D49" t="s">
        <v>55</v>
      </c>
      <c r="E49" t="s">
        <v>61</v>
      </c>
      <c r="F49">
        <f ca="1">IF(MatchData[[#This Row],[Persona]] = 4,RANDBETWEEN(0,1),0)</f>
        <v>0</v>
      </c>
      <c r="G49">
        <f ca="1">IF(MatchData[[#This Row],[Persona]] = 3,RANDBETWEEN(0,1),0)</f>
        <v>0</v>
      </c>
      <c r="H49">
        <f ca="1">RANDBETWEEN(MatchData[[#This Row],[High Goal Low]],MatchData[[#This Row],[High Goal High]])</f>
        <v>3</v>
      </c>
      <c r="I49">
        <f ca="1">RANDBETWEEN(MatchData[[#This Row],[Low Goal Low]],MatchData[[#This Row],[Low Goal High]])</f>
        <v>3</v>
      </c>
      <c r="J49" s="6">
        <v>1</v>
      </c>
      <c r="K49" s="6"/>
      <c r="L49" s="6"/>
      <c r="M49" s="6">
        <v>1</v>
      </c>
      <c r="N49" s="6"/>
      <c r="O49" s="6">
        <v>1</v>
      </c>
      <c r="P49" s="6">
        <v>1</v>
      </c>
      <c r="Q49" s="5"/>
      <c r="R49" s="5">
        <v>1</v>
      </c>
      <c r="S49" s="5">
        <f ca="1">IF(MatchData[[#This Row],[Auto Crossing Test Generator]]=0,RANDBETWEEN(0,1),0)</f>
        <v>1</v>
      </c>
      <c r="T49" s="5">
        <f ca="1">IF(MatchData[Auto Crossing Test Generator]=1,1,0)</f>
        <v>0</v>
      </c>
      <c r="U49" s="5">
        <f ca="1">IF(MatchData[[#This Row],[Auto Crossing Test Generator]]=2,RANDBETWEEN(0,1),0)</f>
        <v>0</v>
      </c>
      <c r="V49" s="5">
        <f ca="1">IF(MatchData[[#This Row],[Auto Crossing Test Generator]]=3,RANDBETWEEN(0,1),0)</f>
        <v>0</v>
      </c>
      <c r="W49" s="5">
        <f ca="1">IF(MatchData[[#This Row],[Auto Crossing Test Generator]]=4,RANDBETWEEN(0,1),0)</f>
        <v>0</v>
      </c>
      <c r="X49" s="5">
        <f ca="1">IF(MatchData[[#This Row],[Auto Crossing Test Generator]]=5,RANDBETWEEN(0,1),0)</f>
        <v>0</v>
      </c>
      <c r="Y49" s="5">
        <f ca="1">IF(MatchData[[#This Row],[Auto Crossing Test Generator]]=6,RANDBETWEEN(0,1),0)</f>
        <v>0</v>
      </c>
      <c r="Z49" s="5">
        <f ca="1">IF(MatchData[[#This Row],[Auto Crossing Test Generator]]=7,RANDBETWEEN(0,1),0)</f>
        <v>0</v>
      </c>
      <c r="AA49" s="5">
        <f ca="1">IF(MatchData[[#This Row],[Auto Crossing Test Generator]]=8,RANDBETWEEN(0,1),0)</f>
        <v>0</v>
      </c>
      <c r="AB49" s="5">
        <f ca="1">IF(MatchData[[#This Row],[Auto Crossing Test Generator]]&gt;8,RANDBETWEEN(0,1),0)</f>
        <v>0</v>
      </c>
      <c r="AC49" s="5">
        <f ca="1">IF(MatchData[[#This Row],[Auto Crossing Test Generator]]=9,RANDBETWEEN(0,1),0)</f>
        <v>0</v>
      </c>
      <c r="AD49" s="5">
        <f ca="1">IF(MatchData[[#This Row],[Cheval Available]]=1,RANDBETWEEN(0,MatchData[[#This Row],[Cheval High]]),0)</f>
        <v>0</v>
      </c>
      <c r="AE49" s="5">
        <f ca="1">IF(MatchData[[#This Row],[Moat Available]]=1,RANDBETWEEN(0,MatchData[[#This Row],[Moat High]]),0)</f>
        <v>0</v>
      </c>
      <c r="AF49" s="5">
        <f ca="1">IF(MatchData[[#This Row],[Ramparts Available]]=1,RANDBETWEEN(0,MatchData[[#This Row],[Ramparts High]]),0)</f>
        <v>0</v>
      </c>
      <c r="AG49" s="5">
        <f ca="1">IF(MatchData[[#This Row],[Drawbridge Available]]=1,RANDBETWEEN(0,MatchData[[#This Row],[Drawbridge High]]),0)</f>
        <v>0</v>
      </c>
      <c r="AH49" s="5">
        <f ca="1">IF(MatchData[[#This Row],[Sally Port Available]]=1,RANDBETWEEN(0,MatchData[[#This Row],[Sally Port High]]),0)</f>
        <v>1</v>
      </c>
      <c r="AI49" s="5">
        <f ca="1">IF(MatchData[[#This Row],[Rock Wall Available]]=1,RANDBETWEEN(0,MatchData[[#This Row],[Rock Wall High]]),0)</f>
        <v>1</v>
      </c>
      <c r="AJ49" s="5">
        <f ca="1">IF(MatchData[[#This Row],[Rough Terrain Available]]=1,RANDBETWEEN(0,MatchData[[#This Row],[Rough Terrain High]]),0)</f>
        <v>0</v>
      </c>
      <c r="AK49" s="5">
        <f ca="1">IF(MatchData[[#This Row],[Low Bar Available]]=1,RANDBETWEEN(0,MatchData[[#This Row],[Low Bar High]]),0)</f>
        <v>4</v>
      </c>
      <c r="AL49" s="5">
        <f ca="1">IF(MatchData[Cheval Teleop Crossings]&gt;3,10, MatchData[Cheval Teleop Crossings]*5)</f>
        <v>0</v>
      </c>
      <c r="AM49" s="5">
        <f ca="1">IF(MatchData[Moat Teleop Crossings]&gt;3,10, MatchData[Moat Teleop Crossings]*5)</f>
        <v>0</v>
      </c>
      <c r="AN49" s="5">
        <f ca="1">IF(MatchData[Ramparts Teleop Crossings]&gt;3,10, MatchData[Ramparts Teleop Crossings]*5)</f>
        <v>0</v>
      </c>
      <c r="AO49" s="5">
        <f ca="1">IF(MatchData[Drawbridge Teleop Crossings]&gt;3,10, MatchData[Drawbridge Teleop Crossings]*5)</f>
        <v>0</v>
      </c>
      <c r="AP49" s="5">
        <f ca="1">IF(MatchData[Sally Port Teleop Crossings]&gt;3,10, MatchData[Sally Port Teleop Crossings]*5)</f>
        <v>5</v>
      </c>
      <c r="AQ49" s="5">
        <f ca="1">IF(MatchData[Rock Wall Teleop Crossings]&gt;3,10, MatchData[Rock Wall Teleop Crossings]*5)</f>
        <v>5</v>
      </c>
      <c r="AR49" s="5">
        <f ca="1">IF(MatchData[Rough Terrain Teleop Crossings]&gt;3,10, MatchData[Rough Terrain Teleop Crossings]*5)</f>
        <v>0</v>
      </c>
      <c r="AS49" s="5">
        <f ca="1">IF(MatchData[Low Bar Teleop Crossings]&gt;3,10, MatchData[Low Bar Teleop Crossings]*5)</f>
        <v>10</v>
      </c>
      <c r="AT49" s="5">
        <f ca="1">SUM(MatchData[[#This Row],[Portcullis Teleop Crossings]:[Low Bar Teleop Crossings]])</f>
        <v>6</v>
      </c>
      <c r="AU49" s="5">
        <f ca="1">IF(RANDBETWEEN(1,4)&gt;1,1,0)</f>
        <v>1</v>
      </c>
      <c r="AV49" s="5">
        <f ca="1">IF(MatchData[[#This Row],[Challenge Flag]]=1,0,IF(MatchData[[#This Row],[Climber]]=1,RANDBETWEEN(0,1),0))</f>
        <v>0</v>
      </c>
      <c r="AW49" s="5">
        <f ca="1">IF(MatchData[[#This Row],[Crossing Score]]&gt;=40,1,0)</f>
        <v>0</v>
      </c>
      <c r="AX49" s="5"/>
      <c r="AY49" s="5">
        <f ca="1">IF(RANDBETWEEN(1,100)&gt;95,1,0)</f>
        <v>0</v>
      </c>
      <c r="AZ49" s="5">
        <f ca="1">IF(RANDBETWEEN(1,100)&gt;80,1,0)</f>
        <v>1</v>
      </c>
      <c r="BA49" s="5">
        <f ca="1">IF(OR(MatchData[[#This Row],[Challenge Flag]],MatchData[[#This Row],[Climb Flag]]),1,0)</f>
        <v>1</v>
      </c>
      <c r="BB49" s="5">
        <f ca="1">MatchData[Auto High Goals]*10+MatchData[Teleop High Goals]*5</f>
        <v>15</v>
      </c>
      <c r="BC49" s="5">
        <f ca="1">MatchData[Auto Low Goals]*5+MatchData[Teleop Low Goals]*2</f>
        <v>6</v>
      </c>
      <c r="BD49" s="5">
        <f ca="1">MatchData[High Goal Score]+MatchData[Low Goal Score]</f>
        <v>21</v>
      </c>
      <c r="BE49" s="5">
        <f ca="1">MatchData[Teleop High Goals]+MatchData[Teleop Low Goals]</f>
        <v>6</v>
      </c>
      <c r="BF49" s="5">
        <f ca="1">MatchData[[#This Row],[Auto Reach Flag]]*2+SUM(MatchData[[#This Row],[Portcullis Auto Crossings]:[Low Bar Auto Crossings]])*10+MatchData[[#This Row],[Auto Low Goals]]*5+MatchData[Auto High Goals]*10</f>
        <v>2</v>
      </c>
      <c r="BG49" s="5">
        <f ca="1">SUM(MatchData[[#This Row],[Cheval Scored Teleop Crossings]:[Low Bar Scored Teleop Crossings]])</f>
        <v>20</v>
      </c>
      <c r="BH49" s="5">
        <f ca="1">MatchData[Challenge Flag]*5</f>
        <v>5</v>
      </c>
      <c r="BI49" s="5">
        <f ca="1">MatchData[Climb Flag]*15</f>
        <v>0</v>
      </c>
      <c r="BJ49" s="5">
        <f ca="1">SUM(MatchData[[#This Row],[Total Goal Score]],MatchData[[#This Row],[Crossing Score]],MatchData[[#This Row],[Challenge Score]],MatchData[[#This Row],[Climb Score]],MatchData[[#This Row],[Total Auto Score]])</f>
        <v>48</v>
      </c>
      <c r="BK49">
        <v>4</v>
      </c>
      <c r="BL49" s="5">
        <f ca="1">IF(RANDBETWEEN(0,10)&gt;=9,RANDBETWEEN(1,9),0)</f>
        <v>0</v>
      </c>
      <c r="BM49" s="5">
        <f>VLOOKUP(MatchData[[#This Row],[Persona]],Personas!$A$2:$O$5,3)</f>
        <v>1</v>
      </c>
      <c r="BN49" s="13">
        <f>VLOOKUP(MatchData[[#This Row],[Persona]],Personas!$A$2:$P$5,4)</f>
        <v>4</v>
      </c>
      <c r="BO49" s="13">
        <f>VLOOKUP(MatchData[[#This Row],[Persona]],Personas!$A$2:$P$5,5)</f>
        <v>1</v>
      </c>
      <c r="BP49" s="13">
        <f>VLOOKUP(MatchData[[#This Row],[Persona]],Personas!$A$2:$P$5,6)</f>
        <v>4</v>
      </c>
      <c r="BQ49" s="13">
        <f>VLOOKUP(MatchData[[#This Row],[Persona]],Personas!$A$2:$P$5,7)</f>
        <v>3</v>
      </c>
      <c r="BR49" s="13">
        <f>VLOOKUP(MatchData[[#This Row],[Persona]],Personas!$A$2:$P$5,8)</f>
        <v>3</v>
      </c>
      <c r="BS49" s="13">
        <f>VLOOKUP(MatchData[[#This Row],[Persona]],Personas!$A$2:$P$5,9)</f>
        <v>4</v>
      </c>
      <c r="BT49" s="13">
        <f>VLOOKUP(MatchData[[#This Row],[Persona]],Personas!$A$2:$P$5,10)</f>
        <v>4</v>
      </c>
      <c r="BU49" s="13">
        <f>VLOOKUP(MatchData[[#This Row],[Persona]],Personas!$A$2:$P$5,11)</f>
        <v>3</v>
      </c>
      <c r="BV49" s="13">
        <f>VLOOKUP(MatchData[[#This Row],[Persona]],Personas!$A$2:$P$5,12)</f>
        <v>3</v>
      </c>
      <c r="BW49" s="13">
        <f>VLOOKUP(MatchData[[#This Row],[Persona]],Personas!$A$2:$P$5,13)</f>
        <v>4</v>
      </c>
      <c r="BX49" s="13">
        <f>VLOOKUP(MatchData[[#This Row],[Persona]],Personas!$A$2:$P$5,14)</f>
        <v>4</v>
      </c>
      <c r="BY49" s="13">
        <f>VLOOKUP(MatchData[[#This Row],[Persona]],Personas!$A$2:$P$5,15)</f>
        <v>5</v>
      </c>
      <c r="BZ49" s="13">
        <f>VLOOKUP(MatchData[[#This Row],[Persona]],Personas!$A$2:$P$5,16)</f>
        <v>0</v>
      </c>
      <c r="CA49" s="14">
        <f ca="1">ROUND(SUMIF(MatchData[Team],MatchData[[#This Row],[Team]],MatchData[Teleop Low Goals])/COUNTIF(MatchData[Team],MatchData[[#This Row],[Team]]),2)</f>
        <v>2</v>
      </c>
      <c r="CB49" s="14">
        <f ca="1">ROUND(SUMIF(MatchData[Team],MatchData[[#This Row],[Team]],MatchData[Teleop High Goals])/COUNTIF(MatchData[Team],MatchData[[#This Row],[Team]]),2)</f>
        <v>2</v>
      </c>
      <c r="CC49" s="14">
        <f>COUNTIF(MatchData[Team],MatchData[[#This Row],[Team]])</f>
        <v>5</v>
      </c>
      <c r="CD49" s="14">
        <f>SUMIF(MatchData[Team],MatchData[[#This Row],[Team]],MatchData[Portcullis Available])</f>
        <v>1</v>
      </c>
      <c r="CE49" s="14">
        <f>SUMIF(MatchData[Team],MatchData[[#This Row],[Team]],MatchData[Cheval Available])</f>
        <v>4</v>
      </c>
      <c r="CF49" s="14">
        <f>SUMIF(MatchData[Team],MatchData[[#This Row],[Team]],MatchData[Moat Available])</f>
        <v>4</v>
      </c>
      <c r="CG49" s="14">
        <f>SUMIF(MatchData[Team],MatchData[[#This Row],[Team]],MatchData[Ramparts Available])</f>
        <v>1</v>
      </c>
      <c r="CH49" s="14">
        <f>SUMIF(MatchData[Team],MatchData[[#This Row],[Team]],MatchData[Drawbridge Available])</f>
        <v>2</v>
      </c>
      <c r="CI49" s="14">
        <f>SUMIF(MatchData[Team],MatchData[[#This Row],[Team]],MatchData[Sally Port Available])</f>
        <v>3</v>
      </c>
      <c r="CJ49" s="14">
        <f>SUMIF(MatchData[Team],MatchData[[#This Row],[Team]],MatchData[Rock Wall Available])</f>
        <v>3</v>
      </c>
      <c r="CK49" s="14">
        <f>SUMIF(MatchData[Team],MatchData[[#This Row],[Team]],MatchData[Rough Terrain Available])</f>
        <v>2</v>
      </c>
      <c r="CL49" s="14">
        <f>SUMIF(MatchData[Team],MatchData[[#This Row],[Team]],MatchData[Low Bar Available])</f>
        <v>5</v>
      </c>
      <c r="CM49" s="14">
        <f ca="1">SUMIF(MatchData[Team],MatchData[[#This Row],[Team]],MatchData[Portcullis Teleop Crossings])</f>
        <v>0</v>
      </c>
      <c r="CN49" s="14">
        <f ca="1">SUMIF(MatchData[Team],MatchData[[#This Row],[Team]],MatchData[Cheval Teleop Crossings])</f>
        <v>7</v>
      </c>
      <c r="CO49" s="14">
        <f ca="1">SUMIF(MatchData[Team],MatchData[[#This Row],[Team]],MatchData[Moat Teleop Crossings])</f>
        <v>12</v>
      </c>
      <c r="CP49" s="14">
        <f ca="1">SUMIF(MatchData[Team],MatchData[[#This Row],[Team]],MatchData[Ramparts Teleop Crossings])</f>
        <v>0</v>
      </c>
      <c r="CQ49" s="14">
        <f ca="1">SUMIF(MatchData[Team],MatchData[[#This Row],[Team]],MatchData[Drawbridge Teleop Crossings])</f>
        <v>6</v>
      </c>
      <c r="CR49" s="14">
        <f ca="1">SUMIF(MatchData[Team],MatchData[[#This Row],[Team]],MatchData[Sally Port Teleop Crossings])</f>
        <v>6</v>
      </c>
      <c r="CS49" s="14">
        <f ca="1">SUMIF(MatchData[Team],MatchData[[#This Row],[Team]],MatchData[Rock Wall Teleop Crossings])</f>
        <v>7</v>
      </c>
      <c r="CT49" s="14">
        <f ca="1">SUMIF(MatchData[Team],MatchData[[#This Row],[Team]],MatchData[Rough Terrain Teleop Crossings])</f>
        <v>5</v>
      </c>
      <c r="CU49" s="14">
        <f ca="1">SUMIF(MatchData[Team],MatchData[[#This Row],[Team]],MatchData[Low Bar Teleop Crossings])</f>
        <v>11</v>
      </c>
      <c r="CV49" s="14">
        <f ca="1">IFERROR(ROUND(MatchData[[#This Row],[Portcullis Sum]]/MatchData[[#This Row],[Portcullis Avail Count]],2),0)</f>
        <v>0</v>
      </c>
      <c r="CW49">
        <f ca="1">IFERROR(ROUND(MatchData[[#This Row],[Cheval Sum]]/MatchData[[#This Row],[Cheval Avail Count]],2),0)</f>
        <v>1.75</v>
      </c>
      <c r="CX49">
        <f ca="1">IFERROR(ROUND(MatchData[[#This Row],[Moat Sum]]/MatchData[[#This Row],[Moat Avail Count]],2),0)</f>
        <v>3</v>
      </c>
      <c r="CY49">
        <f ca="1">IFERROR(ROUND(MatchData[[#This Row],[Ramparts Sum]]/MatchData[[#This Row],[Ramparts Avail Count]],2),0)</f>
        <v>0</v>
      </c>
      <c r="CZ49">
        <f ca="1">IFERROR(ROUND(MatchData[[#This Row],[Drawbridge Sum]]/MatchData[[#This Row],[Drawbridge HAvail Countigh6]],2),0)</f>
        <v>3</v>
      </c>
      <c r="DA49">
        <f ca="1">IFERROR(ROUND(MatchData[[#This Row],[Sally Port Sum]]/MatchData[[#This Row],[Sally Port Avail Count]],2),0)</f>
        <v>2</v>
      </c>
      <c r="DB49">
        <f ca="1">IFERROR(ROUND(MatchData[[#This Row],[Rock Wall Sum]]/MatchData[[#This Row],[Rock Wall Avail Count]],2),0)</f>
        <v>2.33</v>
      </c>
      <c r="DC49">
        <f ca="1">IFERROR(ROUND(MatchData[[#This Row],[Rough Terrain Sum]]/MatchData[[#This Row],[Rough Terrain Avail Count]],2),0)</f>
        <v>2.5</v>
      </c>
      <c r="DD49">
        <f ca="1">IFERROR(ROUND(MatchData[[#This Row],[Low Bar Sum]]/MatchData[[#This Row],[Low Bar Avail Count]],2),0)</f>
        <v>2.2000000000000002</v>
      </c>
      <c r="DE49" s="14">
        <f t="array" aca="1" ref="DE49" ca="1">MAX(IF(C$4:C$75=C49,BE$4:BE$75))</f>
        <v>6</v>
      </c>
      <c r="DF49" s="14">
        <f ca="1">AVERAGEIF(MatchData[Team],MatchData[Team],MatchData[Total Score])</f>
        <v>71.2</v>
      </c>
      <c r="DG49" s="14">
        <f ca="1">ROUND(AVERAGEIF(MatchData[Team],MatchData[Team],MatchData[Climb or Challenge Flag]),2)</f>
        <v>0.8</v>
      </c>
    </row>
    <row r="50" spans="1:111">
      <c r="A50" t="s">
        <v>54</v>
      </c>
      <c r="B50" s="4">
        <v>2</v>
      </c>
      <c r="C50">
        <v>1010</v>
      </c>
      <c r="D50" t="s">
        <v>56</v>
      </c>
      <c r="E50" t="s">
        <v>58</v>
      </c>
      <c r="F50">
        <f ca="1">IF(MatchData[[#This Row],[Persona]] = 4,RANDBETWEEN(0,1),0)</f>
        <v>0</v>
      </c>
      <c r="G50">
        <f ca="1">IF(MatchData[[#This Row],[Persona]] = 3,RANDBETWEEN(0,1),0)</f>
        <v>0</v>
      </c>
      <c r="H50">
        <f ca="1">RANDBETWEEN(MatchData[[#This Row],[High Goal Low]],MatchData[[#This Row],[High Goal High]])</f>
        <v>0</v>
      </c>
      <c r="I50">
        <f ca="1">RANDBETWEEN(MatchData[[#This Row],[Low Goal Low]],MatchData[[#This Row],[Low Goal High]])</f>
        <v>0</v>
      </c>
      <c r="J50" s="6"/>
      <c r="K50" s="6">
        <v>1</v>
      </c>
      <c r="L50" s="6">
        <v>1</v>
      </c>
      <c r="M50" s="6"/>
      <c r="N50" s="6">
        <v>1</v>
      </c>
      <c r="O50" s="6"/>
      <c r="P50" s="6"/>
      <c r="Q50" s="5">
        <v>1</v>
      </c>
      <c r="R50" s="5">
        <v>1</v>
      </c>
      <c r="S50" s="5">
        <f ca="1">IF(MatchData[[#This Row],[Auto Crossing Test Generator]]=0,RANDBETWEEN(0,1),0)</f>
        <v>0</v>
      </c>
      <c r="T50" s="5">
        <f ca="1">IF(MatchData[Auto Crossing Test Generator]=1,1,0)</f>
        <v>0</v>
      </c>
      <c r="U50" s="5">
        <f ca="1">IF(MatchData[[#This Row],[Auto Crossing Test Generator]]=2,RANDBETWEEN(0,1),0)</f>
        <v>0</v>
      </c>
      <c r="V50" s="5">
        <f ca="1">IF(MatchData[[#This Row],[Auto Crossing Test Generator]]=3,RANDBETWEEN(0,1),0)</f>
        <v>0</v>
      </c>
      <c r="W50" s="5">
        <f ca="1">IF(MatchData[[#This Row],[Auto Crossing Test Generator]]=4,RANDBETWEEN(0,1),0)</f>
        <v>0</v>
      </c>
      <c r="X50" s="5">
        <f ca="1">IF(MatchData[[#This Row],[Auto Crossing Test Generator]]=5,RANDBETWEEN(0,1),0)</f>
        <v>0</v>
      </c>
      <c r="Y50" s="5">
        <f ca="1">IF(MatchData[[#This Row],[Auto Crossing Test Generator]]=6,RANDBETWEEN(0,1),0)</f>
        <v>0</v>
      </c>
      <c r="Z50" s="5">
        <f ca="1">IF(MatchData[[#This Row],[Auto Crossing Test Generator]]=7,RANDBETWEEN(0,1),0)</f>
        <v>0</v>
      </c>
      <c r="AA50" s="5">
        <f ca="1">IF(MatchData[[#This Row],[Auto Crossing Test Generator]]=8,RANDBETWEEN(0,1),0)</f>
        <v>0</v>
      </c>
      <c r="AB50" s="5">
        <f ca="1">IF(MatchData[[#This Row],[Auto Crossing Test Generator]]&gt;8,RANDBETWEEN(0,1),0)</f>
        <v>0</v>
      </c>
      <c r="AC50" s="5">
        <f ca="1">IF(MatchData[[#This Row],[Auto Crossing Test Generator]]=9,RANDBETWEEN(0,1),0)</f>
        <v>0</v>
      </c>
      <c r="AD50" s="5">
        <f ca="1">IF(MatchData[[#This Row],[Cheval Available]]=1,RANDBETWEEN(0,MatchData[[#This Row],[Cheval High]]),0)</f>
        <v>0</v>
      </c>
      <c r="AE50" s="5">
        <f ca="1">IF(MatchData[[#This Row],[Moat Available]]=1,RANDBETWEEN(0,MatchData[[#This Row],[Moat High]]),0)</f>
        <v>2</v>
      </c>
      <c r="AF50" s="5">
        <f ca="1">IF(MatchData[[#This Row],[Ramparts Available]]=1,RANDBETWEEN(0,MatchData[[#This Row],[Ramparts High]]),0)</f>
        <v>0</v>
      </c>
      <c r="AG50" s="5">
        <f ca="1">IF(MatchData[[#This Row],[Drawbridge Available]]=1,RANDBETWEEN(0,MatchData[[#This Row],[Drawbridge High]]),0)</f>
        <v>0</v>
      </c>
      <c r="AH50" s="5">
        <f ca="1">IF(MatchData[[#This Row],[Sally Port Available]]=1,RANDBETWEEN(0,MatchData[[#This Row],[Sally Port High]]),0)</f>
        <v>0</v>
      </c>
      <c r="AI50" s="5">
        <f ca="1">IF(MatchData[[#This Row],[Rock Wall Available]]=1,RANDBETWEEN(0,MatchData[[#This Row],[Rock Wall High]]),0)</f>
        <v>0</v>
      </c>
      <c r="AJ50" s="5">
        <f ca="1">IF(MatchData[[#This Row],[Rough Terrain Available]]=1,RANDBETWEEN(0,MatchData[[#This Row],[Rough Terrain High]]),0)</f>
        <v>0</v>
      </c>
      <c r="AK50" s="5">
        <f ca="1">IF(MatchData[[#This Row],[Low Bar Available]]=1,RANDBETWEEN(0,MatchData[[#This Row],[Low Bar High]]),0)</f>
        <v>0</v>
      </c>
      <c r="AL50" s="5">
        <f ca="1">IF(MatchData[Cheval Teleop Crossings]&gt;3,10, MatchData[Cheval Teleop Crossings]*5)</f>
        <v>0</v>
      </c>
      <c r="AM50" s="5">
        <f ca="1">IF(MatchData[Moat Teleop Crossings]&gt;3,10, MatchData[Moat Teleop Crossings]*5)</f>
        <v>10</v>
      </c>
      <c r="AN50" s="5">
        <f ca="1">IF(MatchData[Ramparts Teleop Crossings]&gt;3,10, MatchData[Ramparts Teleop Crossings]*5)</f>
        <v>0</v>
      </c>
      <c r="AO50" s="5">
        <f ca="1">IF(MatchData[Drawbridge Teleop Crossings]&gt;3,10, MatchData[Drawbridge Teleop Crossings]*5)</f>
        <v>0</v>
      </c>
      <c r="AP50" s="5">
        <f ca="1">IF(MatchData[Sally Port Teleop Crossings]&gt;3,10, MatchData[Sally Port Teleop Crossings]*5)</f>
        <v>0</v>
      </c>
      <c r="AQ50" s="5">
        <f ca="1">IF(MatchData[Rock Wall Teleop Crossings]&gt;3,10, MatchData[Rock Wall Teleop Crossings]*5)</f>
        <v>0</v>
      </c>
      <c r="AR50" s="5">
        <f ca="1">IF(MatchData[Rough Terrain Teleop Crossings]&gt;3,10, MatchData[Rough Terrain Teleop Crossings]*5)</f>
        <v>0</v>
      </c>
      <c r="AS50" s="5">
        <f ca="1">IF(MatchData[Low Bar Teleop Crossings]&gt;3,10, MatchData[Low Bar Teleop Crossings]*5)</f>
        <v>0</v>
      </c>
      <c r="AT50" s="5">
        <f ca="1">SUM(MatchData[[#This Row],[Portcullis Teleop Crossings]:[Low Bar Teleop Crossings]])</f>
        <v>2</v>
      </c>
      <c r="AU50" s="5">
        <f ca="1">IF(RANDBETWEEN(1,4)&gt;1,1,0)</f>
        <v>1</v>
      </c>
      <c r="AV50" s="5">
        <f ca="1">IF(MatchData[[#This Row],[Challenge Flag]]=1,0,IF(MatchData[[#This Row],[Climber]]=1,RANDBETWEEN(0,1),0))</f>
        <v>0</v>
      </c>
      <c r="AW50" s="5">
        <f ca="1">IF(MatchData[[#This Row],[Crossing Score]]&gt;=40,1,0)</f>
        <v>0</v>
      </c>
      <c r="AX50" s="5"/>
      <c r="AY50" s="5">
        <f ca="1">IF(RANDBETWEEN(1,100)&gt;95,1,0)</f>
        <v>0</v>
      </c>
      <c r="AZ50" s="5">
        <f ca="1">IF(RANDBETWEEN(1,100)&gt;80,1,0)</f>
        <v>0</v>
      </c>
      <c r="BA50" s="5">
        <f ca="1">IF(OR(MatchData[[#This Row],[Challenge Flag]],MatchData[[#This Row],[Climb Flag]]),1,0)</f>
        <v>1</v>
      </c>
      <c r="BB50" s="5">
        <f ca="1">MatchData[Auto High Goals]*10+MatchData[Teleop High Goals]*5</f>
        <v>0</v>
      </c>
      <c r="BC50" s="5">
        <f ca="1">MatchData[Auto Low Goals]*5+MatchData[Teleop Low Goals]*2</f>
        <v>0</v>
      </c>
      <c r="BD50" s="5">
        <f ca="1">MatchData[High Goal Score]+MatchData[Low Goal Score]</f>
        <v>0</v>
      </c>
      <c r="BE50" s="5">
        <f ca="1">MatchData[Teleop High Goals]+MatchData[Teleop Low Goals]</f>
        <v>0</v>
      </c>
      <c r="BF50" s="5">
        <f ca="1">MatchData[[#This Row],[Auto Reach Flag]]*2+SUM(MatchData[[#This Row],[Portcullis Auto Crossings]:[Low Bar Auto Crossings]])*10+MatchData[[#This Row],[Auto Low Goals]]*5+MatchData[Auto High Goals]*10</f>
        <v>0</v>
      </c>
      <c r="BG50" s="5">
        <f ca="1">SUM(MatchData[[#This Row],[Cheval Scored Teleop Crossings]:[Low Bar Scored Teleop Crossings]])</f>
        <v>10</v>
      </c>
      <c r="BH50" s="5">
        <f ca="1">MatchData[Challenge Flag]*5</f>
        <v>5</v>
      </c>
      <c r="BI50" s="5">
        <f ca="1">MatchData[Climb Flag]*15</f>
        <v>0</v>
      </c>
      <c r="BJ50" s="5">
        <f ca="1">SUM(MatchData[[#This Row],[Total Goal Score]],MatchData[[#This Row],[Crossing Score]],MatchData[[#This Row],[Challenge Score]],MatchData[[#This Row],[Climb Score]],MatchData[[#This Row],[Total Auto Score]])</f>
        <v>15</v>
      </c>
      <c r="BK50">
        <v>1</v>
      </c>
      <c r="BL50" s="5">
        <f ca="1">IF(RANDBETWEEN(0,10)&gt;=9,RANDBETWEEN(1,9),0)</f>
        <v>6</v>
      </c>
      <c r="BM50" s="5">
        <f>VLOOKUP(MatchData[[#This Row],[Persona]],Personas!$A$2:$O$5,3)</f>
        <v>0</v>
      </c>
      <c r="BN50" s="13">
        <f>VLOOKUP(MatchData[[#This Row],[Persona]],Personas!$A$2:$P$5,4)</f>
        <v>0</v>
      </c>
      <c r="BO50" s="13">
        <f>VLOOKUP(MatchData[[#This Row],[Persona]],Personas!$A$2:$P$5,5)</f>
        <v>0</v>
      </c>
      <c r="BP50" s="13">
        <f>VLOOKUP(MatchData[[#This Row],[Persona]],Personas!$A$2:$P$5,6)</f>
        <v>0</v>
      </c>
      <c r="BQ50" s="13">
        <f>VLOOKUP(MatchData[[#This Row],[Persona]],Personas!$A$2:$P$5,7)</f>
        <v>0</v>
      </c>
      <c r="BR50" s="13">
        <f>VLOOKUP(MatchData[[#This Row],[Persona]],Personas!$A$2:$P$5,8)</f>
        <v>0</v>
      </c>
      <c r="BS50" s="13">
        <f>VLOOKUP(MatchData[[#This Row],[Persona]],Personas!$A$2:$P$5,9)</f>
        <v>2</v>
      </c>
      <c r="BT50" s="13">
        <f>VLOOKUP(MatchData[[#This Row],[Persona]],Personas!$A$2:$P$5,10)</f>
        <v>2</v>
      </c>
      <c r="BU50" s="13">
        <f>VLOOKUP(MatchData[[#This Row],[Persona]],Personas!$A$2:$P$5,11)</f>
        <v>0</v>
      </c>
      <c r="BV50" s="13">
        <f>VLOOKUP(MatchData[[#This Row],[Persona]],Personas!$A$2:$P$5,12)</f>
        <v>0</v>
      </c>
      <c r="BW50" s="13">
        <f>VLOOKUP(MatchData[[#This Row],[Persona]],Personas!$A$2:$P$5,13)</f>
        <v>2</v>
      </c>
      <c r="BX50" s="13">
        <f>VLOOKUP(MatchData[[#This Row],[Persona]],Personas!$A$2:$P$5,14)</f>
        <v>2</v>
      </c>
      <c r="BY50" s="13">
        <f>VLOOKUP(MatchData[[#This Row],[Persona]],Personas!$A$2:$P$5,15)</f>
        <v>2</v>
      </c>
      <c r="BZ50" s="13">
        <f>VLOOKUP(MatchData[[#This Row],[Persona]],Personas!$A$2:$P$5,16)</f>
        <v>0</v>
      </c>
      <c r="CA50" s="14">
        <f ca="1">ROUND(SUMIF(MatchData[Team],MatchData[[#This Row],[Team]],MatchData[Teleop Low Goals])/COUNTIF(MatchData[Team],MatchData[[#This Row],[Team]]),2)</f>
        <v>0</v>
      </c>
      <c r="CB50" s="14">
        <f ca="1">ROUND(SUMIF(MatchData[Team],MatchData[[#This Row],[Team]],MatchData[Teleop High Goals])/COUNTIF(MatchData[Team],MatchData[[#This Row],[Team]]),2)</f>
        <v>0</v>
      </c>
      <c r="CC50" s="14">
        <f>COUNTIF(MatchData[Team],MatchData[[#This Row],[Team]])</f>
        <v>5</v>
      </c>
      <c r="CD50" s="14">
        <f>SUMIF(MatchData[Team],MatchData[[#This Row],[Team]],MatchData[Portcullis Available])</f>
        <v>2</v>
      </c>
      <c r="CE50" s="14">
        <f>SUMIF(MatchData[Team],MatchData[[#This Row],[Team]],MatchData[Cheval Available])</f>
        <v>3</v>
      </c>
      <c r="CF50" s="14">
        <f>SUMIF(MatchData[Team],MatchData[[#This Row],[Team]],MatchData[Moat Available])</f>
        <v>3</v>
      </c>
      <c r="CG50" s="14">
        <f>SUMIF(MatchData[Team],MatchData[[#This Row],[Team]],MatchData[Ramparts Available])</f>
        <v>2</v>
      </c>
      <c r="CH50" s="14">
        <f>SUMIF(MatchData[Team],MatchData[[#This Row],[Team]],MatchData[Drawbridge Available])</f>
        <v>3</v>
      </c>
      <c r="CI50" s="14">
        <f>SUMIF(MatchData[Team],MatchData[[#This Row],[Team]],MatchData[Sally Port Available])</f>
        <v>2</v>
      </c>
      <c r="CJ50" s="14">
        <f>SUMIF(MatchData[Team],MatchData[[#This Row],[Team]],MatchData[Rock Wall Available])</f>
        <v>2</v>
      </c>
      <c r="CK50" s="14">
        <f>SUMIF(MatchData[Team],MatchData[[#This Row],[Team]],MatchData[Rough Terrain Available])</f>
        <v>3</v>
      </c>
      <c r="CL50" s="14">
        <f>SUMIF(MatchData[Team],MatchData[[#This Row],[Team]],MatchData[Low Bar Available])</f>
        <v>5</v>
      </c>
      <c r="CM50" s="14">
        <f ca="1">SUMIF(MatchData[Team],MatchData[[#This Row],[Team]],MatchData[Portcullis Teleop Crossings])</f>
        <v>0</v>
      </c>
      <c r="CN50" s="14">
        <f ca="1">SUMIF(MatchData[Team],MatchData[[#This Row],[Team]],MatchData[Cheval Teleop Crossings])</f>
        <v>0</v>
      </c>
      <c r="CO50" s="14">
        <f ca="1">SUMIF(MatchData[Team],MatchData[[#This Row],[Team]],MatchData[Moat Teleop Crossings])</f>
        <v>5</v>
      </c>
      <c r="CP50" s="14">
        <f ca="1">SUMIF(MatchData[Team],MatchData[[#This Row],[Team]],MatchData[Ramparts Teleop Crossings])</f>
        <v>2</v>
      </c>
      <c r="CQ50" s="14">
        <f ca="1">SUMIF(MatchData[Team],MatchData[[#This Row],[Team]],MatchData[Drawbridge Teleop Crossings])</f>
        <v>0</v>
      </c>
      <c r="CR50" s="14">
        <f ca="1">SUMIF(MatchData[Team],MatchData[[#This Row],[Team]],MatchData[Sally Port Teleop Crossings])</f>
        <v>0</v>
      </c>
      <c r="CS50" s="14">
        <f ca="1">SUMIF(MatchData[Team],MatchData[[#This Row],[Team]],MatchData[Rock Wall Teleop Crossings])</f>
        <v>2</v>
      </c>
      <c r="CT50" s="14">
        <f ca="1">SUMIF(MatchData[Team],MatchData[[#This Row],[Team]],MatchData[Rough Terrain Teleop Crossings])</f>
        <v>4</v>
      </c>
      <c r="CU50" s="14">
        <f ca="1">SUMIF(MatchData[Team],MatchData[[#This Row],[Team]],MatchData[Low Bar Teleop Crossings])</f>
        <v>1</v>
      </c>
      <c r="CV50" s="14">
        <f ca="1">IFERROR(ROUND(MatchData[[#This Row],[Portcullis Sum]]/MatchData[[#This Row],[Portcullis Avail Count]],2),0)</f>
        <v>0</v>
      </c>
      <c r="CW50">
        <f ca="1">IFERROR(ROUND(MatchData[[#This Row],[Cheval Sum]]/MatchData[[#This Row],[Cheval Avail Count]],2),0)</f>
        <v>0</v>
      </c>
      <c r="CX50">
        <f ca="1">IFERROR(ROUND(MatchData[[#This Row],[Moat Sum]]/MatchData[[#This Row],[Moat Avail Count]],2),0)</f>
        <v>1.67</v>
      </c>
      <c r="CY50">
        <f ca="1">IFERROR(ROUND(MatchData[[#This Row],[Ramparts Sum]]/MatchData[[#This Row],[Ramparts Avail Count]],2),0)</f>
        <v>1</v>
      </c>
      <c r="CZ50">
        <f ca="1">IFERROR(ROUND(MatchData[[#This Row],[Drawbridge Sum]]/MatchData[[#This Row],[Drawbridge HAvail Countigh6]],2),0)</f>
        <v>0</v>
      </c>
      <c r="DA50">
        <f ca="1">IFERROR(ROUND(MatchData[[#This Row],[Sally Port Sum]]/MatchData[[#This Row],[Sally Port Avail Count]],2),0)</f>
        <v>0</v>
      </c>
      <c r="DB50">
        <f ca="1">IFERROR(ROUND(MatchData[[#This Row],[Rock Wall Sum]]/MatchData[[#This Row],[Rock Wall Avail Count]],2),0)</f>
        <v>1</v>
      </c>
      <c r="DC50">
        <f ca="1">IFERROR(ROUND(MatchData[[#This Row],[Rough Terrain Sum]]/MatchData[[#This Row],[Rough Terrain Avail Count]],2),0)</f>
        <v>1.33</v>
      </c>
      <c r="DD50">
        <f ca="1">IFERROR(ROUND(MatchData[[#This Row],[Low Bar Sum]]/MatchData[[#This Row],[Low Bar Avail Count]],2),0)</f>
        <v>0.2</v>
      </c>
      <c r="DE50" s="14">
        <f t="array" aca="1" ref="DE50" ca="1">MAX(IF(C$4:C$75=C50,BE$4:BE$75))</f>
        <v>0</v>
      </c>
      <c r="DF50" s="14">
        <f ca="1">AVERAGEIF(MatchData[Team],MatchData[Team],MatchData[Total Score])</f>
        <v>18.8</v>
      </c>
      <c r="DG50" s="14">
        <f ca="1">ROUND(AVERAGEIF(MatchData[Team],MatchData[Team],MatchData[Climb or Challenge Flag]),2)</f>
        <v>0.8</v>
      </c>
    </row>
    <row r="51" spans="1:111">
      <c r="A51" t="s">
        <v>54</v>
      </c>
      <c r="B51" s="4">
        <v>4</v>
      </c>
      <c r="C51">
        <v>1010</v>
      </c>
      <c r="D51" t="s">
        <v>56</v>
      </c>
      <c r="E51" t="s">
        <v>63</v>
      </c>
      <c r="F51">
        <f ca="1">IF(MatchData[[#This Row],[Persona]] = 4,RANDBETWEEN(0,1),0)</f>
        <v>0</v>
      </c>
      <c r="G51">
        <f ca="1">IF(MatchData[[#This Row],[Persona]] = 3,RANDBETWEEN(0,1),0)</f>
        <v>0</v>
      </c>
      <c r="H51">
        <f ca="1">RANDBETWEEN(MatchData[[#This Row],[High Goal Low]],MatchData[[#This Row],[High Goal High]])</f>
        <v>0</v>
      </c>
      <c r="I51">
        <f ca="1">RANDBETWEEN(MatchData[[#This Row],[Low Goal Low]],MatchData[[#This Row],[Low Goal High]])</f>
        <v>0</v>
      </c>
      <c r="J51" s="6"/>
      <c r="K51" s="6">
        <v>1</v>
      </c>
      <c r="L51" s="6">
        <v>1</v>
      </c>
      <c r="M51" s="6"/>
      <c r="N51" s="6"/>
      <c r="O51" s="6">
        <v>1</v>
      </c>
      <c r="P51" s="6">
        <v>1</v>
      </c>
      <c r="Q51" s="5"/>
      <c r="R51" s="5">
        <v>1</v>
      </c>
      <c r="S51" s="5">
        <f ca="1">IF(MatchData[[#This Row],[Auto Crossing Test Generator]]=0,RANDBETWEEN(0,1),0)</f>
        <v>0</v>
      </c>
      <c r="T51" s="5">
        <f ca="1">IF(MatchData[Auto Crossing Test Generator]=1,1,0)</f>
        <v>0</v>
      </c>
      <c r="U51" s="5">
        <f ca="1">IF(MatchData[[#This Row],[Auto Crossing Test Generator]]=2,RANDBETWEEN(0,1),0)</f>
        <v>0</v>
      </c>
      <c r="V51" s="5">
        <f ca="1">IF(MatchData[[#This Row],[Auto Crossing Test Generator]]=3,RANDBETWEEN(0,1),0)</f>
        <v>0</v>
      </c>
      <c r="W51" s="5">
        <f ca="1">IF(MatchData[[#This Row],[Auto Crossing Test Generator]]=4,RANDBETWEEN(0,1),0)</f>
        <v>0</v>
      </c>
      <c r="X51" s="5">
        <f ca="1">IF(MatchData[[#This Row],[Auto Crossing Test Generator]]=5,RANDBETWEEN(0,1),0)</f>
        <v>0</v>
      </c>
      <c r="Y51" s="5">
        <f ca="1">IF(MatchData[[#This Row],[Auto Crossing Test Generator]]=6,RANDBETWEEN(0,1),0)</f>
        <v>0</v>
      </c>
      <c r="Z51" s="5">
        <f ca="1">IF(MatchData[[#This Row],[Auto Crossing Test Generator]]=7,RANDBETWEEN(0,1),0)</f>
        <v>0</v>
      </c>
      <c r="AA51" s="5">
        <f ca="1">IF(MatchData[[#This Row],[Auto Crossing Test Generator]]=8,RANDBETWEEN(0,1),0)</f>
        <v>0</v>
      </c>
      <c r="AB51" s="5">
        <f ca="1">IF(MatchData[[#This Row],[Auto Crossing Test Generator]]&gt;8,RANDBETWEEN(0,1),0)</f>
        <v>0</v>
      </c>
      <c r="AC51" s="5">
        <f ca="1">IF(MatchData[[#This Row],[Auto Crossing Test Generator]]=9,RANDBETWEEN(0,1),0)</f>
        <v>0</v>
      </c>
      <c r="AD51" s="5">
        <f ca="1">IF(MatchData[[#This Row],[Cheval Available]]=1,RANDBETWEEN(0,MatchData[[#This Row],[Cheval High]]),0)</f>
        <v>0</v>
      </c>
      <c r="AE51" s="5">
        <f ca="1">IF(MatchData[[#This Row],[Moat Available]]=1,RANDBETWEEN(0,MatchData[[#This Row],[Moat High]]),0)</f>
        <v>1</v>
      </c>
      <c r="AF51" s="5">
        <f ca="1">IF(MatchData[[#This Row],[Ramparts Available]]=1,RANDBETWEEN(0,MatchData[[#This Row],[Ramparts High]]),0)</f>
        <v>0</v>
      </c>
      <c r="AG51" s="5">
        <f ca="1">IF(MatchData[[#This Row],[Drawbridge Available]]=1,RANDBETWEEN(0,MatchData[[#This Row],[Drawbridge High]]),0)</f>
        <v>0</v>
      </c>
      <c r="AH51" s="5">
        <f ca="1">IF(MatchData[[#This Row],[Sally Port Available]]=1,RANDBETWEEN(0,MatchData[[#This Row],[Sally Port High]]),0)</f>
        <v>0</v>
      </c>
      <c r="AI51" s="5">
        <f ca="1">IF(MatchData[[#This Row],[Rock Wall Available]]=1,RANDBETWEEN(0,MatchData[[#This Row],[Rock Wall High]]),0)</f>
        <v>1</v>
      </c>
      <c r="AJ51" s="5">
        <f ca="1">IF(MatchData[[#This Row],[Rough Terrain Available]]=1,RANDBETWEEN(0,MatchData[[#This Row],[Rough Terrain High]]),0)</f>
        <v>0</v>
      </c>
      <c r="AK51" s="5">
        <f ca="1">IF(MatchData[[#This Row],[Low Bar Available]]=1,RANDBETWEEN(0,MatchData[[#This Row],[Low Bar High]]),0)</f>
        <v>0</v>
      </c>
      <c r="AL51" s="5">
        <f ca="1">IF(MatchData[Cheval Teleop Crossings]&gt;3,10, MatchData[Cheval Teleop Crossings]*5)</f>
        <v>0</v>
      </c>
      <c r="AM51" s="5">
        <f ca="1">IF(MatchData[Moat Teleop Crossings]&gt;3,10, MatchData[Moat Teleop Crossings]*5)</f>
        <v>5</v>
      </c>
      <c r="AN51" s="5">
        <f ca="1">IF(MatchData[Ramparts Teleop Crossings]&gt;3,10, MatchData[Ramparts Teleop Crossings]*5)</f>
        <v>0</v>
      </c>
      <c r="AO51" s="5">
        <f ca="1">IF(MatchData[Drawbridge Teleop Crossings]&gt;3,10, MatchData[Drawbridge Teleop Crossings]*5)</f>
        <v>0</v>
      </c>
      <c r="AP51" s="5">
        <f ca="1">IF(MatchData[Sally Port Teleop Crossings]&gt;3,10, MatchData[Sally Port Teleop Crossings]*5)</f>
        <v>0</v>
      </c>
      <c r="AQ51" s="5">
        <f ca="1">IF(MatchData[Rock Wall Teleop Crossings]&gt;3,10, MatchData[Rock Wall Teleop Crossings]*5)</f>
        <v>5</v>
      </c>
      <c r="AR51" s="5">
        <f ca="1">IF(MatchData[Rough Terrain Teleop Crossings]&gt;3,10, MatchData[Rough Terrain Teleop Crossings]*5)</f>
        <v>0</v>
      </c>
      <c r="AS51" s="5">
        <f ca="1">IF(MatchData[Low Bar Teleop Crossings]&gt;3,10, MatchData[Low Bar Teleop Crossings]*5)</f>
        <v>0</v>
      </c>
      <c r="AT51" s="5">
        <f ca="1">SUM(MatchData[[#This Row],[Portcullis Teleop Crossings]:[Low Bar Teleop Crossings]])</f>
        <v>2</v>
      </c>
      <c r="AU51" s="5">
        <f ca="1">IF(RANDBETWEEN(1,4)&gt;1,1,0)</f>
        <v>1</v>
      </c>
      <c r="AV51" s="5">
        <f ca="1">IF(MatchData[[#This Row],[Challenge Flag]]=1,0,IF(MatchData[[#This Row],[Climber]]=1,RANDBETWEEN(0,1),0))</f>
        <v>0</v>
      </c>
      <c r="AW51" s="5">
        <f ca="1">IF(MatchData[[#This Row],[Crossing Score]]&gt;=40,1,0)</f>
        <v>0</v>
      </c>
      <c r="AX51" s="5"/>
      <c r="AY51" s="5">
        <f ca="1">IF(RANDBETWEEN(1,100)&gt;95,1,0)</f>
        <v>0</v>
      </c>
      <c r="AZ51" s="5">
        <f ca="1">IF(RANDBETWEEN(1,100)&gt;80,1,0)</f>
        <v>0</v>
      </c>
      <c r="BA51" s="5">
        <f ca="1">IF(OR(MatchData[[#This Row],[Challenge Flag]],MatchData[[#This Row],[Climb Flag]]),1,0)</f>
        <v>1</v>
      </c>
      <c r="BB51" s="5">
        <f ca="1">MatchData[Auto High Goals]*10+MatchData[Teleop High Goals]*5</f>
        <v>0</v>
      </c>
      <c r="BC51" s="5">
        <f ca="1">MatchData[Auto Low Goals]*5+MatchData[Teleop Low Goals]*2</f>
        <v>0</v>
      </c>
      <c r="BD51" s="5">
        <f ca="1">MatchData[High Goal Score]+MatchData[Low Goal Score]</f>
        <v>0</v>
      </c>
      <c r="BE51" s="5">
        <f ca="1">MatchData[Teleop High Goals]+MatchData[Teleop Low Goals]</f>
        <v>0</v>
      </c>
      <c r="BF51" s="5">
        <f ca="1">MatchData[[#This Row],[Auto Reach Flag]]*2+SUM(MatchData[[#This Row],[Portcullis Auto Crossings]:[Low Bar Auto Crossings]])*10+MatchData[[#This Row],[Auto Low Goals]]*5+MatchData[Auto High Goals]*10</f>
        <v>0</v>
      </c>
      <c r="BG51" s="5">
        <f ca="1">SUM(MatchData[[#This Row],[Cheval Scored Teleop Crossings]:[Low Bar Scored Teleop Crossings]])</f>
        <v>10</v>
      </c>
      <c r="BH51" s="5">
        <f ca="1">MatchData[Challenge Flag]*5</f>
        <v>5</v>
      </c>
      <c r="BI51" s="5">
        <f ca="1">MatchData[Climb Flag]*15</f>
        <v>0</v>
      </c>
      <c r="BJ51" s="5">
        <f ca="1">SUM(MatchData[[#This Row],[Total Goal Score]],MatchData[[#This Row],[Crossing Score]],MatchData[[#This Row],[Challenge Score]],MatchData[[#This Row],[Climb Score]],MatchData[[#This Row],[Total Auto Score]])</f>
        <v>15</v>
      </c>
      <c r="BK51">
        <v>1</v>
      </c>
      <c r="BL51" s="5">
        <f ca="1">IF(RANDBETWEEN(0,10)&gt;=9,RANDBETWEEN(1,9),0)</f>
        <v>0</v>
      </c>
      <c r="BM51" s="5">
        <f>VLOOKUP(MatchData[[#This Row],[Persona]],Personas!$A$2:$O$5,3)</f>
        <v>0</v>
      </c>
      <c r="BN51" s="13">
        <f>VLOOKUP(MatchData[[#This Row],[Persona]],Personas!$A$2:$P$5,4)</f>
        <v>0</v>
      </c>
      <c r="BO51" s="13">
        <f>VLOOKUP(MatchData[[#This Row],[Persona]],Personas!$A$2:$P$5,5)</f>
        <v>0</v>
      </c>
      <c r="BP51" s="13">
        <f>VLOOKUP(MatchData[[#This Row],[Persona]],Personas!$A$2:$P$5,6)</f>
        <v>0</v>
      </c>
      <c r="BQ51" s="13">
        <f>VLOOKUP(MatchData[[#This Row],[Persona]],Personas!$A$2:$P$5,7)</f>
        <v>0</v>
      </c>
      <c r="BR51" s="13">
        <f>VLOOKUP(MatchData[[#This Row],[Persona]],Personas!$A$2:$P$5,8)</f>
        <v>0</v>
      </c>
      <c r="BS51" s="13">
        <f>VLOOKUP(MatchData[[#This Row],[Persona]],Personas!$A$2:$P$5,9)</f>
        <v>2</v>
      </c>
      <c r="BT51" s="13">
        <f>VLOOKUP(MatchData[[#This Row],[Persona]],Personas!$A$2:$P$5,10)</f>
        <v>2</v>
      </c>
      <c r="BU51" s="13">
        <f>VLOOKUP(MatchData[[#This Row],[Persona]],Personas!$A$2:$P$5,11)</f>
        <v>0</v>
      </c>
      <c r="BV51" s="13">
        <f>VLOOKUP(MatchData[[#This Row],[Persona]],Personas!$A$2:$P$5,12)</f>
        <v>0</v>
      </c>
      <c r="BW51" s="13">
        <f>VLOOKUP(MatchData[[#This Row],[Persona]],Personas!$A$2:$P$5,13)</f>
        <v>2</v>
      </c>
      <c r="BX51" s="13">
        <f>VLOOKUP(MatchData[[#This Row],[Persona]],Personas!$A$2:$P$5,14)</f>
        <v>2</v>
      </c>
      <c r="BY51" s="13">
        <f>VLOOKUP(MatchData[[#This Row],[Persona]],Personas!$A$2:$P$5,15)</f>
        <v>2</v>
      </c>
      <c r="BZ51" s="13">
        <f>VLOOKUP(MatchData[[#This Row],[Persona]],Personas!$A$2:$P$5,16)</f>
        <v>0</v>
      </c>
      <c r="CA51" s="14">
        <f ca="1">ROUND(SUMIF(MatchData[Team],MatchData[[#This Row],[Team]],MatchData[Teleop Low Goals])/COUNTIF(MatchData[Team],MatchData[[#This Row],[Team]]),2)</f>
        <v>0</v>
      </c>
      <c r="CB51" s="14">
        <f ca="1">ROUND(SUMIF(MatchData[Team],MatchData[[#This Row],[Team]],MatchData[Teleop High Goals])/COUNTIF(MatchData[Team],MatchData[[#This Row],[Team]]),2)</f>
        <v>0</v>
      </c>
      <c r="CC51" s="14">
        <f>COUNTIF(MatchData[Team],MatchData[[#This Row],[Team]])</f>
        <v>5</v>
      </c>
      <c r="CD51" s="14">
        <f>SUMIF(MatchData[Team],MatchData[[#This Row],[Team]],MatchData[Portcullis Available])</f>
        <v>2</v>
      </c>
      <c r="CE51" s="14">
        <f>SUMIF(MatchData[Team],MatchData[[#This Row],[Team]],MatchData[Cheval Available])</f>
        <v>3</v>
      </c>
      <c r="CF51" s="14">
        <f>SUMIF(MatchData[Team],MatchData[[#This Row],[Team]],MatchData[Moat Available])</f>
        <v>3</v>
      </c>
      <c r="CG51" s="14">
        <f>SUMIF(MatchData[Team],MatchData[[#This Row],[Team]],MatchData[Ramparts Available])</f>
        <v>2</v>
      </c>
      <c r="CH51" s="14">
        <f>SUMIF(MatchData[Team],MatchData[[#This Row],[Team]],MatchData[Drawbridge Available])</f>
        <v>3</v>
      </c>
      <c r="CI51" s="14">
        <f>SUMIF(MatchData[Team],MatchData[[#This Row],[Team]],MatchData[Sally Port Available])</f>
        <v>2</v>
      </c>
      <c r="CJ51" s="14">
        <f>SUMIF(MatchData[Team],MatchData[[#This Row],[Team]],MatchData[Rock Wall Available])</f>
        <v>2</v>
      </c>
      <c r="CK51" s="14">
        <f>SUMIF(MatchData[Team],MatchData[[#This Row],[Team]],MatchData[Rough Terrain Available])</f>
        <v>3</v>
      </c>
      <c r="CL51" s="14">
        <f>SUMIF(MatchData[Team],MatchData[[#This Row],[Team]],MatchData[Low Bar Available])</f>
        <v>5</v>
      </c>
      <c r="CM51" s="14">
        <f ca="1">SUMIF(MatchData[Team],MatchData[[#This Row],[Team]],MatchData[Portcullis Teleop Crossings])</f>
        <v>0</v>
      </c>
      <c r="CN51" s="14">
        <f ca="1">SUMIF(MatchData[Team],MatchData[[#This Row],[Team]],MatchData[Cheval Teleop Crossings])</f>
        <v>0</v>
      </c>
      <c r="CO51" s="14">
        <f ca="1">SUMIF(MatchData[Team],MatchData[[#This Row],[Team]],MatchData[Moat Teleop Crossings])</f>
        <v>5</v>
      </c>
      <c r="CP51" s="14">
        <f ca="1">SUMIF(MatchData[Team],MatchData[[#This Row],[Team]],MatchData[Ramparts Teleop Crossings])</f>
        <v>2</v>
      </c>
      <c r="CQ51" s="14">
        <f ca="1">SUMIF(MatchData[Team],MatchData[[#This Row],[Team]],MatchData[Drawbridge Teleop Crossings])</f>
        <v>0</v>
      </c>
      <c r="CR51" s="14">
        <f ca="1">SUMIF(MatchData[Team],MatchData[[#This Row],[Team]],MatchData[Sally Port Teleop Crossings])</f>
        <v>0</v>
      </c>
      <c r="CS51" s="14">
        <f ca="1">SUMIF(MatchData[Team],MatchData[[#This Row],[Team]],MatchData[Rock Wall Teleop Crossings])</f>
        <v>2</v>
      </c>
      <c r="CT51" s="14">
        <f ca="1">SUMIF(MatchData[Team],MatchData[[#This Row],[Team]],MatchData[Rough Terrain Teleop Crossings])</f>
        <v>4</v>
      </c>
      <c r="CU51" s="14">
        <f ca="1">SUMIF(MatchData[Team],MatchData[[#This Row],[Team]],MatchData[Low Bar Teleop Crossings])</f>
        <v>1</v>
      </c>
      <c r="CV51" s="14">
        <f ca="1">IFERROR(ROUND(MatchData[[#This Row],[Portcullis Sum]]/MatchData[[#This Row],[Portcullis Avail Count]],2),0)</f>
        <v>0</v>
      </c>
      <c r="CW51">
        <f ca="1">IFERROR(ROUND(MatchData[[#This Row],[Cheval Sum]]/MatchData[[#This Row],[Cheval Avail Count]],2),0)</f>
        <v>0</v>
      </c>
      <c r="CX51">
        <f ca="1">IFERROR(ROUND(MatchData[[#This Row],[Moat Sum]]/MatchData[[#This Row],[Moat Avail Count]],2),0)</f>
        <v>1.67</v>
      </c>
      <c r="CY51">
        <f ca="1">IFERROR(ROUND(MatchData[[#This Row],[Ramparts Sum]]/MatchData[[#This Row],[Ramparts Avail Count]],2),0)</f>
        <v>1</v>
      </c>
      <c r="CZ51">
        <f ca="1">IFERROR(ROUND(MatchData[[#This Row],[Drawbridge Sum]]/MatchData[[#This Row],[Drawbridge HAvail Countigh6]],2),0)</f>
        <v>0</v>
      </c>
      <c r="DA51">
        <f ca="1">IFERROR(ROUND(MatchData[[#This Row],[Sally Port Sum]]/MatchData[[#This Row],[Sally Port Avail Count]],2),0)</f>
        <v>0</v>
      </c>
      <c r="DB51">
        <f ca="1">IFERROR(ROUND(MatchData[[#This Row],[Rock Wall Sum]]/MatchData[[#This Row],[Rock Wall Avail Count]],2),0)</f>
        <v>1</v>
      </c>
      <c r="DC51">
        <f ca="1">IFERROR(ROUND(MatchData[[#This Row],[Rough Terrain Sum]]/MatchData[[#This Row],[Rough Terrain Avail Count]],2),0)</f>
        <v>1.33</v>
      </c>
      <c r="DD51">
        <f ca="1">IFERROR(ROUND(MatchData[[#This Row],[Low Bar Sum]]/MatchData[[#This Row],[Low Bar Avail Count]],2),0)</f>
        <v>0.2</v>
      </c>
      <c r="DE51" s="14">
        <f t="array" aca="1" ref="DE51" ca="1">MAX(IF(C$4:C$75=C51,BE$4:BE$75))</f>
        <v>0</v>
      </c>
      <c r="DF51" s="14">
        <f ca="1">AVERAGEIF(MatchData[Team],MatchData[Team],MatchData[Total Score])</f>
        <v>18.8</v>
      </c>
      <c r="DG51" s="14">
        <f ca="1">ROUND(AVERAGEIF(MatchData[Team],MatchData[Team],MatchData[Climb or Challenge Flag]),2)</f>
        <v>0.8</v>
      </c>
    </row>
    <row r="52" spans="1:111">
      <c r="A52" t="s">
        <v>54</v>
      </c>
      <c r="B52" s="4">
        <v>6</v>
      </c>
      <c r="C52">
        <v>1010</v>
      </c>
      <c r="D52" t="s">
        <v>56</v>
      </c>
      <c r="E52" t="s">
        <v>60</v>
      </c>
      <c r="F52">
        <f ca="1">IF(MatchData[[#This Row],[Persona]] = 4,RANDBETWEEN(0,1),0)</f>
        <v>0</v>
      </c>
      <c r="G52">
        <f ca="1">IF(MatchData[[#This Row],[Persona]] = 3,RANDBETWEEN(0,1),0)</f>
        <v>0</v>
      </c>
      <c r="H52">
        <f ca="1">RANDBETWEEN(MatchData[[#This Row],[High Goal Low]],MatchData[[#This Row],[High Goal High]])</f>
        <v>0</v>
      </c>
      <c r="I52">
        <f ca="1">RANDBETWEEN(MatchData[[#This Row],[Low Goal Low]],MatchData[[#This Row],[Low Goal High]])</f>
        <v>0</v>
      </c>
      <c r="J52" s="6"/>
      <c r="K52" s="6">
        <v>1</v>
      </c>
      <c r="L52" s="6">
        <v>1</v>
      </c>
      <c r="M52" s="6"/>
      <c r="N52" s="6">
        <v>1</v>
      </c>
      <c r="O52" s="6"/>
      <c r="P52" s="6"/>
      <c r="Q52" s="5">
        <v>1</v>
      </c>
      <c r="R52" s="5">
        <v>1</v>
      </c>
      <c r="S52" s="5">
        <f ca="1">IF(MatchData[[#This Row],[Auto Crossing Test Generator]]=0,RANDBETWEEN(0,1),0)</f>
        <v>1</v>
      </c>
      <c r="T52" s="5">
        <f ca="1">IF(MatchData[Auto Crossing Test Generator]=1,1,0)</f>
        <v>0</v>
      </c>
      <c r="U52" s="5">
        <f ca="1">IF(MatchData[[#This Row],[Auto Crossing Test Generator]]=2,RANDBETWEEN(0,1),0)</f>
        <v>0</v>
      </c>
      <c r="V52" s="5">
        <f ca="1">IF(MatchData[[#This Row],[Auto Crossing Test Generator]]=3,RANDBETWEEN(0,1),0)</f>
        <v>0</v>
      </c>
      <c r="W52" s="5">
        <f ca="1">IF(MatchData[[#This Row],[Auto Crossing Test Generator]]=4,RANDBETWEEN(0,1),0)</f>
        <v>0</v>
      </c>
      <c r="X52" s="5">
        <f ca="1">IF(MatchData[[#This Row],[Auto Crossing Test Generator]]=5,RANDBETWEEN(0,1),0)</f>
        <v>0</v>
      </c>
      <c r="Y52" s="5">
        <f ca="1">IF(MatchData[[#This Row],[Auto Crossing Test Generator]]=6,RANDBETWEEN(0,1),0)</f>
        <v>0</v>
      </c>
      <c r="Z52" s="5">
        <f ca="1">IF(MatchData[[#This Row],[Auto Crossing Test Generator]]=7,RANDBETWEEN(0,1),0)</f>
        <v>0</v>
      </c>
      <c r="AA52" s="5">
        <f ca="1">IF(MatchData[[#This Row],[Auto Crossing Test Generator]]=8,RANDBETWEEN(0,1),0)</f>
        <v>0</v>
      </c>
      <c r="AB52" s="5">
        <f ca="1">IF(MatchData[[#This Row],[Auto Crossing Test Generator]]&gt;8,RANDBETWEEN(0,1),0)</f>
        <v>0</v>
      </c>
      <c r="AC52" s="5">
        <f ca="1">IF(MatchData[[#This Row],[Auto Crossing Test Generator]]=9,RANDBETWEEN(0,1),0)</f>
        <v>0</v>
      </c>
      <c r="AD52" s="5">
        <f ca="1">IF(MatchData[[#This Row],[Cheval Available]]=1,RANDBETWEEN(0,MatchData[[#This Row],[Cheval High]]),0)</f>
        <v>0</v>
      </c>
      <c r="AE52" s="5">
        <f ca="1">IF(MatchData[[#This Row],[Moat Available]]=1,RANDBETWEEN(0,MatchData[[#This Row],[Moat High]]),0)</f>
        <v>2</v>
      </c>
      <c r="AF52" s="5">
        <f ca="1">IF(MatchData[[#This Row],[Ramparts Available]]=1,RANDBETWEEN(0,MatchData[[#This Row],[Ramparts High]]),0)</f>
        <v>0</v>
      </c>
      <c r="AG52" s="5">
        <f ca="1">IF(MatchData[[#This Row],[Drawbridge Available]]=1,RANDBETWEEN(0,MatchData[[#This Row],[Drawbridge High]]),0)</f>
        <v>0</v>
      </c>
      <c r="AH52" s="5">
        <f ca="1">IF(MatchData[[#This Row],[Sally Port Available]]=1,RANDBETWEEN(0,MatchData[[#This Row],[Sally Port High]]),0)</f>
        <v>0</v>
      </c>
      <c r="AI52" s="5">
        <f ca="1">IF(MatchData[[#This Row],[Rock Wall Available]]=1,RANDBETWEEN(0,MatchData[[#This Row],[Rock Wall High]]),0)</f>
        <v>0</v>
      </c>
      <c r="AJ52" s="5">
        <f ca="1">IF(MatchData[[#This Row],[Rough Terrain Available]]=1,RANDBETWEEN(0,MatchData[[#This Row],[Rough Terrain High]]),0)</f>
        <v>2</v>
      </c>
      <c r="AK52" s="5">
        <f ca="1">IF(MatchData[[#This Row],[Low Bar Available]]=1,RANDBETWEEN(0,MatchData[[#This Row],[Low Bar High]]),0)</f>
        <v>0</v>
      </c>
      <c r="AL52" s="5">
        <f ca="1">IF(MatchData[Cheval Teleop Crossings]&gt;3,10, MatchData[Cheval Teleop Crossings]*5)</f>
        <v>0</v>
      </c>
      <c r="AM52" s="5">
        <f ca="1">IF(MatchData[Moat Teleop Crossings]&gt;3,10, MatchData[Moat Teleop Crossings]*5)</f>
        <v>10</v>
      </c>
      <c r="AN52" s="5">
        <f ca="1">IF(MatchData[Ramparts Teleop Crossings]&gt;3,10, MatchData[Ramparts Teleop Crossings]*5)</f>
        <v>0</v>
      </c>
      <c r="AO52" s="5">
        <f ca="1">IF(MatchData[Drawbridge Teleop Crossings]&gt;3,10, MatchData[Drawbridge Teleop Crossings]*5)</f>
        <v>0</v>
      </c>
      <c r="AP52" s="5">
        <f ca="1">IF(MatchData[Sally Port Teleop Crossings]&gt;3,10, MatchData[Sally Port Teleop Crossings]*5)</f>
        <v>0</v>
      </c>
      <c r="AQ52" s="5">
        <f ca="1">IF(MatchData[Rock Wall Teleop Crossings]&gt;3,10, MatchData[Rock Wall Teleop Crossings]*5)</f>
        <v>0</v>
      </c>
      <c r="AR52" s="5">
        <f ca="1">IF(MatchData[Rough Terrain Teleop Crossings]&gt;3,10, MatchData[Rough Terrain Teleop Crossings]*5)</f>
        <v>10</v>
      </c>
      <c r="AS52" s="5">
        <f ca="1">IF(MatchData[Low Bar Teleop Crossings]&gt;3,10, MatchData[Low Bar Teleop Crossings]*5)</f>
        <v>0</v>
      </c>
      <c r="AT52" s="5">
        <f ca="1">SUM(MatchData[[#This Row],[Portcullis Teleop Crossings]:[Low Bar Teleop Crossings]])</f>
        <v>4</v>
      </c>
      <c r="AU52" s="5">
        <f ca="1">IF(RANDBETWEEN(1,4)&gt;1,1,0)</f>
        <v>0</v>
      </c>
      <c r="AV52" s="5">
        <f ca="1">IF(MatchData[[#This Row],[Challenge Flag]]=1,0,IF(MatchData[[#This Row],[Climber]]=1,RANDBETWEEN(0,1),0))</f>
        <v>0</v>
      </c>
      <c r="AW52" s="5">
        <f ca="1">IF(MatchData[[#This Row],[Crossing Score]]&gt;=40,1,0)</f>
        <v>0</v>
      </c>
      <c r="AX52" s="5"/>
      <c r="AY52" s="5">
        <f ca="1">IF(RANDBETWEEN(1,100)&gt;95,1,0)</f>
        <v>0</v>
      </c>
      <c r="AZ52" s="5">
        <f ca="1">IF(RANDBETWEEN(1,100)&gt;80,1,0)</f>
        <v>0</v>
      </c>
      <c r="BA52" s="5">
        <f ca="1">IF(OR(MatchData[[#This Row],[Challenge Flag]],MatchData[[#This Row],[Climb Flag]]),1,0)</f>
        <v>0</v>
      </c>
      <c r="BB52" s="5">
        <f ca="1">MatchData[Auto High Goals]*10+MatchData[Teleop High Goals]*5</f>
        <v>0</v>
      </c>
      <c r="BC52" s="5">
        <f ca="1">MatchData[Auto Low Goals]*5+MatchData[Teleop Low Goals]*2</f>
        <v>0</v>
      </c>
      <c r="BD52" s="5">
        <f ca="1">MatchData[High Goal Score]+MatchData[Low Goal Score]</f>
        <v>0</v>
      </c>
      <c r="BE52" s="5">
        <f ca="1">MatchData[Teleop High Goals]+MatchData[Teleop Low Goals]</f>
        <v>0</v>
      </c>
      <c r="BF52" s="5">
        <f ca="1">MatchData[[#This Row],[Auto Reach Flag]]*2+SUM(MatchData[[#This Row],[Portcullis Auto Crossings]:[Low Bar Auto Crossings]])*10+MatchData[[#This Row],[Auto Low Goals]]*5+MatchData[Auto High Goals]*10</f>
        <v>2</v>
      </c>
      <c r="BG52" s="5">
        <f ca="1">SUM(MatchData[[#This Row],[Cheval Scored Teleop Crossings]:[Low Bar Scored Teleop Crossings]])</f>
        <v>20</v>
      </c>
      <c r="BH52" s="5">
        <f ca="1">MatchData[Challenge Flag]*5</f>
        <v>0</v>
      </c>
      <c r="BI52" s="5">
        <f ca="1">MatchData[Climb Flag]*15</f>
        <v>0</v>
      </c>
      <c r="BJ52" s="5">
        <f ca="1">SUM(MatchData[[#This Row],[Total Goal Score]],MatchData[[#This Row],[Crossing Score]],MatchData[[#This Row],[Challenge Score]],MatchData[[#This Row],[Climb Score]],MatchData[[#This Row],[Total Auto Score]])</f>
        <v>22</v>
      </c>
      <c r="BK52">
        <v>1</v>
      </c>
      <c r="BL52" s="5">
        <f ca="1">IF(RANDBETWEEN(0,10)&gt;=9,RANDBETWEEN(1,9),0)</f>
        <v>0</v>
      </c>
      <c r="BM52" s="5">
        <f>VLOOKUP(MatchData[[#This Row],[Persona]],Personas!$A$2:$O$5,3)</f>
        <v>0</v>
      </c>
      <c r="BN52" s="13">
        <f>VLOOKUP(MatchData[[#This Row],[Persona]],Personas!$A$2:$P$5,4)</f>
        <v>0</v>
      </c>
      <c r="BO52" s="13">
        <f>VLOOKUP(MatchData[[#This Row],[Persona]],Personas!$A$2:$P$5,5)</f>
        <v>0</v>
      </c>
      <c r="BP52" s="13">
        <f>VLOOKUP(MatchData[[#This Row],[Persona]],Personas!$A$2:$P$5,6)</f>
        <v>0</v>
      </c>
      <c r="BQ52" s="13">
        <f>VLOOKUP(MatchData[[#This Row],[Persona]],Personas!$A$2:$P$5,7)</f>
        <v>0</v>
      </c>
      <c r="BR52" s="13">
        <f>VLOOKUP(MatchData[[#This Row],[Persona]],Personas!$A$2:$P$5,8)</f>
        <v>0</v>
      </c>
      <c r="BS52" s="13">
        <f>VLOOKUP(MatchData[[#This Row],[Persona]],Personas!$A$2:$P$5,9)</f>
        <v>2</v>
      </c>
      <c r="BT52" s="13">
        <f>VLOOKUP(MatchData[[#This Row],[Persona]],Personas!$A$2:$P$5,10)</f>
        <v>2</v>
      </c>
      <c r="BU52" s="13">
        <f>VLOOKUP(MatchData[[#This Row],[Persona]],Personas!$A$2:$P$5,11)</f>
        <v>0</v>
      </c>
      <c r="BV52" s="13">
        <f>VLOOKUP(MatchData[[#This Row],[Persona]],Personas!$A$2:$P$5,12)</f>
        <v>0</v>
      </c>
      <c r="BW52" s="13">
        <f>VLOOKUP(MatchData[[#This Row],[Persona]],Personas!$A$2:$P$5,13)</f>
        <v>2</v>
      </c>
      <c r="BX52" s="13">
        <f>VLOOKUP(MatchData[[#This Row],[Persona]],Personas!$A$2:$P$5,14)</f>
        <v>2</v>
      </c>
      <c r="BY52" s="13">
        <f>VLOOKUP(MatchData[[#This Row],[Persona]],Personas!$A$2:$P$5,15)</f>
        <v>2</v>
      </c>
      <c r="BZ52" s="13">
        <f>VLOOKUP(MatchData[[#This Row],[Persona]],Personas!$A$2:$P$5,16)</f>
        <v>0</v>
      </c>
      <c r="CA52" s="14">
        <f ca="1">ROUND(SUMIF(MatchData[Team],MatchData[[#This Row],[Team]],MatchData[Teleop Low Goals])/COUNTIF(MatchData[Team],MatchData[[#This Row],[Team]]),2)</f>
        <v>0</v>
      </c>
      <c r="CB52" s="14">
        <f ca="1">ROUND(SUMIF(MatchData[Team],MatchData[[#This Row],[Team]],MatchData[Teleop High Goals])/COUNTIF(MatchData[Team],MatchData[[#This Row],[Team]]),2)</f>
        <v>0</v>
      </c>
      <c r="CC52" s="14">
        <f>COUNTIF(MatchData[Team],MatchData[[#This Row],[Team]])</f>
        <v>5</v>
      </c>
      <c r="CD52" s="14">
        <f>SUMIF(MatchData[Team],MatchData[[#This Row],[Team]],MatchData[Portcullis Available])</f>
        <v>2</v>
      </c>
      <c r="CE52" s="14">
        <f>SUMIF(MatchData[Team],MatchData[[#This Row],[Team]],MatchData[Cheval Available])</f>
        <v>3</v>
      </c>
      <c r="CF52" s="14">
        <f>SUMIF(MatchData[Team],MatchData[[#This Row],[Team]],MatchData[Moat Available])</f>
        <v>3</v>
      </c>
      <c r="CG52" s="14">
        <f>SUMIF(MatchData[Team],MatchData[[#This Row],[Team]],MatchData[Ramparts Available])</f>
        <v>2</v>
      </c>
      <c r="CH52" s="14">
        <f>SUMIF(MatchData[Team],MatchData[[#This Row],[Team]],MatchData[Drawbridge Available])</f>
        <v>3</v>
      </c>
      <c r="CI52" s="14">
        <f>SUMIF(MatchData[Team],MatchData[[#This Row],[Team]],MatchData[Sally Port Available])</f>
        <v>2</v>
      </c>
      <c r="CJ52" s="14">
        <f>SUMIF(MatchData[Team],MatchData[[#This Row],[Team]],MatchData[Rock Wall Available])</f>
        <v>2</v>
      </c>
      <c r="CK52" s="14">
        <f>SUMIF(MatchData[Team],MatchData[[#This Row],[Team]],MatchData[Rough Terrain Available])</f>
        <v>3</v>
      </c>
      <c r="CL52" s="14">
        <f>SUMIF(MatchData[Team],MatchData[[#This Row],[Team]],MatchData[Low Bar Available])</f>
        <v>5</v>
      </c>
      <c r="CM52" s="14">
        <f ca="1">SUMIF(MatchData[Team],MatchData[[#This Row],[Team]],MatchData[Portcullis Teleop Crossings])</f>
        <v>0</v>
      </c>
      <c r="CN52" s="14">
        <f ca="1">SUMIF(MatchData[Team],MatchData[[#This Row],[Team]],MatchData[Cheval Teleop Crossings])</f>
        <v>0</v>
      </c>
      <c r="CO52" s="14">
        <f ca="1">SUMIF(MatchData[Team],MatchData[[#This Row],[Team]],MatchData[Moat Teleop Crossings])</f>
        <v>5</v>
      </c>
      <c r="CP52" s="14">
        <f ca="1">SUMIF(MatchData[Team],MatchData[[#This Row],[Team]],MatchData[Ramparts Teleop Crossings])</f>
        <v>2</v>
      </c>
      <c r="CQ52" s="14">
        <f ca="1">SUMIF(MatchData[Team],MatchData[[#This Row],[Team]],MatchData[Drawbridge Teleop Crossings])</f>
        <v>0</v>
      </c>
      <c r="CR52" s="14">
        <f ca="1">SUMIF(MatchData[Team],MatchData[[#This Row],[Team]],MatchData[Sally Port Teleop Crossings])</f>
        <v>0</v>
      </c>
      <c r="CS52" s="14">
        <f ca="1">SUMIF(MatchData[Team],MatchData[[#This Row],[Team]],MatchData[Rock Wall Teleop Crossings])</f>
        <v>2</v>
      </c>
      <c r="CT52" s="14">
        <f ca="1">SUMIF(MatchData[Team],MatchData[[#This Row],[Team]],MatchData[Rough Terrain Teleop Crossings])</f>
        <v>4</v>
      </c>
      <c r="CU52" s="14">
        <f ca="1">SUMIF(MatchData[Team],MatchData[[#This Row],[Team]],MatchData[Low Bar Teleop Crossings])</f>
        <v>1</v>
      </c>
      <c r="CV52" s="14">
        <f ca="1">IFERROR(ROUND(MatchData[[#This Row],[Portcullis Sum]]/MatchData[[#This Row],[Portcullis Avail Count]],2),0)</f>
        <v>0</v>
      </c>
      <c r="CW52">
        <f ca="1">IFERROR(ROUND(MatchData[[#This Row],[Cheval Sum]]/MatchData[[#This Row],[Cheval Avail Count]],2),0)</f>
        <v>0</v>
      </c>
      <c r="CX52">
        <f ca="1">IFERROR(ROUND(MatchData[[#This Row],[Moat Sum]]/MatchData[[#This Row],[Moat Avail Count]],2),0)</f>
        <v>1.67</v>
      </c>
      <c r="CY52">
        <f ca="1">IFERROR(ROUND(MatchData[[#This Row],[Ramparts Sum]]/MatchData[[#This Row],[Ramparts Avail Count]],2),0)</f>
        <v>1</v>
      </c>
      <c r="CZ52">
        <f ca="1">IFERROR(ROUND(MatchData[[#This Row],[Drawbridge Sum]]/MatchData[[#This Row],[Drawbridge HAvail Countigh6]],2),0)</f>
        <v>0</v>
      </c>
      <c r="DA52">
        <f ca="1">IFERROR(ROUND(MatchData[[#This Row],[Sally Port Sum]]/MatchData[[#This Row],[Sally Port Avail Count]],2),0)</f>
        <v>0</v>
      </c>
      <c r="DB52">
        <f ca="1">IFERROR(ROUND(MatchData[[#This Row],[Rock Wall Sum]]/MatchData[[#This Row],[Rock Wall Avail Count]],2),0)</f>
        <v>1</v>
      </c>
      <c r="DC52">
        <f ca="1">IFERROR(ROUND(MatchData[[#This Row],[Rough Terrain Sum]]/MatchData[[#This Row],[Rough Terrain Avail Count]],2),0)</f>
        <v>1.33</v>
      </c>
      <c r="DD52">
        <f ca="1">IFERROR(ROUND(MatchData[[#This Row],[Low Bar Sum]]/MatchData[[#This Row],[Low Bar Avail Count]],2),0)</f>
        <v>0.2</v>
      </c>
      <c r="DE52" s="14">
        <f t="array" aca="1" ref="DE52" ca="1">MAX(IF(C$4:C$75=C52,BE$4:BE$75))</f>
        <v>0</v>
      </c>
      <c r="DF52" s="14">
        <f ca="1">AVERAGEIF(MatchData[Team],MatchData[Team],MatchData[Total Score])</f>
        <v>18.8</v>
      </c>
      <c r="DG52" s="14">
        <f ca="1">ROUND(AVERAGEIF(MatchData[Team],MatchData[Team],MatchData[Climb or Challenge Flag]),2)</f>
        <v>0.8</v>
      </c>
    </row>
    <row r="53" spans="1:111">
      <c r="A53" t="s">
        <v>54</v>
      </c>
      <c r="B53" s="4">
        <v>9</v>
      </c>
      <c r="C53">
        <v>1010</v>
      </c>
      <c r="D53" t="s">
        <v>55</v>
      </c>
      <c r="E53" t="s">
        <v>57</v>
      </c>
      <c r="F53">
        <f ca="1">IF(MatchData[[#This Row],[Persona]] = 4,RANDBETWEEN(0,1),0)</f>
        <v>0</v>
      </c>
      <c r="G53">
        <f ca="1">IF(MatchData[[#This Row],[Persona]] = 3,RANDBETWEEN(0,1),0)</f>
        <v>0</v>
      </c>
      <c r="H53">
        <f ca="1">RANDBETWEEN(MatchData[[#This Row],[High Goal Low]],MatchData[[#This Row],[High Goal High]])</f>
        <v>0</v>
      </c>
      <c r="I53">
        <f ca="1">RANDBETWEEN(MatchData[[#This Row],[Low Goal Low]],MatchData[[#This Row],[Low Goal High]])</f>
        <v>0</v>
      </c>
      <c r="J53" s="6">
        <v>1</v>
      </c>
      <c r="K53" s="6"/>
      <c r="L53" s="6"/>
      <c r="M53" s="6">
        <v>1</v>
      </c>
      <c r="N53" s="6">
        <v>1</v>
      </c>
      <c r="O53" s="6"/>
      <c r="P53" s="6"/>
      <c r="Q53" s="5">
        <v>1</v>
      </c>
      <c r="R53" s="5">
        <v>1</v>
      </c>
      <c r="S53" s="5">
        <f ca="1">IF(MatchData[[#This Row],[Auto Crossing Test Generator]]=0,RANDBETWEEN(0,1),0)</f>
        <v>0</v>
      </c>
      <c r="T53" s="5">
        <f ca="1">IF(MatchData[Auto Crossing Test Generator]=1,1,0)</f>
        <v>0</v>
      </c>
      <c r="U53" s="5">
        <f ca="1">IF(MatchData[[#This Row],[Auto Crossing Test Generator]]=2,RANDBETWEEN(0,1),0)</f>
        <v>0</v>
      </c>
      <c r="V53" s="5">
        <f ca="1">IF(MatchData[[#This Row],[Auto Crossing Test Generator]]=3,RANDBETWEEN(0,1),0)</f>
        <v>0</v>
      </c>
      <c r="W53" s="5">
        <f ca="1">IF(MatchData[[#This Row],[Auto Crossing Test Generator]]=4,RANDBETWEEN(0,1),0)</f>
        <v>0</v>
      </c>
      <c r="X53" s="5">
        <f ca="1">IF(MatchData[[#This Row],[Auto Crossing Test Generator]]=5,RANDBETWEEN(0,1),0)</f>
        <v>0</v>
      </c>
      <c r="Y53" s="5">
        <f ca="1">IF(MatchData[[#This Row],[Auto Crossing Test Generator]]=6,RANDBETWEEN(0,1),0)</f>
        <v>0</v>
      </c>
      <c r="Z53" s="5">
        <f ca="1">IF(MatchData[[#This Row],[Auto Crossing Test Generator]]=7,RANDBETWEEN(0,1),0)</f>
        <v>0</v>
      </c>
      <c r="AA53" s="5">
        <f ca="1">IF(MatchData[[#This Row],[Auto Crossing Test Generator]]=8,RANDBETWEEN(0,1),0)</f>
        <v>0</v>
      </c>
      <c r="AB53" s="5">
        <f ca="1">IF(MatchData[[#This Row],[Auto Crossing Test Generator]]&gt;8,RANDBETWEEN(0,1),0)</f>
        <v>0</v>
      </c>
      <c r="AC53" s="5">
        <f ca="1">IF(MatchData[[#This Row],[Auto Crossing Test Generator]]=9,RANDBETWEEN(0,1),0)</f>
        <v>0</v>
      </c>
      <c r="AD53" s="5">
        <f ca="1">IF(MatchData[[#This Row],[Cheval Available]]=1,RANDBETWEEN(0,MatchData[[#This Row],[Cheval High]]),0)</f>
        <v>0</v>
      </c>
      <c r="AE53" s="5">
        <f ca="1">IF(MatchData[[#This Row],[Moat Available]]=1,RANDBETWEEN(0,MatchData[[#This Row],[Moat High]]),0)</f>
        <v>0</v>
      </c>
      <c r="AF53" s="5">
        <f ca="1">IF(MatchData[[#This Row],[Ramparts Available]]=1,RANDBETWEEN(0,MatchData[[#This Row],[Ramparts High]]),0)</f>
        <v>1</v>
      </c>
      <c r="AG53" s="5">
        <f ca="1">IF(MatchData[[#This Row],[Drawbridge Available]]=1,RANDBETWEEN(0,MatchData[[#This Row],[Drawbridge High]]),0)</f>
        <v>0</v>
      </c>
      <c r="AH53" s="5">
        <f ca="1">IF(MatchData[[#This Row],[Sally Port Available]]=1,RANDBETWEEN(0,MatchData[[#This Row],[Sally Port High]]),0)</f>
        <v>0</v>
      </c>
      <c r="AI53" s="5">
        <f ca="1">IF(MatchData[[#This Row],[Rock Wall Available]]=1,RANDBETWEEN(0,MatchData[[#This Row],[Rock Wall High]]),0)</f>
        <v>0</v>
      </c>
      <c r="AJ53" s="5">
        <f ca="1">IF(MatchData[[#This Row],[Rough Terrain Available]]=1,RANDBETWEEN(0,MatchData[[#This Row],[Rough Terrain High]]),0)</f>
        <v>2</v>
      </c>
      <c r="AK53" s="5">
        <f ca="1">IF(MatchData[[#This Row],[Low Bar Available]]=1,RANDBETWEEN(0,MatchData[[#This Row],[Low Bar High]]),0)</f>
        <v>1</v>
      </c>
      <c r="AL53" s="5">
        <f ca="1">IF(MatchData[Cheval Teleop Crossings]&gt;3,10, MatchData[Cheval Teleop Crossings]*5)</f>
        <v>0</v>
      </c>
      <c r="AM53" s="5">
        <f ca="1">IF(MatchData[Moat Teleop Crossings]&gt;3,10, MatchData[Moat Teleop Crossings]*5)</f>
        <v>0</v>
      </c>
      <c r="AN53" s="5">
        <f ca="1">IF(MatchData[Ramparts Teleop Crossings]&gt;3,10, MatchData[Ramparts Teleop Crossings]*5)</f>
        <v>5</v>
      </c>
      <c r="AO53" s="5">
        <f ca="1">IF(MatchData[Drawbridge Teleop Crossings]&gt;3,10, MatchData[Drawbridge Teleop Crossings]*5)</f>
        <v>0</v>
      </c>
      <c r="AP53" s="5">
        <f ca="1">IF(MatchData[Sally Port Teleop Crossings]&gt;3,10, MatchData[Sally Port Teleop Crossings]*5)</f>
        <v>0</v>
      </c>
      <c r="AQ53" s="5">
        <f ca="1">IF(MatchData[Rock Wall Teleop Crossings]&gt;3,10, MatchData[Rock Wall Teleop Crossings]*5)</f>
        <v>0</v>
      </c>
      <c r="AR53" s="5">
        <f ca="1">IF(MatchData[Rough Terrain Teleop Crossings]&gt;3,10, MatchData[Rough Terrain Teleop Crossings]*5)</f>
        <v>10</v>
      </c>
      <c r="AS53" s="5">
        <f ca="1">IF(MatchData[Low Bar Teleop Crossings]&gt;3,10, MatchData[Low Bar Teleop Crossings]*5)</f>
        <v>5</v>
      </c>
      <c r="AT53" s="5">
        <f ca="1">SUM(MatchData[[#This Row],[Portcullis Teleop Crossings]:[Low Bar Teleop Crossings]])</f>
        <v>4</v>
      </c>
      <c r="AU53" s="5">
        <f ca="1">IF(RANDBETWEEN(1,4)&gt;1,1,0)</f>
        <v>1</v>
      </c>
      <c r="AV53" s="5">
        <f ca="1">IF(MatchData[[#This Row],[Challenge Flag]]=1,0,IF(MatchData[[#This Row],[Climber]]=1,RANDBETWEEN(0,1),0))</f>
        <v>0</v>
      </c>
      <c r="AW53" s="5">
        <f ca="1">IF(MatchData[[#This Row],[Crossing Score]]&gt;=40,1,0)</f>
        <v>0</v>
      </c>
      <c r="AX53" s="5"/>
      <c r="AY53" s="5">
        <f ca="1">IF(RANDBETWEEN(1,100)&gt;95,1,0)</f>
        <v>0</v>
      </c>
      <c r="AZ53" s="5">
        <f ca="1">IF(RANDBETWEEN(1,100)&gt;80,1,0)</f>
        <v>0</v>
      </c>
      <c r="BA53" s="5">
        <f ca="1">IF(OR(MatchData[[#This Row],[Challenge Flag]],MatchData[[#This Row],[Climb Flag]]),1,0)</f>
        <v>1</v>
      </c>
      <c r="BB53" s="5">
        <f ca="1">MatchData[Auto High Goals]*10+MatchData[Teleop High Goals]*5</f>
        <v>0</v>
      </c>
      <c r="BC53" s="5">
        <f ca="1">MatchData[Auto Low Goals]*5+MatchData[Teleop Low Goals]*2</f>
        <v>0</v>
      </c>
      <c r="BD53" s="5">
        <f ca="1">MatchData[High Goal Score]+MatchData[Low Goal Score]</f>
        <v>0</v>
      </c>
      <c r="BE53" s="5">
        <f ca="1">MatchData[Teleop High Goals]+MatchData[Teleop Low Goals]</f>
        <v>0</v>
      </c>
      <c r="BF53" s="5">
        <f ca="1">MatchData[[#This Row],[Auto Reach Flag]]*2+SUM(MatchData[[#This Row],[Portcullis Auto Crossings]:[Low Bar Auto Crossings]])*10+MatchData[[#This Row],[Auto Low Goals]]*5+MatchData[Auto High Goals]*10</f>
        <v>0</v>
      </c>
      <c r="BG53" s="5">
        <f ca="1">SUM(MatchData[[#This Row],[Cheval Scored Teleop Crossings]:[Low Bar Scored Teleop Crossings]])</f>
        <v>20</v>
      </c>
      <c r="BH53" s="5">
        <f ca="1">MatchData[Challenge Flag]*5</f>
        <v>5</v>
      </c>
      <c r="BI53" s="5">
        <f ca="1">MatchData[Climb Flag]*15</f>
        <v>0</v>
      </c>
      <c r="BJ53" s="5">
        <f ca="1">SUM(MatchData[[#This Row],[Total Goal Score]],MatchData[[#This Row],[Crossing Score]],MatchData[[#This Row],[Challenge Score]],MatchData[[#This Row],[Climb Score]],MatchData[[#This Row],[Total Auto Score]])</f>
        <v>25</v>
      </c>
      <c r="BK53" s="12">
        <v>1</v>
      </c>
      <c r="BL53" s="5">
        <f ca="1">IF(RANDBETWEEN(0,10)&gt;=9,RANDBETWEEN(1,9),0)</f>
        <v>0</v>
      </c>
      <c r="BM53" s="5">
        <f>VLOOKUP(MatchData[[#This Row],[Persona]],Personas!$A$2:$O$5,3)</f>
        <v>0</v>
      </c>
      <c r="BN53" s="13">
        <f>VLOOKUP(MatchData[[#This Row],[Persona]],Personas!$A$2:$P$5,4)</f>
        <v>0</v>
      </c>
      <c r="BO53" s="13">
        <f>VLOOKUP(MatchData[[#This Row],[Persona]],Personas!$A$2:$P$5,5)</f>
        <v>0</v>
      </c>
      <c r="BP53" s="13">
        <f>VLOOKUP(MatchData[[#This Row],[Persona]],Personas!$A$2:$P$5,6)</f>
        <v>0</v>
      </c>
      <c r="BQ53" s="13">
        <f>VLOOKUP(MatchData[[#This Row],[Persona]],Personas!$A$2:$P$5,7)</f>
        <v>0</v>
      </c>
      <c r="BR53" s="13">
        <f>VLOOKUP(MatchData[[#This Row],[Persona]],Personas!$A$2:$P$5,8)</f>
        <v>0</v>
      </c>
      <c r="BS53" s="13">
        <f>VLOOKUP(MatchData[[#This Row],[Persona]],Personas!$A$2:$P$5,9)</f>
        <v>2</v>
      </c>
      <c r="BT53" s="13">
        <f>VLOOKUP(MatchData[[#This Row],[Persona]],Personas!$A$2:$P$5,10)</f>
        <v>2</v>
      </c>
      <c r="BU53" s="13">
        <f>VLOOKUP(MatchData[[#This Row],[Persona]],Personas!$A$2:$P$5,11)</f>
        <v>0</v>
      </c>
      <c r="BV53" s="13">
        <f>VLOOKUP(MatchData[[#This Row],[Persona]],Personas!$A$2:$P$5,12)</f>
        <v>0</v>
      </c>
      <c r="BW53" s="13">
        <f>VLOOKUP(MatchData[[#This Row],[Persona]],Personas!$A$2:$P$5,13)</f>
        <v>2</v>
      </c>
      <c r="BX53" s="13">
        <f>VLOOKUP(MatchData[[#This Row],[Persona]],Personas!$A$2:$P$5,14)</f>
        <v>2</v>
      </c>
      <c r="BY53" s="13">
        <f>VLOOKUP(MatchData[[#This Row],[Persona]],Personas!$A$2:$P$5,15)</f>
        <v>2</v>
      </c>
      <c r="BZ53" s="13">
        <f>VLOOKUP(MatchData[[#This Row],[Persona]],Personas!$A$2:$P$5,16)</f>
        <v>0</v>
      </c>
      <c r="CA53" s="14">
        <f ca="1">ROUND(SUMIF(MatchData[Team],MatchData[[#This Row],[Team]],MatchData[Teleop Low Goals])/COUNTIF(MatchData[Team],MatchData[[#This Row],[Team]]),2)</f>
        <v>0</v>
      </c>
      <c r="CB53" s="14">
        <f ca="1">ROUND(SUMIF(MatchData[Team],MatchData[[#This Row],[Team]],MatchData[Teleop High Goals])/COUNTIF(MatchData[Team],MatchData[[#This Row],[Team]]),2)</f>
        <v>0</v>
      </c>
      <c r="CC53" s="14">
        <f>COUNTIF(MatchData[Team],MatchData[[#This Row],[Team]])</f>
        <v>5</v>
      </c>
      <c r="CD53" s="14">
        <f>SUMIF(MatchData[Team],MatchData[[#This Row],[Team]],MatchData[Portcullis Available])</f>
        <v>2</v>
      </c>
      <c r="CE53" s="14">
        <f>SUMIF(MatchData[Team],MatchData[[#This Row],[Team]],MatchData[Cheval Available])</f>
        <v>3</v>
      </c>
      <c r="CF53" s="14">
        <f>SUMIF(MatchData[Team],MatchData[[#This Row],[Team]],MatchData[Moat Available])</f>
        <v>3</v>
      </c>
      <c r="CG53" s="14">
        <f>SUMIF(MatchData[Team],MatchData[[#This Row],[Team]],MatchData[Ramparts Available])</f>
        <v>2</v>
      </c>
      <c r="CH53" s="14">
        <f>SUMIF(MatchData[Team],MatchData[[#This Row],[Team]],MatchData[Drawbridge Available])</f>
        <v>3</v>
      </c>
      <c r="CI53" s="14">
        <f>SUMIF(MatchData[Team],MatchData[[#This Row],[Team]],MatchData[Sally Port Available])</f>
        <v>2</v>
      </c>
      <c r="CJ53" s="14">
        <f>SUMIF(MatchData[Team],MatchData[[#This Row],[Team]],MatchData[Rock Wall Available])</f>
        <v>2</v>
      </c>
      <c r="CK53" s="14">
        <f>SUMIF(MatchData[Team],MatchData[[#This Row],[Team]],MatchData[Rough Terrain Available])</f>
        <v>3</v>
      </c>
      <c r="CL53" s="14">
        <f>SUMIF(MatchData[Team],MatchData[[#This Row],[Team]],MatchData[Low Bar Available])</f>
        <v>5</v>
      </c>
      <c r="CM53" s="14">
        <f ca="1">SUMIF(MatchData[Team],MatchData[[#This Row],[Team]],MatchData[Portcullis Teleop Crossings])</f>
        <v>0</v>
      </c>
      <c r="CN53" s="14">
        <f ca="1">SUMIF(MatchData[Team],MatchData[[#This Row],[Team]],MatchData[Cheval Teleop Crossings])</f>
        <v>0</v>
      </c>
      <c r="CO53" s="14">
        <f ca="1">SUMIF(MatchData[Team],MatchData[[#This Row],[Team]],MatchData[Moat Teleop Crossings])</f>
        <v>5</v>
      </c>
      <c r="CP53" s="14">
        <f ca="1">SUMIF(MatchData[Team],MatchData[[#This Row],[Team]],MatchData[Ramparts Teleop Crossings])</f>
        <v>2</v>
      </c>
      <c r="CQ53" s="14">
        <f ca="1">SUMIF(MatchData[Team],MatchData[[#This Row],[Team]],MatchData[Drawbridge Teleop Crossings])</f>
        <v>0</v>
      </c>
      <c r="CR53" s="14">
        <f ca="1">SUMIF(MatchData[Team],MatchData[[#This Row],[Team]],MatchData[Sally Port Teleop Crossings])</f>
        <v>0</v>
      </c>
      <c r="CS53" s="14">
        <f ca="1">SUMIF(MatchData[Team],MatchData[[#This Row],[Team]],MatchData[Rock Wall Teleop Crossings])</f>
        <v>2</v>
      </c>
      <c r="CT53" s="14">
        <f ca="1">SUMIF(MatchData[Team],MatchData[[#This Row],[Team]],MatchData[Rough Terrain Teleop Crossings])</f>
        <v>4</v>
      </c>
      <c r="CU53" s="14">
        <f ca="1">SUMIF(MatchData[Team],MatchData[[#This Row],[Team]],MatchData[Low Bar Teleop Crossings])</f>
        <v>1</v>
      </c>
      <c r="CV53" s="14">
        <f ca="1">IFERROR(ROUND(MatchData[[#This Row],[Portcullis Sum]]/MatchData[[#This Row],[Portcullis Avail Count]],2),0)</f>
        <v>0</v>
      </c>
      <c r="CW53">
        <f ca="1">IFERROR(ROUND(MatchData[[#This Row],[Cheval Sum]]/MatchData[[#This Row],[Cheval Avail Count]],2),0)</f>
        <v>0</v>
      </c>
      <c r="CX53">
        <f ca="1">IFERROR(ROUND(MatchData[[#This Row],[Moat Sum]]/MatchData[[#This Row],[Moat Avail Count]],2),0)</f>
        <v>1.67</v>
      </c>
      <c r="CY53">
        <f ca="1">IFERROR(ROUND(MatchData[[#This Row],[Ramparts Sum]]/MatchData[[#This Row],[Ramparts Avail Count]],2),0)</f>
        <v>1</v>
      </c>
      <c r="CZ53">
        <f ca="1">IFERROR(ROUND(MatchData[[#This Row],[Drawbridge Sum]]/MatchData[[#This Row],[Drawbridge HAvail Countigh6]],2),0)</f>
        <v>0</v>
      </c>
      <c r="DA53">
        <f ca="1">IFERROR(ROUND(MatchData[[#This Row],[Sally Port Sum]]/MatchData[[#This Row],[Sally Port Avail Count]],2),0)</f>
        <v>0</v>
      </c>
      <c r="DB53">
        <f ca="1">IFERROR(ROUND(MatchData[[#This Row],[Rock Wall Sum]]/MatchData[[#This Row],[Rock Wall Avail Count]],2),0)</f>
        <v>1</v>
      </c>
      <c r="DC53">
        <f ca="1">IFERROR(ROUND(MatchData[[#This Row],[Rough Terrain Sum]]/MatchData[[#This Row],[Rough Terrain Avail Count]],2),0)</f>
        <v>1.33</v>
      </c>
      <c r="DD53">
        <f ca="1">IFERROR(ROUND(MatchData[[#This Row],[Low Bar Sum]]/MatchData[[#This Row],[Low Bar Avail Count]],2),0)</f>
        <v>0.2</v>
      </c>
      <c r="DE53" s="14">
        <f t="array" aca="1" ref="DE53" ca="1">MAX(IF(C$4:C$75=C53,BE$4:BE$75))</f>
        <v>0</v>
      </c>
      <c r="DF53" s="14">
        <f ca="1">AVERAGEIF(MatchData[Team],MatchData[Team],MatchData[Total Score])</f>
        <v>18.8</v>
      </c>
      <c r="DG53" s="14">
        <f ca="1">ROUND(AVERAGEIF(MatchData[Team],MatchData[Team],MatchData[Climb or Challenge Flag]),2)</f>
        <v>0.8</v>
      </c>
    </row>
    <row r="54" spans="1:111">
      <c r="A54" t="s">
        <v>54</v>
      </c>
      <c r="B54" s="4">
        <v>11</v>
      </c>
      <c r="C54">
        <v>1010</v>
      </c>
      <c r="D54" t="s">
        <v>55</v>
      </c>
      <c r="E54" t="s">
        <v>62</v>
      </c>
      <c r="F54">
        <f ca="1">IF(MatchData[[#This Row],[Persona]] = 4,RANDBETWEEN(0,1),0)</f>
        <v>0</v>
      </c>
      <c r="G54">
        <f ca="1">IF(MatchData[[#This Row],[Persona]] = 3,RANDBETWEEN(0,1),0)</f>
        <v>0</v>
      </c>
      <c r="H54">
        <f ca="1">RANDBETWEEN(MatchData[[#This Row],[High Goal Low]],MatchData[[#This Row],[High Goal High]])</f>
        <v>0</v>
      </c>
      <c r="I54">
        <f ca="1">RANDBETWEEN(MatchData[[#This Row],[Low Goal Low]],MatchData[[#This Row],[Low Goal High]])</f>
        <v>0</v>
      </c>
      <c r="J54" s="6">
        <v>1</v>
      </c>
      <c r="K54" s="6"/>
      <c r="L54" s="6"/>
      <c r="M54" s="6">
        <v>1</v>
      </c>
      <c r="N54" s="6"/>
      <c r="O54" s="6">
        <v>1</v>
      </c>
      <c r="P54" s="6">
        <v>1</v>
      </c>
      <c r="Q54" s="5"/>
      <c r="R54" s="5">
        <v>1</v>
      </c>
      <c r="S54" s="5">
        <f ca="1">IF(MatchData[[#This Row],[Auto Crossing Test Generator]]=0,RANDBETWEEN(0,1),0)</f>
        <v>1</v>
      </c>
      <c r="T54" s="5">
        <f ca="1">IF(MatchData[Auto Crossing Test Generator]=1,1,0)</f>
        <v>0</v>
      </c>
      <c r="U54" s="5">
        <f ca="1">IF(MatchData[[#This Row],[Auto Crossing Test Generator]]=2,RANDBETWEEN(0,1),0)</f>
        <v>0</v>
      </c>
      <c r="V54" s="5">
        <f ca="1">IF(MatchData[[#This Row],[Auto Crossing Test Generator]]=3,RANDBETWEEN(0,1),0)</f>
        <v>0</v>
      </c>
      <c r="W54" s="5">
        <f ca="1">IF(MatchData[[#This Row],[Auto Crossing Test Generator]]=4,RANDBETWEEN(0,1),0)</f>
        <v>0</v>
      </c>
      <c r="X54" s="5">
        <f ca="1">IF(MatchData[[#This Row],[Auto Crossing Test Generator]]=5,RANDBETWEEN(0,1),0)</f>
        <v>0</v>
      </c>
      <c r="Y54" s="5">
        <f ca="1">IF(MatchData[[#This Row],[Auto Crossing Test Generator]]=6,RANDBETWEEN(0,1),0)</f>
        <v>0</v>
      </c>
      <c r="Z54" s="5">
        <f ca="1">IF(MatchData[[#This Row],[Auto Crossing Test Generator]]=7,RANDBETWEEN(0,1),0)</f>
        <v>0</v>
      </c>
      <c r="AA54" s="5">
        <f ca="1">IF(MatchData[[#This Row],[Auto Crossing Test Generator]]=8,RANDBETWEEN(0,1),0)</f>
        <v>0</v>
      </c>
      <c r="AB54" s="5">
        <f ca="1">IF(MatchData[[#This Row],[Auto Crossing Test Generator]]&gt;8,RANDBETWEEN(0,1),0)</f>
        <v>0</v>
      </c>
      <c r="AC54" s="5">
        <f ca="1">IF(MatchData[[#This Row],[Auto Crossing Test Generator]]=9,RANDBETWEEN(0,1),0)</f>
        <v>0</v>
      </c>
      <c r="AD54" s="5">
        <f ca="1">IF(MatchData[[#This Row],[Cheval Available]]=1,RANDBETWEEN(0,MatchData[[#This Row],[Cheval High]]),0)</f>
        <v>0</v>
      </c>
      <c r="AE54" s="5">
        <f ca="1">IF(MatchData[[#This Row],[Moat Available]]=1,RANDBETWEEN(0,MatchData[[#This Row],[Moat High]]),0)</f>
        <v>0</v>
      </c>
      <c r="AF54" s="5">
        <f ca="1">IF(MatchData[[#This Row],[Ramparts Available]]=1,RANDBETWEEN(0,MatchData[[#This Row],[Ramparts High]]),0)</f>
        <v>1</v>
      </c>
      <c r="AG54" s="5">
        <f ca="1">IF(MatchData[[#This Row],[Drawbridge Available]]=1,RANDBETWEEN(0,MatchData[[#This Row],[Drawbridge High]]),0)</f>
        <v>0</v>
      </c>
      <c r="AH54" s="5">
        <f ca="1">IF(MatchData[[#This Row],[Sally Port Available]]=1,RANDBETWEEN(0,MatchData[[#This Row],[Sally Port High]]),0)</f>
        <v>0</v>
      </c>
      <c r="AI54" s="5">
        <f ca="1">IF(MatchData[[#This Row],[Rock Wall Available]]=1,RANDBETWEEN(0,MatchData[[#This Row],[Rock Wall High]]),0)</f>
        <v>1</v>
      </c>
      <c r="AJ54" s="5">
        <f ca="1">IF(MatchData[[#This Row],[Rough Terrain Available]]=1,RANDBETWEEN(0,MatchData[[#This Row],[Rough Terrain High]]),0)</f>
        <v>0</v>
      </c>
      <c r="AK54" s="5">
        <f ca="1">IF(MatchData[[#This Row],[Low Bar Available]]=1,RANDBETWEEN(0,MatchData[[#This Row],[Low Bar High]]),0)</f>
        <v>0</v>
      </c>
      <c r="AL54" s="5">
        <f ca="1">IF(MatchData[Cheval Teleop Crossings]&gt;3,10, MatchData[Cheval Teleop Crossings]*5)</f>
        <v>0</v>
      </c>
      <c r="AM54" s="5">
        <f ca="1">IF(MatchData[Moat Teleop Crossings]&gt;3,10, MatchData[Moat Teleop Crossings]*5)</f>
        <v>0</v>
      </c>
      <c r="AN54" s="5">
        <f ca="1">IF(MatchData[Ramparts Teleop Crossings]&gt;3,10, MatchData[Ramparts Teleop Crossings]*5)</f>
        <v>5</v>
      </c>
      <c r="AO54" s="5">
        <f ca="1">IF(MatchData[Drawbridge Teleop Crossings]&gt;3,10, MatchData[Drawbridge Teleop Crossings]*5)</f>
        <v>0</v>
      </c>
      <c r="AP54" s="5">
        <f ca="1">IF(MatchData[Sally Port Teleop Crossings]&gt;3,10, MatchData[Sally Port Teleop Crossings]*5)</f>
        <v>0</v>
      </c>
      <c r="AQ54" s="5">
        <f ca="1">IF(MatchData[Rock Wall Teleop Crossings]&gt;3,10, MatchData[Rock Wall Teleop Crossings]*5)</f>
        <v>5</v>
      </c>
      <c r="AR54" s="5">
        <f ca="1">IF(MatchData[Rough Terrain Teleop Crossings]&gt;3,10, MatchData[Rough Terrain Teleop Crossings]*5)</f>
        <v>0</v>
      </c>
      <c r="AS54" s="5">
        <f ca="1">IF(MatchData[Low Bar Teleop Crossings]&gt;3,10, MatchData[Low Bar Teleop Crossings]*5)</f>
        <v>0</v>
      </c>
      <c r="AT54" s="5">
        <f ca="1">SUM(MatchData[[#This Row],[Portcullis Teleop Crossings]:[Low Bar Teleop Crossings]])</f>
        <v>2</v>
      </c>
      <c r="AU54" s="5">
        <f ca="1">IF(RANDBETWEEN(1,4)&gt;1,1,0)</f>
        <v>1</v>
      </c>
      <c r="AV54" s="5">
        <f ca="1">IF(MatchData[[#This Row],[Challenge Flag]]=1,0,IF(MatchData[[#This Row],[Climber]]=1,RANDBETWEEN(0,1),0))</f>
        <v>0</v>
      </c>
      <c r="AW54" s="5">
        <f ca="1">IF(MatchData[[#This Row],[Crossing Score]]&gt;=40,1,0)</f>
        <v>0</v>
      </c>
      <c r="AX54" s="5"/>
      <c r="AY54" s="5">
        <f ca="1">IF(RANDBETWEEN(1,100)&gt;95,1,0)</f>
        <v>0</v>
      </c>
      <c r="AZ54" s="5">
        <f ca="1">IF(RANDBETWEEN(1,100)&gt;80,1,0)</f>
        <v>0</v>
      </c>
      <c r="BA54" s="5">
        <f ca="1">IF(OR(MatchData[[#This Row],[Challenge Flag]],MatchData[[#This Row],[Climb Flag]]),1,0)</f>
        <v>1</v>
      </c>
      <c r="BB54" s="5">
        <f ca="1">MatchData[Auto High Goals]*10+MatchData[Teleop High Goals]*5</f>
        <v>0</v>
      </c>
      <c r="BC54" s="5">
        <f ca="1">MatchData[Auto Low Goals]*5+MatchData[Teleop Low Goals]*2</f>
        <v>0</v>
      </c>
      <c r="BD54" s="5">
        <f ca="1">MatchData[High Goal Score]+MatchData[Low Goal Score]</f>
        <v>0</v>
      </c>
      <c r="BE54" s="5">
        <f ca="1">MatchData[Teleop High Goals]+MatchData[Teleop Low Goals]</f>
        <v>0</v>
      </c>
      <c r="BF54" s="5">
        <f ca="1">MatchData[[#This Row],[Auto Reach Flag]]*2+SUM(MatchData[[#This Row],[Portcullis Auto Crossings]:[Low Bar Auto Crossings]])*10+MatchData[[#This Row],[Auto Low Goals]]*5+MatchData[Auto High Goals]*10</f>
        <v>2</v>
      </c>
      <c r="BG54" s="5">
        <f ca="1">SUM(MatchData[[#This Row],[Cheval Scored Teleop Crossings]:[Low Bar Scored Teleop Crossings]])</f>
        <v>10</v>
      </c>
      <c r="BH54" s="5">
        <f ca="1">MatchData[Challenge Flag]*5</f>
        <v>5</v>
      </c>
      <c r="BI54" s="5">
        <f ca="1">MatchData[Climb Flag]*15</f>
        <v>0</v>
      </c>
      <c r="BJ54" s="5">
        <f ca="1">SUM(MatchData[[#This Row],[Total Goal Score]],MatchData[[#This Row],[Crossing Score]],MatchData[[#This Row],[Challenge Score]],MatchData[[#This Row],[Climb Score]],MatchData[[#This Row],[Total Auto Score]])</f>
        <v>17</v>
      </c>
      <c r="BK54">
        <v>1</v>
      </c>
      <c r="BL54" s="5">
        <f ca="1">IF(RANDBETWEEN(0,10)&gt;=9,RANDBETWEEN(1,9),0)</f>
        <v>0</v>
      </c>
      <c r="BM54" s="5">
        <f>VLOOKUP(MatchData[[#This Row],[Persona]],Personas!$A$2:$O$5,3)</f>
        <v>0</v>
      </c>
      <c r="BN54" s="13">
        <f>VLOOKUP(MatchData[[#This Row],[Persona]],Personas!$A$2:$P$5,4)</f>
        <v>0</v>
      </c>
      <c r="BO54" s="13">
        <f>VLOOKUP(MatchData[[#This Row],[Persona]],Personas!$A$2:$P$5,5)</f>
        <v>0</v>
      </c>
      <c r="BP54" s="13">
        <f>VLOOKUP(MatchData[[#This Row],[Persona]],Personas!$A$2:$P$5,6)</f>
        <v>0</v>
      </c>
      <c r="BQ54" s="13">
        <f>VLOOKUP(MatchData[[#This Row],[Persona]],Personas!$A$2:$P$5,7)</f>
        <v>0</v>
      </c>
      <c r="BR54" s="13">
        <f>VLOOKUP(MatchData[[#This Row],[Persona]],Personas!$A$2:$P$5,8)</f>
        <v>0</v>
      </c>
      <c r="BS54" s="13">
        <f>VLOOKUP(MatchData[[#This Row],[Persona]],Personas!$A$2:$P$5,9)</f>
        <v>2</v>
      </c>
      <c r="BT54" s="13">
        <f>VLOOKUP(MatchData[[#This Row],[Persona]],Personas!$A$2:$P$5,10)</f>
        <v>2</v>
      </c>
      <c r="BU54" s="13">
        <f>VLOOKUP(MatchData[[#This Row],[Persona]],Personas!$A$2:$P$5,11)</f>
        <v>0</v>
      </c>
      <c r="BV54" s="13">
        <f>VLOOKUP(MatchData[[#This Row],[Persona]],Personas!$A$2:$P$5,12)</f>
        <v>0</v>
      </c>
      <c r="BW54" s="13">
        <f>VLOOKUP(MatchData[[#This Row],[Persona]],Personas!$A$2:$P$5,13)</f>
        <v>2</v>
      </c>
      <c r="BX54" s="13">
        <f>VLOOKUP(MatchData[[#This Row],[Persona]],Personas!$A$2:$P$5,14)</f>
        <v>2</v>
      </c>
      <c r="BY54" s="13">
        <f>VLOOKUP(MatchData[[#This Row],[Persona]],Personas!$A$2:$P$5,15)</f>
        <v>2</v>
      </c>
      <c r="BZ54" s="13">
        <f>VLOOKUP(MatchData[[#This Row],[Persona]],Personas!$A$2:$P$5,16)</f>
        <v>0</v>
      </c>
      <c r="CA54" s="14">
        <f ca="1">ROUND(SUMIF(MatchData[Team],MatchData[[#This Row],[Team]],MatchData[Teleop Low Goals])/COUNTIF(MatchData[Team],MatchData[[#This Row],[Team]]),2)</f>
        <v>0</v>
      </c>
      <c r="CB54" s="14">
        <f ca="1">ROUND(SUMIF(MatchData[Team],MatchData[[#This Row],[Team]],MatchData[Teleop High Goals])/COUNTIF(MatchData[Team],MatchData[[#This Row],[Team]]),2)</f>
        <v>0</v>
      </c>
      <c r="CC54" s="14">
        <f>COUNTIF(MatchData[Team],MatchData[[#This Row],[Team]])</f>
        <v>5</v>
      </c>
      <c r="CD54" s="14">
        <f>SUMIF(MatchData[Team],MatchData[[#This Row],[Team]],MatchData[Portcullis Available])</f>
        <v>2</v>
      </c>
      <c r="CE54" s="14">
        <f>SUMIF(MatchData[Team],MatchData[[#This Row],[Team]],MatchData[Cheval Available])</f>
        <v>3</v>
      </c>
      <c r="CF54" s="14">
        <f>SUMIF(MatchData[Team],MatchData[[#This Row],[Team]],MatchData[Moat Available])</f>
        <v>3</v>
      </c>
      <c r="CG54" s="14">
        <f>SUMIF(MatchData[Team],MatchData[[#This Row],[Team]],MatchData[Ramparts Available])</f>
        <v>2</v>
      </c>
      <c r="CH54" s="14">
        <f>SUMIF(MatchData[Team],MatchData[[#This Row],[Team]],MatchData[Drawbridge Available])</f>
        <v>3</v>
      </c>
      <c r="CI54" s="14">
        <f>SUMIF(MatchData[Team],MatchData[[#This Row],[Team]],MatchData[Sally Port Available])</f>
        <v>2</v>
      </c>
      <c r="CJ54" s="14">
        <f>SUMIF(MatchData[Team],MatchData[[#This Row],[Team]],MatchData[Rock Wall Available])</f>
        <v>2</v>
      </c>
      <c r="CK54" s="14">
        <f>SUMIF(MatchData[Team],MatchData[[#This Row],[Team]],MatchData[Rough Terrain Available])</f>
        <v>3</v>
      </c>
      <c r="CL54" s="14">
        <f>SUMIF(MatchData[Team],MatchData[[#This Row],[Team]],MatchData[Low Bar Available])</f>
        <v>5</v>
      </c>
      <c r="CM54" s="14">
        <f ca="1">SUMIF(MatchData[Team],MatchData[[#This Row],[Team]],MatchData[Portcullis Teleop Crossings])</f>
        <v>0</v>
      </c>
      <c r="CN54" s="14">
        <f ca="1">SUMIF(MatchData[Team],MatchData[[#This Row],[Team]],MatchData[Cheval Teleop Crossings])</f>
        <v>0</v>
      </c>
      <c r="CO54" s="14">
        <f ca="1">SUMIF(MatchData[Team],MatchData[[#This Row],[Team]],MatchData[Moat Teleop Crossings])</f>
        <v>5</v>
      </c>
      <c r="CP54" s="14">
        <f ca="1">SUMIF(MatchData[Team],MatchData[[#This Row],[Team]],MatchData[Ramparts Teleop Crossings])</f>
        <v>2</v>
      </c>
      <c r="CQ54" s="14">
        <f ca="1">SUMIF(MatchData[Team],MatchData[[#This Row],[Team]],MatchData[Drawbridge Teleop Crossings])</f>
        <v>0</v>
      </c>
      <c r="CR54" s="14">
        <f ca="1">SUMIF(MatchData[Team],MatchData[[#This Row],[Team]],MatchData[Sally Port Teleop Crossings])</f>
        <v>0</v>
      </c>
      <c r="CS54" s="14">
        <f ca="1">SUMIF(MatchData[Team],MatchData[[#This Row],[Team]],MatchData[Rock Wall Teleop Crossings])</f>
        <v>2</v>
      </c>
      <c r="CT54" s="14">
        <f ca="1">SUMIF(MatchData[Team],MatchData[[#This Row],[Team]],MatchData[Rough Terrain Teleop Crossings])</f>
        <v>4</v>
      </c>
      <c r="CU54" s="14">
        <f ca="1">SUMIF(MatchData[Team],MatchData[[#This Row],[Team]],MatchData[Low Bar Teleop Crossings])</f>
        <v>1</v>
      </c>
      <c r="CV54" s="14">
        <f ca="1">IFERROR(ROUND(MatchData[[#This Row],[Portcullis Sum]]/MatchData[[#This Row],[Portcullis Avail Count]],2),0)</f>
        <v>0</v>
      </c>
      <c r="CW54">
        <f ca="1">IFERROR(ROUND(MatchData[[#This Row],[Cheval Sum]]/MatchData[[#This Row],[Cheval Avail Count]],2),0)</f>
        <v>0</v>
      </c>
      <c r="CX54">
        <f ca="1">IFERROR(ROUND(MatchData[[#This Row],[Moat Sum]]/MatchData[[#This Row],[Moat Avail Count]],2),0)</f>
        <v>1.67</v>
      </c>
      <c r="CY54">
        <f ca="1">IFERROR(ROUND(MatchData[[#This Row],[Ramparts Sum]]/MatchData[[#This Row],[Ramparts Avail Count]],2),0)</f>
        <v>1</v>
      </c>
      <c r="CZ54">
        <f ca="1">IFERROR(ROUND(MatchData[[#This Row],[Drawbridge Sum]]/MatchData[[#This Row],[Drawbridge HAvail Countigh6]],2),0)</f>
        <v>0</v>
      </c>
      <c r="DA54">
        <f ca="1">IFERROR(ROUND(MatchData[[#This Row],[Sally Port Sum]]/MatchData[[#This Row],[Sally Port Avail Count]],2),0)</f>
        <v>0</v>
      </c>
      <c r="DB54">
        <f ca="1">IFERROR(ROUND(MatchData[[#This Row],[Rock Wall Sum]]/MatchData[[#This Row],[Rock Wall Avail Count]],2),0)</f>
        <v>1</v>
      </c>
      <c r="DC54">
        <f ca="1">IFERROR(ROUND(MatchData[[#This Row],[Rough Terrain Sum]]/MatchData[[#This Row],[Rough Terrain Avail Count]],2),0)</f>
        <v>1.33</v>
      </c>
      <c r="DD54">
        <f ca="1">IFERROR(ROUND(MatchData[[#This Row],[Low Bar Sum]]/MatchData[[#This Row],[Low Bar Avail Count]],2),0)</f>
        <v>0.2</v>
      </c>
      <c r="DE54" s="14">
        <f t="array" aca="1" ref="DE54" ca="1">MAX(IF(C$4:C$75=C54,BE$4:BE$75))</f>
        <v>0</v>
      </c>
      <c r="DF54" s="14">
        <f ca="1">AVERAGEIF(MatchData[Team],MatchData[Team],MatchData[Total Score])</f>
        <v>18.8</v>
      </c>
      <c r="DG54" s="14">
        <f ca="1">ROUND(AVERAGEIF(MatchData[Team],MatchData[Team],MatchData[Climb or Challenge Flag]),2)</f>
        <v>0.8</v>
      </c>
    </row>
    <row r="55" spans="1:111">
      <c r="A55" t="s">
        <v>54</v>
      </c>
      <c r="B55" s="4">
        <v>2</v>
      </c>
      <c r="C55">
        <v>1011</v>
      </c>
      <c r="D55" t="s">
        <v>56</v>
      </c>
      <c r="E55" t="s">
        <v>59</v>
      </c>
      <c r="F55">
        <f ca="1">IF(MatchData[[#This Row],[Persona]] = 4,RANDBETWEEN(0,1),0)</f>
        <v>0</v>
      </c>
      <c r="G55">
        <f ca="1">IF(MatchData[[#This Row],[Persona]] = 3,RANDBETWEEN(0,1),0)</f>
        <v>0</v>
      </c>
      <c r="H55">
        <f ca="1">RANDBETWEEN(MatchData[[#This Row],[High Goal Low]],MatchData[[#This Row],[High Goal High]])</f>
        <v>0</v>
      </c>
      <c r="I55">
        <f ca="1">RANDBETWEEN(MatchData[[#This Row],[Low Goal Low]],MatchData[[#This Row],[Low Goal High]])</f>
        <v>2</v>
      </c>
      <c r="J55" s="6"/>
      <c r="K55" s="6">
        <v>1</v>
      </c>
      <c r="L55" s="6">
        <v>1</v>
      </c>
      <c r="M55" s="6"/>
      <c r="N55" s="6">
        <v>1</v>
      </c>
      <c r="O55" s="6"/>
      <c r="P55" s="6"/>
      <c r="Q55" s="5">
        <v>1</v>
      </c>
      <c r="R55" s="5">
        <v>1</v>
      </c>
      <c r="S55" s="5">
        <f ca="1">IF(MatchData[[#This Row],[Auto Crossing Test Generator]]=0,RANDBETWEEN(0,1),0)</f>
        <v>0</v>
      </c>
      <c r="T55" s="5">
        <f ca="1">IF(MatchData[Auto Crossing Test Generator]=1,1,0)</f>
        <v>0</v>
      </c>
      <c r="U55" s="5">
        <f ca="1">IF(MatchData[[#This Row],[Auto Crossing Test Generator]]=2,RANDBETWEEN(0,1),0)</f>
        <v>0</v>
      </c>
      <c r="V55" s="5">
        <f ca="1">IF(MatchData[[#This Row],[Auto Crossing Test Generator]]=3,RANDBETWEEN(0,1),0)</f>
        <v>0</v>
      </c>
      <c r="W55" s="5">
        <f ca="1">IF(MatchData[[#This Row],[Auto Crossing Test Generator]]=4,RANDBETWEEN(0,1),0)</f>
        <v>0</v>
      </c>
      <c r="X55" s="5">
        <f ca="1">IF(MatchData[[#This Row],[Auto Crossing Test Generator]]=5,RANDBETWEEN(0,1),0)</f>
        <v>0</v>
      </c>
      <c r="Y55" s="5">
        <f ca="1">IF(MatchData[[#This Row],[Auto Crossing Test Generator]]=6,RANDBETWEEN(0,1),0)</f>
        <v>0</v>
      </c>
      <c r="Z55" s="5">
        <f ca="1">IF(MatchData[[#This Row],[Auto Crossing Test Generator]]=7,RANDBETWEEN(0,1),0)</f>
        <v>0</v>
      </c>
      <c r="AA55" s="5">
        <f ca="1">IF(MatchData[[#This Row],[Auto Crossing Test Generator]]=8,RANDBETWEEN(0,1),0)</f>
        <v>0</v>
      </c>
      <c r="AB55" s="5">
        <f ca="1">IF(MatchData[[#This Row],[Auto Crossing Test Generator]]&gt;8,RANDBETWEEN(0,1),0)</f>
        <v>0</v>
      </c>
      <c r="AC55" s="5">
        <f ca="1">IF(MatchData[[#This Row],[Auto Crossing Test Generator]]=9,RANDBETWEEN(0,1),0)</f>
        <v>0</v>
      </c>
      <c r="AD55" s="5">
        <f ca="1">IF(MatchData[[#This Row],[Cheval Available]]=1,RANDBETWEEN(0,MatchData[[#This Row],[Cheval High]]),0)</f>
        <v>0</v>
      </c>
      <c r="AE55" s="5">
        <f ca="1">IF(MatchData[[#This Row],[Moat Available]]=1,RANDBETWEEN(0,MatchData[[#This Row],[Moat High]]),0)</f>
        <v>2</v>
      </c>
      <c r="AF55" s="5">
        <f ca="1">IF(MatchData[[#This Row],[Ramparts Available]]=1,RANDBETWEEN(0,MatchData[[#This Row],[Ramparts High]]),0)</f>
        <v>0</v>
      </c>
      <c r="AG55" s="5">
        <f ca="1">IF(MatchData[[#This Row],[Drawbridge Available]]=1,RANDBETWEEN(0,MatchData[[#This Row],[Drawbridge High]]),0)</f>
        <v>0</v>
      </c>
      <c r="AH55" s="5">
        <f ca="1">IF(MatchData[[#This Row],[Sally Port Available]]=1,RANDBETWEEN(0,MatchData[[#This Row],[Sally Port High]]),0)</f>
        <v>0</v>
      </c>
      <c r="AI55" s="5">
        <f ca="1">IF(MatchData[[#This Row],[Rock Wall Available]]=1,RANDBETWEEN(0,MatchData[[#This Row],[Rock Wall High]]),0)</f>
        <v>0</v>
      </c>
      <c r="AJ55" s="5">
        <f ca="1">IF(MatchData[[#This Row],[Rough Terrain Available]]=1,RANDBETWEEN(0,MatchData[[#This Row],[Rough Terrain High]]),0)</f>
        <v>2</v>
      </c>
      <c r="AK55" s="5">
        <f ca="1">IF(MatchData[[#This Row],[Low Bar Available]]=1,RANDBETWEEN(0,MatchData[[#This Row],[Low Bar High]]),0)</f>
        <v>2</v>
      </c>
      <c r="AL55" s="5">
        <f ca="1">IF(MatchData[Cheval Teleop Crossings]&gt;3,10, MatchData[Cheval Teleop Crossings]*5)</f>
        <v>0</v>
      </c>
      <c r="AM55" s="5">
        <f ca="1">IF(MatchData[Moat Teleop Crossings]&gt;3,10, MatchData[Moat Teleop Crossings]*5)</f>
        <v>10</v>
      </c>
      <c r="AN55" s="5">
        <f ca="1">IF(MatchData[Ramparts Teleop Crossings]&gt;3,10, MatchData[Ramparts Teleop Crossings]*5)</f>
        <v>0</v>
      </c>
      <c r="AO55" s="5">
        <f ca="1">IF(MatchData[Drawbridge Teleop Crossings]&gt;3,10, MatchData[Drawbridge Teleop Crossings]*5)</f>
        <v>0</v>
      </c>
      <c r="AP55" s="5">
        <f ca="1">IF(MatchData[Sally Port Teleop Crossings]&gt;3,10, MatchData[Sally Port Teleop Crossings]*5)</f>
        <v>0</v>
      </c>
      <c r="AQ55" s="5">
        <f ca="1">IF(MatchData[Rock Wall Teleop Crossings]&gt;3,10, MatchData[Rock Wall Teleop Crossings]*5)</f>
        <v>0</v>
      </c>
      <c r="AR55" s="5">
        <f ca="1">IF(MatchData[Rough Terrain Teleop Crossings]&gt;3,10, MatchData[Rough Terrain Teleop Crossings]*5)</f>
        <v>10</v>
      </c>
      <c r="AS55" s="5">
        <f ca="1">IF(MatchData[Low Bar Teleop Crossings]&gt;3,10, MatchData[Low Bar Teleop Crossings]*5)</f>
        <v>10</v>
      </c>
      <c r="AT55" s="5">
        <f ca="1">SUM(MatchData[[#This Row],[Portcullis Teleop Crossings]:[Low Bar Teleop Crossings]])</f>
        <v>6</v>
      </c>
      <c r="AU55" s="5">
        <f ca="1">IF(RANDBETWEEN(1,4)&gt;1,1,0)</f>
        <v>0</v>
      </c>
      <c r="AV55" s="5">
        <f ca="1">IF(MatchData[[#This Row],[Challenge Flag]]=1,0,IF(MatchData[[#This Row],[Climber]]=1,RANDBETWEEN(0,1),0))</f>
        <v>1</v>
      </c>
      <c r="AW55" s="5">
        <f ca="1">IF(MatchData[[#This Row],[Crossing Score]]&gt;=40,1,0)</f>
        <v>0</v>
      </c>
      <c r="AX55" s="5"/>
      <c r="AY55" s="5">
        <f ca="1">IF(RANDBETWEEN(1,100)&gt;95,1,0)</f>
        <v>0</v>
      </c>
      <c r="AZ55" s="5">
        <f ca="1">IF(RANDBETWEEN(1,100)&gt;80,1,0)</f>
        <v>0</v>
      </c>
      <c r="BA55" s="5">
        <f ca="1">IF(OR(MatchData[[#This Row],[Challenge Flag]],MatchData[[#This Row],[Climb Flag]]),1,0)</f>
        <v>1</v>
      </c>
      <c r="BB55" s="5">
        <f ca="1">MatchData[Auto High Goals]*10+MatchData[Teleop High Goals]*5</f>
        <v>0</v>
      </c>
      <c r="BC55" s="5">
        <f ca="1">MatchData[Auto Low Goals]*5+MatchData[Teleop Low Goals]*2</f>
        <v>4</v>
      </c>
      <c r="BD55" s="5">
        <f ca="1">MatchData[High Goal Score]+MatchData[Low Goal Score]</f>
        <v>4</v>
      </c>
      <c r="BE55" s="5">
        <f ca="1">MatchData[Teleop High Goals]+MatchData[Teleop Low Goals]</f>
        <v>2</v>
      </c>
      <c r="BF55" s="5">
        <f ca="1">MatchData[[#This Row],[Auto Reach Flag]]*2+SUM(MatchData[[#This Row],[Portcullis Auto Crossings]:[Low Bar Auto Crossings]])*10+MatchData[[#This Row],[Auto Low Goals]]*5+MatchData[Auto High Goals]*10</f>
        <v>0</v>
      </c>
      <c r="BG55" s="5">
        <f ca="1">SUM(MatchData[[#This Row],[Cheval Scored Teleop Crossings]:[Low Bar Scored Teleop Crossings]])</f>
        <v>30</v>
      </c>
      <c r="BH55" s="5">
        <f ca="1">MatchData[Challenge Flag]*5</f>
        <v>0</v>
      </c>
      <c r="BI55" s="5">
        <f ca="1">MatchData[Climb Flag]*15</f>
        <v>15</v>
      </c>
      <c r="BJ55" s="5">
        <f ca="1">SUM(MatchData[[#This Row],[Total Goal Score]],MatchData[[#This Row],[Crossing Score]],MatchData[[#This Row],[Challenge Score]],MatchData[[#This Row],[Climb Score]],MatchData[[#This Row],[Total Auto Score]])</f>
        <v>49</v>
      </c>
      <c r="BK55">
        <v>2</v>
      </c>
      <c r="BL55" s="5">
        <f ca="1">IF(RANDBETWEEN(0,10)&gt;=9,RANDBETWEEN(1,9),0)</f>
        <v>0</v>
      </c>
      <c r="BM55" s="5">
        <f>VLOOKUP(MatchData[[#This Row],[Persona]],Personas!$A$2:$O$5,3)</f>
        <v>1</v>
      </c>
      <c r="BN55" s="13">
        <f>VLOOKUP(MatchData[[#This Row],[Persona]],Personas!$A$2:$P$5,4)</f>
        <v>4</v>
      </c>
      <c r="BO55" s="13">
        <f>VLOOKUP(MatchData[[#This Row],[Persona]],Personas!$A$2:$P$5,5)</f>
        <v>0</v>
      </c>
      <c r="BP55" s="13">
        <f>VLOOKUP(MatchData[[#This Row],[Persona]],Personas!$A$2:$P$5,6)</f>
        <v>0</v>
      </c>
      <c r="BQ55" s="13">
        <f>VLOOKUP(MatchData[[#This Row],[Persona]],Personas!$A$2:$P$5,7)</f>
        <v>0</v>
      </c>
      <c r="BR55" s="13">
        <f>VLOOKUP(MatchData[[#This Row],[Persona]],Personas!$A$2:$P$5,8)</f>
        <v>0</v>
      </c>
      <c r="BS55" s="13">
        <f>VLOOKUP(MatchData[[#This Row],[Persona]],Personas!$A$2:$P$5,9)</f>
        <v>2</v>
      </c>
      <c r="BT55" s="13">
        <f>VLOOKUP(MatchData[[#This Row],[Persona]],Personas!$A$2:$P$5,10)</f>
        <v>2</v>
      </c>
      <c r="BU55" s="13">
        <f>VLOOKUP(MatchData[[#This Row],[Persona]],Personas!$A$2:$P$5,11)</f>
        <v>0</v>
      </c>
      <c r="BV55" s="13">
        <f>VLOOKUP(MatchData[[#This Row],[Persona]],Personas!$A$2:$P$5,12)</f>
        <v>0</v>
      </c>
      <c r="BW55" s="13">
        <f>VLOOKUP(MatchData[[#This Row],[Persona]],Personas!$A$2:$P$5,13)</f>
        <v>2</v>
      </c>
      <c r="BX55" s="13">
        <f>VLOOKUP(MatchData[[#This Row],[Persona]],Personas!$A$2:$P$5,14)</f>
        <v>2</v>
      </c>
      <c r="BY55" s="13">
        <f>VLOOKUP(MatchData[[#This Row],[Persona]],Personas!$A$2:$P$5,15)</f>
        <v>2</v>
      </c>
      <c r="BZ55" s="13">
        <f>VLOOKUP(MatchData[[#This Row],[Persona]],Personas!$A$2:$P$5,16)</f>
        <v>1</v>
      </c>
      <c r="CA55" s="14">
        <f ca="1">ROUND(SUMIF(MatchData[Team],MatchData[[#This Row],[Team]],MatchData[Teleop Low Goals])/COUNTIF(MatchData[Team],MatchData[[#This Row],[Team]]),2)</f>
        <v>3</v>
      </c>
      <c r="CB55" s="14">
        <f ca="1">ROUND(SUMIF(MatchData[Team],MatchData[[#This Row],[Team]],MatchData[Teleop High Goals])/COUNTIF(MatchData[Team],MatchData[[#This Row],[Team]]),2)</f>
        <v>0</v>
      </c>
      <c r="CC55" s="14">
        <f>COUNTIF(MatchData[Team],MatchData[[#This Row],[Team]])</f>
        <v>5</v>
      </c>
      <c r="CD55" s="14">
        <f>SUMIF(MatchData[Team],MatchData[[#This Row],[Team]],MatchData[Portcullis Available])</f>
        <v>3</v>
      </c>
      <c r="CE55" s="14">
        <f>SUMIF(MatchData[Team],MatchData[[#This Row],[Team]],MatchData[Cheval Available])</f>
        <v>2</v>
      </c>
      <c r="CF55" s="14">
        <f>SUMIF(MatchData[Team],MatchData[[#This Row],[Team]],MatchData[Moat Available])</f>
        <v>2</v>
      </c>
      <c r="CG55" s="14">
        <f>SUMIF(MatchData[Team],MatchData[[#This Row],[Team]],MatchData[Ramparts Available])</f>
        <v>3</v>
      </c>
      <c r="CH55" s="14">
        <f>SUMIF(MatchData[Team],MatchData[[#This Row],[Team]],MatchData[Drawbridge Available])</f>
        <v>2</v>
      </c>
      <c r="CI55" s="14">
        <f>SUMIF(MatchData[Team],MatchData[[#This Row],[Team]],MatchData[Sally Port Available])</f>
        <v>3</v>
      </c>
      <c r="CJ55" s="14">
        <f>SUMIF(MatchData[Team],MatchData[[#This Row],[Team]],MatchData[Rock Wall Available])</f>
        <v>3</v>
      </c>
      <c r="CK55" s="14">
        <f>SUMIF(MatchData[Team],MatchData[[#This Row],[Team]],MatchData[Rough Terrain Available])</f>
        <v>2</v>
      </c>
      <c r="CL55" s="14">
        <f>SUMIF(MatchData[Team],MatchData[[#This Row],[Team]],MatchData[Low Bar Available])</f>
        <v>5</v>
      </c>
      <c r="CM55" s="14">
        <f ca="1">SUMIF(MatchData[Team],MatchData[[#This Row],[Team]],MatchData[Portcullis Teleop Crossings])</f>
        <v>0</v>
      </c>
      <c r="CN55" s="14">
        <f ca="1">SUMIF(MatchData[Team],MatchData[[#This Row],[Team]],MatchData[Cheval Teleop Crossings])</f>
        <v>0</v>
      </c>
      <c r="CO55" s="14">
        <f ca="1">SUMIF(MatchData[Team],MatchData[[#This Row],[Team]],MatchData[Moat Teleop Crossings])</f>
        <v>2</v>
      </c>
      <c r="CP55" s="14">
        <f ca="1">SUMIF(MatchData[Team],MatchData[[#This Row],[Team]],MatchData[Ramparts Teleop Crossings])</f>
        <v>3</v>
      </c>
      <c r="CQ55" s="14">
        <f ca="1">SUMIF(MatchData[Team],MatchData[[#This Row],[Team]],MatchData[Drawbridge Teleop Crossings])</f>
        <v>0</v>
      </c>
      <c r="CR55" s="14">
        <f ca="1">SUMIF(MatchData[Team],MatchData[[#This Row],[Team]],MatchData[Sally Port Teleop Crossings])</f>
        <v>0</v>
      </c>
      <c r="CS55" s="14">
        <f ca="1">SUMIF(MatchData[Team],MatchData[[#This Row],[Team]],MatchData[Rock Wall Teleop Crossings])</f>
        <v>3</v>
      </c>
      <c r="CT55" s="14">
        <f ca="1">SUMIF(MatchData[Team],MatchData[[#This Row],[Team]],MatchData[Rough Terrain Teleop Crossings])</f>
        <v>2</v>
      </c>
      <c r="CU55" s="14">
        <f ca="1">SUMIF(MatchData[Team],MatchData[[#This Row],[Team]],MatchData[Low Bar Teleop Crossings])</f>
        <v>5</v>
      </c>
      <c r="CV55" s="14">
        <f ca="1">IFERROR(ROUND(MatchData[[#This Row],[Portcullis Sum]]/MatchData[[#This Row],[Portcullis Avail Count]],2),0)</f>
        <v>0</v>
      </c>
      <c r="CW55">
        <f ca="1">IFERROR(ROUND(MatchData[[#This Row],[Cheval Sum]]/MatchData[[#This Row],[Cheval Avail Count]],2),0)</f>
        <v>0</v>
      </c>
      <c r="CX55">
        <f ca="1">IFERROR(ROUND(MatchData[[#This Row],[Moat Sum]]/MatchData[[#This Row],[Moat Avail Count]],2),0)</f>
        <v>1</v>
      </c>
      <c r="CY55">
        <f ca="1">IFERROR(ROUND(MatchData[[#This Row],[Ramparts Sum]]/MatchData[[#This Row],[Ramparts Avail Count]],2),0)</f>
        <v>1</v>
      </c>
      <c r="CZ55">
        <f ca="1">IFERROR(ROUND(MatchData[[#This Row],[Drawbridge Sum]]/MatchData[[#This Row],[Drawbridge HAvail Countigh6]],2),0)</f>
        <v>0</v>
      </c>
      <c r="DA55">
        <f ca="1">IFERROR(ROUND(MatchData[[#This Row],[Sally Port Sum]]/MatchData[[#This Row],[Sally Port Avail Count]],2),0)</f>
        <v>0</v>
      </c>
      <c r="DB55">
        <f ca="1">IFERROR(ROUND(MatchData[[#This Row],[Rock Wall Sum]]/MatchData[[#This Row],[Rock Wall Avail Count]],2),0)</f>
        <v>1</v>
      </c>
      <c r="DC55">
        <f ca="1">IFERROR(ROUND(MatchData[[#This Row],[Rough Terrain Sum]]/MatchData[[#This Row],[Rough Terrain Avail Count]],2),0)</f>
        <v>1</v>
      </c>
      <c r="DD55">
        <f ca="1">IFERROR(ROUND(MatchData[[#This Row],[Low Bar Sum]]/MatchData[[#This Row],[Low Bar Avail Count]],2),0)</f>
        <v>1</v>
      </c>
      <c r="DE55" s="14">
        <f t="array" aca="1" ref="DE55" ca="1">MAX(IF(C$4:C$75=C55,BE$4:BE$75))</f>
        <v>4</v>
      </c>
      <c r="DF55" s="14">
        <f ca="1">AVERAGEIF(MatchData[Team],MatchData[Team],MatchData[Total Score])</f>
        <v>27.4</v>
      </c>
      <c r="DG55" s="14">
        <f ca="1">ROUND(AVERAGEIF(MatchData[Team],MatchData[Team],MatchData[Climb or Challenge Flag]),2)</f>
        <v>0.8</v>
      </c>
    </row>
    <row r="56" spans="1:111">
      <c r="A56" t="s">
        <v>54</v>
      </c>
      <c r="B56" s="4">
        <v>4</v>
      </c>
      <c r="C56">
        <v>1011</v>
      </c>
      <c r="D56" t="s">
        <v>56</v>
      </c>
      <c r="E56" t="s">
        <v>64</v>
      </c>
      <c r="F56">
        <f ca="1">IF(MatchData[[#This Row],[Persona]] = 4,RANDBETWEEN(0,1),0)</f>
        <v>0</v>
      </c>
      <c r="G56">
        <f ca="1">IF(MatchData[[#This Row],[Persona]] = 3,RANDBETWEEN(0,1),0)</f>
        <v>0</v>
      </c>
      <c r="H56">
        <f ca="1">RANDBETWEEN(MatchData[[#This Row],[High Goal Low]],MatchData[[#This Row],[High Goal High]])</f>
        <v>0</v>
      </c>
      <c r="I56">
        <f ca="1">RANDBETWEEN(MatchData[[#This Row],[Low Goal Low]],MatchData[[#This Row],[Low Goal High]])</f>
        <v>4</v>
      </c>
      <c r="J56" s="6"/>
      <c r="K56" s="6">
        <v>1</v>
      </c>
      <c r="L56" s="6">
        <v>1</v>
      </c>
      <c r="M56" s="6"/>
      <c r="N56" s="6"/>
      <c r="O56" s="6">
        <v>1</v>
      </c>
      <c r="P56" s="6">
        <v>1</v>
      </c>
      <c r="Q56" s="5"/>
      <c r="R56" s="5">
        <v>1</v>
      </c>
      <c r="S56" s="5">
        <f ca="1">IF(MatchData[[#This Row],[Auto Crossing Test Generator]]=0,RANDBETWEEN(0,1),0)</f>
        <v>0</v>
      </c>
      <c r="T56" s="5">
        <f ca="1">IF(MatchData[Auto Crossing Test Generator]=1,1,0)</f>
        <v>0</v>
      </c>
      <c r="U56" s="5">
        <f ca="1">IF(MatchData[[#This Row],[Auto Crossing Test Generator]]=2,RANDBETWEEN(0,1),0)</f>
        <v>0</v>
      </c>
      <c r="V56" s="5">
        <f ca="1">IF(MatchData[[#This Row],[Auto Crossing Test Generator]]=3,RANDBETWEEN(0,1),0)</f>
        <v>0</v>
      </c>
      <c r="W56" s="5">
        <f ca="1">IF(MatchData[[#This Row],[Auto Crossing Test Generator]]=4,RANDBETWEEN(0,1),0)</f>
        <v>0</v>
      </c>
      <c r="X56" s="5">
        <f ca="1">IF(MatchData[[#This Row],[Auto Crossing Test Generator]]=5,RANDBETWEEN(0,1),0)</f>
        <v>0</v>
      </c>
      <c r="Y56" s="5">
        <f ca="1">IF(MatchData[[#This Row],[Auto Crossing Test Generator]]=6,RANDBETWEEN(0,1),0)</f>
        <v>0</v>
      </c>
      <c r="Z56" s="5">
        <f ca="1">IF(MatchData[[#This Row],[Auto Crossing Test Generator]]=7,RANDBETWEEN(0,1),0)</f>
        <v>0</v>
      </c>
      <c r="AA56" s="5">
        <f ca="1">IF(MatchData[[#This Row],[Auto Crossing Test Generator]]=8,RANDBETWEEN(0,1),0)</f>
        <v>0</v>
      </c>
      <c r="AB56" s="5">
        <f ca="1">IF(MatchData[[#This Row],[Auto Crossing Test Generator]]&gt;8,RANDBETWEEN(0,1),0)</f>
        <v>0</v>
      </c>
      <c r="AC56" s="5">
        <f ca="1">IF(MatchData[[#This Row],[Auto Crossing Test Generator]]=9,RANDBETWEEN(0,1),0)</f>
        <v>0</v>
      </c>
      <c r="AD56" s="5">
        <f ca="1">IF(MatchData[[#This Row],[Cheval Available]]=1,RANDBETWEEN(0,MatchData[[#This Row],[Cheval High]]),0)</f>
        <v>0</v>
      </c>
      <c r="AE56" s="5">
        <f ca="1">IF(MatchData[[#This Row],[Moat Available]]=1,RANDBETWEEN(0,MatchData[[#This Row],[Moat High]]),0)</f>
        <v>0</v>
      </c>
      <c r="AF56" s="5">
        <f ca="1">IF(MatchData[[#This Row],[Ramparts Available]]=1,RANDBETWEEN(0,MatchData[[#This Row],[Ramparts High]]),0)</f>
        <v>0</v>
      </c>
      <c r="AG56" s="5">
        <f ca="1">IF(MatchData[[#This Row],[Drawbridge Available]]=1,RANDBETWEEN(0,MatchData[[#This Row],[Drawbridge High]]),0)</f>
        <v>0</v>
      </c>
      <c r="AH56" s="5">
        <f ca="1">IF(MatchData[[#This Row],[Sally Port Available]]=1,RANDBETWEEN(0,MatchData[[#This Row],[Sally Port High]]),0)</f>
        <v>0</v>
      </c>
      <c r="AI56" s="5">
        <f ca="1">IF(MatchData[[#This Row],[Rock Wall Available]]=1,RANDBETWEEN(0,MatchData[[#This Row],[Rock Wall High]]),0)</f>
        <v>2</v>
      </c>
      <c r="AJ56" s="5">
        <f ca="1">IF(MatchData[[#This Row],[Rough Terrain Available]]=1,RANDBETWEEN(0,MatchData[[#This Row],[Rough Terrain High]]),0)</f>
        <v>0</v>
      </c>
      <c r="AK56" s="5">
        <f ca="1">IF(MatchData[[#This Row],[Low Bar Available]]=1,RANDBETWEEN(0,MatchData[[#This Row],[Low Bar High]]),0)</f>
        <v>2</v>
      </c>
      <c r="AL56" s="5">
        <f ca="1">IF(MatchData[Cheval Teleop Crossings]&gt;3,10, MatchData[Cheval Teleop Crossings]*5)</f>
        <v>0</v>
      </c>
      <c r="AM56" s="5">
        <f ca="1">IF(MatchData[Moat Teleop Crossings]&gt;3,10, MatchData[Moat Teleop Crossings]*5)</f>
        <v>0</v>
      </c>
      <c r="AN56" s="5">
        <f ca="1">IF(MatchData[Ramparts Teleop Crossings]&gt;3,10, MatchData[Ramparts Teleop Crossings]*5)</f>
        <v>0</v>
      </c>
      <c r="AO56" s="5">
        <f ca="1">IF(MatchData[Drawbridge Teleop Crossings]&gt;3,10, MatchData[Drawbridge Teleop Crossings]*5)</f>
        <v>0</v>
      </c>
      <c r="AP56" s="5">
        <f ca="1">IF(MatchData[Sally Port Teleop Crossings]&gt;3,10, MatchData[Sally Port Teleop Crossings]*5)</f>
        <v>0</v>
      </c>
      <c r="AQ56" s="5">
        <f ca="1">IF(MatchData[Rock Wall Teleop Crossings]&gt;3,10, MatchData[Rock Wall Teleop Crossings]*5)</f>
        <v>10</v>
      </c>
      <c r="AR56" s="5">
        <f ca="1">IF(MatchData[Rough Terrain Teleop Crossings]&gt;3,10, MatchData[Rough Terrain Teleop Crossings]*5)</f>
        <v>0</v>
      </c>
      <c r="AS56" s="5">
        <f ca="1">IF(MatchData[Low Bar Teleop Crossings]&gt;3,10, MatchData[Low Bar Teleop Crossings]*5)</f>
        <v>10</v>
      </c>
      <c r="AT56" s="5">
        <f ca="1">SUM(MatchData[[#This Row],[Portcullis Teleop Crossings]:[Low Bar Teleop Crossings]])</f>
        <v>4</v>
      </c>
      <c r="AU56" s="5">
        <f ca="1">IF(RANDBETWEEN(1,4)&gt;1,1,0)</f>
        <v>1</v>
      </c>
      <c r="AV56" s="5">
        <f ca="1">IF(MatchData[[#This Row],[Challenge Flag]]=1,0,IF(MatchData[[#This Row],[Climber]]=1,RANDBETWEEN(0,1),0))</f>
        <v>0</v>
      </c>
      <c r="AW56" s="5">
        <f ca="1">IF(MatchData[[#This Row],[Crossing Score]]&gt;=40,1,0)</f>
        <v>0</v>
      </c>
      <c r="AX56" s="5"/>
      <c r="AY56" s="5">
        <f ca="1">IF(RANDBETWEEN(1,100)&gt;95,1,0)</f>
        <v>0</v>
      </c>
      <c r="AZ56" s="5">
        <f ca="1">IF(RANDBETWEEN(1,100)&gt;80,1,0)</f>
        <v>0</v>
      </c>
      <c r="BA56" s="5">
        <f ca="1">IF(OR(MatchData[[#This Row],[Challenge Flag]],MatchData[[#This Row],[Climb Flag]]),1,0)</f>
        <v>1</v>
      </c>
      <c r="BB56" s="5">
        <f ca="1">MatchData[Auto High Goals]*10+MatchData[Teleop High Goals]*5</f>
        <v>0</v>
      </c>
      <c r="BC56" s="5">
        <f ca="1">MatchData[Auto Low Goals]*5+MatchData[Teleop Low Goals]*2</f>
        <v>8</v>
      </c>
      <c r="BD56" s="5">
        <f ca="1">MatchData[High Goal Score]+MatchData[Low Goal Score]</f>
        <v>8</v>
      </c>
      <c r="BE56" s="5">
        <f ca="1">MatchData[Teleop High Goals]+MatchData[Teleop Low Goals]</f>
        <v>4</v>
      </c>
      <c r="BF56" s="5">
        <f ca="1">MatchData[[#This Row],[Auto Reach Flag]]*2+SUM(MatchData[[#This Row],[Portcullis Auto Crossings]:[Low Bar Auto Crossings]])*10+MatchData[[#This Row],[Auto Low Goals]]*5+MatchData[Auto High Goals]*10</f>
        <v>0</v>
      </c>
      <c r="BG56" s="5">
        <f ca="1">SUM(MatchData[[#This Row],[Cheval Scored Teleop Crossings]:[Low Bar Scored Teleop Crossings]])</f>
        <v>20</v>
      </c>
      <c r="BH56" s="5">
        <f ca="1">MatchData[Challenge Flag]*5</f>
        <v>5</v>
      </c>
      <c r="BI56" s="5">
        <f ca="1">MatchData[Climb Flag]*15</f>
        <v>0</v>
      </c>
      <c r="BJ56" s="5">
        <f ca="1">SUM(MatchData[[#This Row],[Total Goal Score]],MatchData[[#This Row],[Crossing Score]],MatchData[[#This Row],[Challenge Score]],MatchData[[#This Row],[Climb Score]],MatchData[[#This Row],[Total Auto Score]])</f>
        <v>33</v>
      </c>
      <c r="BK56">
        <v>2</v>
      </c>
      <c r="BL56" s="5">
        <f ca="1">IF(RANDBETWEEN(0,10)&gt;=9,RANDBETWEEN(1,9),0)</f>
        <v>0</v>
      </c>
      <c r="BM56" s="5">
        <f>VLOOKUP(MatchData[[#This Row],[Persona]],Personas!$A$2:$O$5,3)</f>
        <v>1</v>
      </c>
      <c r="BN56" s="13">
        <f>VLOOKUP(MatchData[[#This Row],[Persona]],Personas!$A$2:$P$5,4)</f>
        <v>4</v>
      </c>
      <c r="BO56" s="13">
        <f>VLOOKUP(MatchData[[#This Row],[Persona]],Personas!$A$2:$P$5,5)</f>
        <v>0</v>
      </c>
      <c r="BP56" s="13">
        <f>VLOOKUP(MatchData[[#This Row],[Persona]],Personas!$A$2:$P$5,6)</f>
        <v>0</v>
      </c>
      <c r="BQ56" s="13">
        <f>VLOOKUP(MatchData[[#This Row],[Persona]],Personas!$A$2:$P$5,7)</f>
        <v>0</v>
      </c>
      <c r="BR56" s="13">
        <f>VLOOKUP(MatchData[[#This Row],[Persona]],Personas!$A$2:$P$5,8)</f>
        <v>0</v>
      </c>
      <c r="BS56" s="13">
        <f>VLOOKUP(MatchData[[#This Row],[Persona]],Personas!$A$2:$P$5,9)</f>
        <v>2</v>
      </c>
      <c r="BT56" s="13">
        <f>VLOOKUP(MatchData[[#This Row],[Persona]],Personas!$A$2:$P$5,10)</f>
        <v>2</v>
      </c>
      <c r="BU56" s="13">
        <f>VLOOKUP(MatchData[[#This Row],[Persona]],Personas!$A$2:$P$5,11)</f>
        <v>0</v>
      </c>
      <c r="BV56" s="13">
        <f>VLOOKUP(MatchData[[#This Row],[Persona]],Personas!$A$2:$P$5,12)</f>
        <v>0</v>
      </c>
      <c r="BW56" s="13">
        <f>VLOOKUP(MatchData[[#This Row],[Persona]],Personas!$A$2:$P$5,13)</f>
        <v>2</v>
      </c>
      <c r="BX56" s="13">
        <f>VLOOKUP(MatchData[[#This Row],[Persona]],Personas!$A$2:$P$5,14)</f>
        <v>2</v>
      </c>
      <c r="BY56" s="13">
        <f>VLOOKUP(MatchData[[#This Row],[Persona]],Personas!$A$2:$P$5,15)</f>
        <v>2</v>
      </c>
      <c r="BZ56" s="13">
        <f>VLOOKUP(MatchData[[#This Row],[Persona]],Personas!$A$2:$P$5,16)</f>
        <v>1</v>
      </c>
      <c r="CA56" s="14">
        <f ca="1">ROUND(SUMIF(MatchData[Team],MatchData[[#This Row],[Team]],MatchData[Teleop Low Goals])/COUNTIF(MatchData[Team],MatchData[[#This Row],[Team]]),2)</f>
        <v>3</v>
      </c>
      <c r="CB56" s="14">
        <f ca="1">ROUND(SUMIF(MatchData[Team],MatchData[[#This Row],[Team]],MatchData[Teleop High Goals])/COUNTIF(MatchData[Team],MatchData[[#This Row],[Team]]),2)</f>
        <v>0</v>
      </c>
      <c r="CC56" s="14">
        <f>COUNTIF(MatchData[Team],MatchData[[#This Row],[Team]])</f>
        <v>5</v>
      </c>
      <c r="CD56" s="14">
        <f>SUMIF(MatchData[Team],MatchData[[#This Row],[Team]],MatchData[Portcullis Available])</f>
        <v>3</v>
      </c>
      <c r="CE56" s="14">
        <f>SUMIF(MatchData[Team],MatchData[[#This Row],[Team]],MatchData[Cheval Available])</f>
        <v>2</v>
      </c>
      <c r="CF56" s="14">
        <f>SUMIF(MatchData[Team],MatchData[[#This Row],[Team]],MatchData[Moat Available])</f>
        <v>2</v>
      </c>
      <c r="CG56" s="14">
        <f>SUMIF(MatchData[Team],MatchData[[#This Row],[Team]],MatchData[Ramparts Available])</f>
        <v>3</v>
      </c>
      <c r="CH56" s="14">
        <f>SUMIF(MatchData[Team],MatchData[[#This Row],[Team]],MatchData[Drawbridge Available])</f>
        <v>2</v>
      </c>
      <c r="CI56" s="14">
        <f>SUMIF(MatchData[Team],MatchData[[#This Row],[Team]],MatchData[Sally Port Available])</f>
        <v>3</v>
      </c>
      <c r="CJ56" s="14">
        <f>SUMIF(MatchData[Team],MatchData[[#This Row],[Team]],MatchData[Rock Wall Available])</f>
        <v>3</v>
      </c>
      <c r="CK56" s="14">
        <f>SUMIF(MatchData[Team],MatchData[[#This Row],[Team]],MatchData[Rough Terrain Available])</f>
        <v>2</v>
      </c>
      <c r="CL56" s="14">
        <f>SUMIF(MatchData[Team],MatchData[[#This Row],[Team]],MatchData[Low Bar Available])</f>
        <v>5</v>
      </c>
      <c r="CM56" s="14">
        <f ca="1">SUMIF(MatchData[Team],MatchData[[#This Row],[Team]],MatchData[Portcullis Teleop Crossings])</f>
        <v>0</v>
      </c>
      <c r="CN56" s="14">
        <f ca="1">SUMIF(MatchData[Team],MatchData[[#This Row],[Team]],MatchData[Cheval Teleop Crossings])</f>
        <v>0</v>
      </c>
      <c r="CO56" s="14">
        <f ca="1">SUMIF(MatchData[Team],MatchData[[#This Row],[Team]],MatchData[Moat Teleop Crossings])</f>
        <v>2</v>
      </c>
      <c r="CP56" s="14">
        <f ca="1">SUMIF(MatchData[Team],MatchData[[#This Row],[Team]],MatchData[Ramparts Teleop Crossings])</f>
        <v>3</v>
      </c>
      <c r="CQ56" s="14">
        <f ca="1">SUMIF(MatchData[Team],MatchData[[#This Row],[Team]],MatchData[Drawbridge Teleop Crossings])</f>
        <v>0</v>
      </c>
      <c r="CR56" s="14">
        <f ca="1">SUMIF(MatchData[Team],MatchData[[#This Row],[Team]],MatchData[Sally Port Teleop Crossings])</f>
        <v>0</v>
      </c>
      <c r="CS56" s="14">
        <f ca="1">SUMIF(MatchData[Team],MatchData[[#This Row],[Team]],MatchData[Rock Wall Teleop Crossings])</f>
        <v>3</v>
      </c>
      <c r="CT56" s="14">
        <f ca="1">SUMIF(MatchData[Team],MatchData[[#This Row],[Team]],MatchData[Rough Terrain Teleop Crossings])</f>
        <v>2</v>
      </c>
      <c r="CU56" s="14">
        <f ca="1">SUMIF(MatchData[Team],MatchData[[#This Row],[Team]],MatchData[Low Bar Teleop Crossings])</f>
        <v>5</v>
      </c>
      <c r="CV56" s="14">
        <f ca="1">IFERROR(ROUND(MatchData[[#This Row],[Portcullis Sum]]/MatchData[[#This Row],[Portcullis Avail Count]],2),0)</f>
        <v>0</v>
      </c>
      <c r="CW56">
        <f ca="1">IFERROR(ROUND(MatchData[[#This Row],[Cheval Sum]]/MatchData[[#This Row],[Cheval Avail Count]],2),0)</f>
        <v>0</v>
      </c>
      <c r="CX56">
        <f ca="1">IFERROR(ROUND(MatchData[[#This Row],[Moat Sum]]/MatchData[[#This Row],[Moat Avail Count]],2),0)</f>
        <v>1</v>
      </c>
      <c r="CY56">
        <f ca="1">IFERROR(ROUND(MatchData[[#This Row],[Ramparts Sum]]/MatchData[[#This Row],[Ramparts Avail Count]],2),0)</f>
        <v>1</v>
      </c>
      <c r="CZ56">
        <f ca="1">IFERROR(ROUND(MatchData[[#This Row],[Drawbridge Sum]]/MatchData[[#This Row],[Drawbridge HAvail Countigh6]],2),0)</f>
        <v>0</v>
      </c>
      <c r="DA56">
        <f ca="1">IFERROR(ROUND(MatchData[[#This Row],[Sally Port Sum]]/MatchData[[#This Row],[Sally Port Avail Count]],2),0)</f>
        <v>0</v>
      </c>
      <c r="DB56">
        <f ca="1">IFERROR(ROUND(MatchData[[#This Row],[Rock Wall Sum]]/MatchData[[#This Row],[Rock Wall Avail Count]],2),0)</f>
        <v>1</v>
      </c>
      <c r="DC56">
        <f ca="1">IFERROR(ROUND(MatchData[[#This Row],[Rough Terrain Sum]]/MatchData[[#This Row],[Rough Terrain Avail Count]],2),0)</f>
        <v>1</v>
      </c>
      <c r="DD56">
        <f ca="1">IFERROR(ROUND(MatchData[[#This Row],[Low Bar Sum]]/MatchData[[#This Row],[Low Bar Avail Count]],2),0)</f>
        <v>1</v>
      </c>
      <c r="DE56" s="14">
        <f t="array" aca="1" ref="DE56" ca="1">MAX(IF(C$4:C$75=C56,BE$4:BE$75))</f>
        <v>4</v>
      </c>
      <c r="DF56" s="14">
        <f ca="1">AVERAGEIF(MatchData[Team],MatchData[Team],MatchData[Total Score])</f>
        <v>27.4</v>
      </c>
      <c r="DG56" s="14">
        <f ca="1">ROUND(AVERAGEIF(MatchData[Team],MatchData[Team],MatchData[Climb or Challenge Flag]),2)</f>
        <v>0.8</v>
      </c>
    </row>
    <row r="57" spans="1:111">
      <c r="A57" t="s">
        <v>54</v>
      </c>
      <c r="B57" s="4">
        <v>7</v>
      </c>
      <c r="C57">
        <v>1011</v>
      </c>
      <c r="D57" t="s">
        <v>55</v>
      </c>
      <c r="E57" t="s">
        <v>61</v>
      </c>
      <c r="F57">
        <f ca="1">IF(MatchData[[#This Row],[Persona]] = 4,RANDBETWEEN(0,1),0)</f>
        <v>0</v>
      </c>
      <c r="G57">
        <f ca="1">IF(MatchData[[#This Row],[Persona]] = 3,RANDBETWEEN(0,1),0)</f>
        <v>0</v>
      </c>
      <c r="H57">
        <f ca="1">RANDBETWEEN(MatchData[[#This Row],[High Goal Low]],MatchData[[#This Row],[High Goal High]])</f>
        <v>0</v>
      </c>
      <c r="I57">
        <f ca="1">RANDBETWEEN(MatchData[[#This Row],[Low Goal Low]],MatchData[[#This Row],[Low Goal High]])</f>
        <v>1</v>
      </c>
      <c r="J57" s="6">
        <v>1</v>
      </c>
      <c r="K57" s="6"/>
      <c r="L57" s="6"/>
      <c r="M57" s="6">
        <v>1</v>
      </c>
      <c r="N57" s="6"/>
      <c r="O57" s="6">
        <v>1</v>
      </c>
      <c r="P57" s="6">
        <v>1</v>
      </c>
      <c r="Q57" s="5"/>
      <c r="R57" s="5">
        <v>1</v>
      </c>
      <c r="S57" s="5">
        <f ca="1">IF(MatchData[[#This Row],[Auto Crossing Test Generator]]=0,RANDBETWEEN(0,1),0)</f>
        <v>0</v>
      </c>
      <c r="T57" s="5">
        <f ca="1">IF(MatchData[Auto Crossing Test Generator]=1,1,0)</f>
        <v>0</v>
      </c>
      <c r="U57" s="5">
        <f ca="1">IF(MatchData[[#This Row],[Auto Crossing Test Generator]]=2,RANDBETWEEN(0,1),0)</f>
        <v>0</v>
      </c>
      <c r="V57" s="5">
        <f ca="1">IF(MatchData[[#This Row],[Auto Crossing Test Generator]]=3,RANDBETWEEN(0,1),0)</f>
        <v>0</v>
      </c>
      <c r="W57" s="5">
        <f ca="1">IF(MatchData[[#This Row],[Auto Crossing Test Generator]]=4,RANDBETWEEN(0,1),0)</f>
        <v>0</v>
      </c>
      <c r="X57" s="5">
        <f ca="1">IF(MatchData[[#This Row],[Auto Crossing Test Generator]]=5,RANDBETWEEN(0,1),0)</f>
        <v>0</v>
      </c>
      <c r="Y57" s="5">
        <f ca="1">IF(MatchData[[#This Row],[Auto Crossing Test Generator]]=6,RANDBETWEEN(0,1),0)</f>
        <v>0</v>
      </c>
      <c r="Z57" s="5">
        <f ca="1">IF(MatchData[[#This Row],[Auto Crossing Test Generator]]=7,RANDBETWEEN(0,1),0)</f>
        <v>0</v>
      </c>
      <c r="AA57" s="5">
        <f ca="1">IF(MatchData[[#This Row],[Auto Crossing Test Generator]]=8,RANDBETWEEN(0,1),0)</f>
        <v>0</v>
      </c>
      <c r="AB57" s="5">
        <f ca="1">IF(MatchData[[#This Row],[Auto Crossing Test Generator]]&gt;8,RANDBETWEEN(0,1),0)</f>
        <v>0</v>
      </c>
      <c r="AC57" s="5">
        <f ca="1">IF(MatchData[[#This Row],[Auto Crossing Test Generator]]=9,RANDBETWEEN(0,1),0)</f>
        <v>0</v>
      </c>
      <c r="AD57" s="5">
        <f ca="1">IF(MatchData[[#This Row],[Cheval Available]]=1,RANDBETWEEN(0,MatchData[[#This Row],[Cheval High]]),0)</f>
        <v>0</v>
      </c>
      <c r="AE57" s="5">
        <f ca="1">IF(MatchData[[#This Row],[Moat Available]]=1,RANDBETWEEN(0,MatchData[[#This Row],[Moat High]]),0)</f>
        <v>0</v>
      </c>
      <c r="AF57" s="5">
        <f ca="1">IF(MatchData[[#This Row],[Ramparts Available]]=1,RANDBETWEEN(0,MatchData[[#This Row],[Ramparts High]]),0)</f>
        <v>1</v>
      </c>
      <c r="AG57" s="5">
        <f ca="1">IF(MatchData[[#This Row],[Drawbridge Available]]=1,RANDBETWEEN(0,MatchData[[#This Row],[Drawbridge High]]),0)</f>
        <v>0</v>
      </c>
      <c r="AH57" s="5">
        <f ca="1">IF(MatchData[[#This Row],[Sally Port Available]]=1,RANDBETWEEN(0,MatchData[[#This Row],[Sally Port High]]),0)</f>
        <v>0</v>
      </c>
      <c r="AI57" s="5">
        <f ca="1">IF(MatchData[[#This Row],[Rock Wall Available]]=1,RANDBETWEEN(0,MatchData[[#This Row],[Rock Wall High]]),0)</f>
        <v>1</v>
      </c>
      <c r="AJ57" s="5">
        <f ca="1">IF(MatchData[[#This Row],[Rough Terrain Available]]=1,RANDBETWEEN(0,MatchData[[#This Row],[Rough Terrain High]]),0)</f>
        <v>0</v>
      </c>
      <c r="AK57" s="5">
        <f ca="1">IF(MatchData[[#This Row],[Low Bar Available]]=1,RANDBETWEEN(0,MatchData[[#This Row],[Low Bar High]]),0)</f>
        <v>1</v>
      </c>
      <c r="AL57" s="5">
        <f ca="1">IF(MatchData[Cheval Teleop Crossings]&gt;3,10, MatchData[Cheval Teleop Crossings]*5)</f>
        <v>0</v>
      </c>
      <c r="AM57" s="5">
        <f ca="1">IF(MatchData[Moat Teleop Crossings]&gt;3,10, MatchData[Moat Teleop Crossings]*5)</f>
        <v>0</v>
      </c>
      <c r="AN57" s="5">
        <f ca="1">IF(MatchData[Ramparts Teleop Crossings]&gt;3,10, MatchData[Ramparts Teleop Crossings]*5)</f>
        <v>5</v>
      </c>
      <c r="AO57" s="5">
        <f ca="1">IF(MatchData[Drawbridge Teleop Crossings]&gt;3,10, MatchData[Drawbridge Teleop Crossings]*5)</f>
        <v>0</v>
      </c>
      <c r="AP57" s="5">
        <f ca="1">IF(MatchData[Sally Port Teleop Crossings]&gt;3,10, MatchData[Sally Port Teleop Crossings]*5)</f>
        <v>0</v>
      </c>
      <c r="AQ57" s="5">
        <f ca="1">IF(MatchData[Rock Wall Teleop Crossings]&gt;3,10, MatchData[Rock Wall Teleop Crossings]*5)</f>
        <v>5</v>
      </c>
      <c r="AR57" s="5">
        <f ca="1">IF(MatchData[Rough Terrain Teleop Crossings]&gt;3,10, MatchData[Rough Terrain Teleop Crossings]*5)</f>
        <v>0</v>
      </c>
      <c r="AS57" s="5">
        <f ca="1">IF(MatchData[Low Bar Teleop Crossings]&gt;3,10, MatchData[Low Bar Teleop Crossings]*5)</f>
        <v>5</v>
      </c>
      <c r="AT57" s="5">
        <f ca="1">SUM(MatchData[[#This Row],[Portcullis Teleop Crossings]:[Low Bar Teleop Crossings]])</f>
        <v>3</v>
      </c>
      <c r="AU57" s="5">
        <f ca="1">IF(RANDBETWEEN(1,4)&gt;1,1,0)</f>
        <v>0</v>
      </c>
      <c r="AV57" s="5">
        <f ca="1">IF(MatchData[[#This Row],[Challenge Flag]]=1,0,IF(MatchData[[#This Row],[Climber]]=1,RANDBETWEEN(0,1),0))</f>
        <v>0</v>
      </c>
      <c r="AW57" s="5">
        <f ca="1">IF(MatchData[[#This Row],[Crossing Score]]&gt;=40,1,0)</f>
        <v>0</v>
      </c>
      <c r="AX57" s="5"/>
      <c r="AY57" s="5">
        <f ca="1">IF(RANDBETWEEN(1,100)&gt;95,1,0)</f>
        <v>0</v>
      </c>
      <c r="AZ57" s="5">
        <f ca="1">IF(RANDBETWEEN(1,100)&gt;80,1,0)</f>
        <v>0</v>
      </c>
      <c r="BA57" s="5">
        <f ca="1">IF(OR(MatchData[[#This Row],[Challenge Flag]],MatchData[[#This Row],[Climb Flag]]),1,0)</f>
        <v>0</v>
      </c>
      <c r="BB57" s="5">
        <f ca="1">MatchData[Auto High Goals]*10+MatchData[Teleop High Goals]*5</f>
        <v>0</v>
      </c>
      <c r="BC57" s="5">
        <f ca="1">MatchData[Auto Low Goals]*5+MatchData[Teleop Low Goals]*2</f>
        <v>2</v>
      </c>
      <c r="BD57" s="5">
        <f ca="1">MatchData[High Goal Score]+MatchData[Low Goal Score]</f>
        <v>2</v>
      </c>
      <c r="BE57" s="5">
        <f ca="1">MatchData[Teleop High Goals]+MatchData[Teleop Low Goals]</f>
        <v>1</v>
      </c>
      <c r="BF57" s="5">
        <f ca="1">MatchData[[#This Row],[Auto Reach Flag]]*2+SUM(MatchData[[#This Row],[Portcullis Auto Crossings]:[Low Bar Auto Crossings]])*10+MatchData[[#This Row],[Auto Low Goals]]*5+MatchData[Auto High Goals]*10</f>
        <v>0</v>
      </c>
      <c r="BG57" s="5">
        <f ca="1">SUM(MatchData[[#This Row],[Cheval Scored Teleop Crossings]:[Low Bar Scored Teleop Crossings]])</f>
        <v>15</v>
      </c>
      <c r="BH57" s="5">
        <f ca="1">MatchData[Challenge Flag]*5</f>
        <v>0</v>
      </c>
      <c r="BI57" s="5">
        <f ca="1">MatchData[Climb Flag]*15</f>
        <v>0</v>
      </c>
      <c r="BJ57" s="5">
        <f ca="1">SUM(MatchData[[#This Row],[Total Goal Score]],MatchData[[#This Row],[Crossing Score]],MatchData[[#This Row],[Challenge Score]],MatchData[[#This Row],[Climb Score]],MatchData[[#This Row],[Total Auto Score]])</f>
        <v>17</v>
      </c>
      <c r="BK57">
        <v>2</v>
      </c>
      <c r="BL57" s="5">
        <f ca="1">IF(RANDBETWEEN(0,10)&gt;=9,RANDBETWEEN(1,9),0)</f>
        <v>0</v>
      </c>
      <c r="BM57" s="5">
        <f>VLOOKUP(MatchData[[#This Row],[Persona]],Personas!$A$2:$O$5,3)</f>
        <v>1</v>
      </c>
      <c r="BN57" s="13">
        <f>VLOOKUP(MatchData[[#This Row],[Persona]],Personas!$A$2:$P$5,4)</f>
        <v>4</v>
      </c>
      <c r="BO57" s="13">
        <f>VLOOKUP(MatchData[[#This Row],[Persona]],Personas!$A$2:$P$5,5)</f>
        <v>0</v>
      </c>
      <c r="BP57" s="13">
        <f>VLOOKUP(MatchData[[#This Row],[Persona]],Personas!$A$2:$P$5,6)</f>
        <v>0</v>
      </c>
      <c r="BQ57" s="13">
        <f>VLOOKUP(MatchData[[#This Row],[Persona]],Personas!$A$2:$P$5,7)</f>
        <v>0</v>
      </c>
      <c r="BR57" s="13">
        <f>VLOOKUP(MatchData[[#This Row],[Persona]],Personas!$A$2:$P$5,8)</f>
        <v>0</v>
      </c>
      <c r="BS57" s="13">
        <f>VLOOKUP(MatchData[[#This Row],[Persona]],Personas!$A$2:$P$5,9)</f>
        <v>2</v>
      </c>
      <c r="BT57" s="13">
        <f>VLOOKUP(MatchData[[#This Row],[Persona]],Personas!$A$2:$P$5,10)</f>
        <v>2</v>
      </c>
      <c r="BU57" s="13">
        <f>VLOOKUP(MatchData[[#This Row],[Persona]],Personas!$A$2:$P$5,11)</f>
        <v>0</v>
      </c>
      <c r="BV57" s="13">
        <f>VLOOKUP(MatchData[[#This Row],[Persona]],Personas!$A$2:$P$5,12)</f>
        <v>0</v>
      </c>
      <c r="BW57" s="13">
        <f>VLOOKUP(MatchData[[#This Row],[Persona]],Personas!$A$2:$P$5,13)</f>
        <v>2</v>
      </c>
      <c r="BX57" s="13">
        <f>VLOOKUP(MatchData[[#This Row],[Persona]],Personas!$A$2:$P$5,14)</f>
        <v>2</v>
      </c>
      <c r="BY57" s="13">
        <f>VLOOKUP(MatchData[[#This Row],[Persona]],Personas!$A$2:$P$5,15)</f>
        <v>2</v>
      </c>
      <c r="BZ57" s="13">
        <f>VLOOKUP(MatchData[[#This Row],[Persona]],Personas!$A$2:$P$5,16)</f>
        <v>1</v>
      </c>
      <c r="CA57" s="14">
        <f ca="1">ROUND(SUMIF(MatchData[Team],MatchData[[#This Row],[Team]],MatchData[Teleop Low Goals])/COUNTIF(MatchData[Team],MatchData[[#This Row],[Team]]),2)</f>
        <v>3</v>
      </c>
      <c r="CB57" s="14">
        <f ca="1">ROUND(SUMIF(MatchData[Team],MatchData[[#This Row],[Team]],MatchData[Teleop High Goals])/COUNTIF(MatchData[Team],MatchData[[#This Row],[Team]]),2)</f>
        <v>0</v>
      </c>
      <c r="CC57" s="14">
        <f>COUNTIF(MatchData[Team],MatchData[[#This Row],[Team]])</f>
        <v>5</v>
      </c>
      <c r="CD57" s="14">
        <f>SUMIF(MatchData[Team],MatchData[[#This Row],[Team]],MatchData[Portcullis Available])</f>
        <v>3</v>
      </c>
      <c r="CE57" s="14">
        <f>SUMIF(MatchData[Team],MatchData[[#This Row],[Team]],MatchData[Cheval Available])</f>
        <v>2</v>
      </c>
      <c r="CF57" s="14">
        <f>SUMIF(MatchData[Team],MatchData[[#This Row],[Team]],MatchData[Moat Available])</f>
        <v>2</v>
      </c>
      <c r="CG57" s="14">
        <f>SUMIF(MatchData[Team],MatchData[[#This Row],[Team]],MatchData[Ramparts Available])</f>
        <v>3</v>
      </c>
      <c r="CH57" s="14">
        <f>SUMIF(MatchData[Team],MatchData[[#This Row],[Team]],MatchData[Drawbridge Available])</f>
        <v>2</v>
      </c>
      <c r="CI57" s="14">
        <f>SUMIF(MatchData[Team],MatchData[[#This Row],[Team]],MatchData[Sally Port Available])</f>
        <v>3</v>
      </c>
      <c r="CJ57" s="14">
        <f>SUMIF(MatchData[Team],MatchData[[#This Row],[Team]],MatchData[Rock Wall Available])</f>
        <v>3</v>
      </c>
      <c r="CK57" s="14">
        <f>SUMIF(MatchData[Team],MatchData[[#This Row],[Team]],MatchData[Rough Terrain Available])</f>
        <v>2</v>
      </c>
      <c r="CL57" s="14">
        <f>SUMIF(MatchData[Team],MatchData[[#This Row],[Team]],MatchData[Low Bar Available])</f>
        <v>5</v>
      </c>
      <c r="CM57" s="14">
        <f ca="1">SUMIF(MatchData[Team],MatchData[[#This Row],[Team]],MatchData[Portcullis Teleop Crossings])</f>
        <v>0</v>
      </c>
      <c r="CN57" s="14">
        <f ca="1">SUMIF(MatchData[Team],MatchData[[#This Row],[Team]],MatchData[Cheval Teleop Crossings])</f>
        <v>0</v>
      </c>
      <c r="CO57" s="14">
        <f ca="1">SUMIF(MatchData[Team],MatchData[[#This Row],[Team]],MatchData[Moat Teleop Crossings])</f>
        <v>2</v>
      </c>
      <c r="CP57" s="14">
        <f ca="1">SUMIF(MatchData[Team],MatchData[[#This Row],[Team]],MatchData[Ramparts Teleop Crossings])</f>
        <v>3</v>
      </c>
      <c r="CQ57" s="14">
        <f ca="1">SUMIF(MatchData[Team],MatchData[[#This Row],[Team]],MatchData[Drawbridge Teleop Crossings])</f>
        <v>0</v>
      </c>
      <c r="CR57" s="14">
        <f ca="1">SUMIF(MatchData[Team],MatchData[[#This Row],[Team]],MatchData[Sally Port Teleop Crossings])</f>
        <v>0</v>
      </c>
      <c r="CS57" s="14">
        <f ca="1">SUMIF(MatchData[Team],MatchData[[#This Row],[Team]],MatchData[Rock Wall Teleop Crossings])</f>
        <v>3</v>
      </c>
      <c r="CT57" s="14">
        <f ca="1">SUMIF(MatchData[Team],MatchData[[#This Row],[Team]],MatchData[Rough Terrain Teleop Crossings])</f>
        <v>2</v>
      </c>
      <c r="CU57" s="14">
        <f ca="1">SUMIF(MatchData[Team],MatchData[[#This Row],[Team]],MatchData[Low Bar Teleop Crossings])</f>
        <v>5</v>
      </c>
      <c r="CV57" s="14">
        <f ca="1">IFERROR(ROUND(MatchData[[#This Row],[Portcullis Sum]]/MatchData[[#This Row],[Portcullis Avail Count]],2),0)</f>
        <v>0</v>
      </c>
      <c r="CW57">
        <f ca="1">IFERROR(ROUND(MatchData[[#This Row],[Cheval Sum]]/MatchData[[#This Row],[Cheval Avail Count]],2),0)</f>
        <v>0</v>
      </c>
      <c r="CX57">
        <f ca="1">IFERROR(ROUND(MatchData[[#This Row],[Moat Sum]]/MatchData[[#This Row],[Moat Avail Count]],2),0)</f>
        <v>1</v>
      </c>
      <c r="CY57">
        <f ca="1">IFERROR(ROUND(MatchData[[#This Row],[Ramparts Sum]]/MatchData[[#This Row],[Ramparts Avail Count]],2),0)</f>
        <v>1</v>
      </c>
      <c r="CZ57">
        <f ca="1">IFERROR(ROUND(MatchData[[#This Row],[Drawbridge Sum]]/MatchData[[#This Row],[Drawbridge HAvail Countigh6]],2),0)</f>
        <v>0</v>
      </c>
      <c r="DA57">
        <f ca="1">IFERROR(ROUND(MatchData[[#This Row],[Sally Port Sum]]/MatchData[[#This Row],[Sally Port Avail Count]],2),0)</f>
        <v>0</v>
      </c>
      <c r="DB57">
        <f ca="1">IFERROR(ROUND(MatchData[[#This Row],[Rock Wall Sum]]/MatchData[[#This Row],[Rock Wall Avail Count]],2),0)</f>
        <v>1</v>
      </c>
      <c r="DC57">
        <f ca="1">IFERROR(ROUND(MatchData[[#This Row],[Rough Terrain Sum]]/MatchData[[#This Row],[Rough Terrain Avail Count]],2),0)</f>
        <v>1</v>
      </c>
      <c r="DD57">
        <f ca="1">IFERROR(ROUND(MatchData[[#This Row],[Low Bar Sum]]/MatchData[[#This Row],[Low Bar Avail Count]],2),0)</f>
        <v>1</v>
      </c>
      <c r="DE57" s="14">
        <f t="array" aca="1" ref="DE57" ca="1">MAX(IF(C$4:C$75=C57,BE$4:BE$75))</f>
        <v>4</v>
      </c>
      <c r="DF57" s="14">
        <f ca="1">AVERAGEIF(MatchData[Team],MatchData[Team],MatchData[Total Score])</f>
        <v>27.4</v>
      </c>
      <c r="DG57" s="14">
        <f ca="1">ROUND(AVERAGEIF(MatchData[Team],MatchData[Team],MatchData[Climb or Challenge Flag]),2)</f>
        <v>0.8</v>
      </c>
    </row>
    <row r="58" spans="1:111">
      <c r="A58" t="s">
        <v>54</v>
      </c>
      <c r="B58" s="4">
        <v>9</v>
      </c>
      <c r="C58">
        <v>1011</v>
      </c>
      <c r="D58" t="s">
        <v>55</v>
      </c>
      <c r="E58" t="s">
        <v>58</v>
      </c>
      <c r="F58">
        <f ca="1">IF(MatchData[[#This Row],[Persona]] = 4,RANDBETWEEN(0,1),0)</f>
        <v>0</v>
      </c>
      <c r="G58">
        <f ca="1">IF(MatchData[[#This Row],[Persona]] = 3,RANDBETWEEN(0,1),0)</f>
        <v>0</v>
      </c>
      <c r="H58">
        <f ca="1">RANDBETWEEN(MatchData[[#This Row],[High Goal Low]],MatchData[[#This Row],[High Goal High]])</f>
        <v>0</v>
      </c>
      <c r="I58">
        <f ca="1">RANDBETWEEN(MatchData[[#This Row],[Low Goal Low]],MatchData[[#This Row],[Low Goal High]])</f>
        <v>4</v>
      </c>
      <c r="J58" s="6">
        <v>1</v>
      </c>
      <c r="K58" s="6"/>
      <c r="L58" s="6"/>
      <c r="M58" s="6">
        <v>1</v>
      </c>
      <c r="N58" s="6">
        <v>1</v>
      </c>
      <c r="O58" s="6"/>
      <c r="P58" s="6"/>
      <c r="Q58" s="5">
        <v>1</v>
      </c>
      <c r="R58" s="5">
        <v>1</v>
      </c>
      <c r="S58" s="5">
        <f ca="1">IF(MatchData[[#This Row],[Auto Crossing Test Generator]]=0,RANDBETWEEN(0,1),0)</f>
        <v>1</v>
      </c>
      <c r="T58" s="5">
        <f ca="1">IF(MatchData[Auto Crossing Test Generator]=1,1,0)</f>
        <v>0</v>
      </c>
      <c r="U58" s="5">
        <f ca="1">IF(MatchData[[#This Row],[Auto Crossing Test Generator]]=2,RANDBETWEEN(0,1),0)</f>
        <v>0</v>
      </c>
      <c r="V58" s="5">
        <f ca="1">IF(MatchData[[#This Row],[Auto Crossing Test Generator]]=3,RANDBETWEEN(0,1),0)</f>
        <v>0</v>
      </c>
      <c r="W58" s="5">
        <f ca="1">IF(MatchData[[#This Row],[Auto Crossing Test Generator]]=4,RANDBETWEEN(0,1),0)</f>
        <v>0</v>
      </c>
      <c r="X58" s="5">
        <f ca="1">IF(MatchData[[#This Row],[Auto Crossing Test Generator]]=5,RANDBETWEEN(0,1),0)</f>
        <v>0</v>
      </c>
      <c r="Y58" s="5">
        <f ca="1">IF(MatchData[[#This Row],[Auto Crossing Test Generator]]=6,RANDBETWEEN(0,1),0)</f>
        <v>0</v>
      </c>
      <c r="Z58" s="5">
        <f ca="1">IF(MatchData[[#This Row],[Auto Crossing Test Generator]]=7,RANDBETWEEN(0,1),0)</f>
        <v>0</v>
      </c>
      <c r="AA58" s="5">
        <f ca="1">IF(MatchData[[#This Row],[Auto Crossing Test Generator]]=8,RANDBETWEEN(0,1),0)</f>
        <v>0</v>
      </c>
      <c r="AB58" s="5">
        <f ca="1">IF(MatchData[[#This Row],[Auto Crossing Test Generator]]&gt;8,RANDBETWEEN(0,1),0)</f>
        <v>0</v>
      </c>
      <c r="AC58" s="5">
        <f ca="1">IF(MatchData[[#This Row],[Auto Crossing Test Generator]]=9,RANDBETWEEN(0,1),0)</f>
        <v>0</v>
      </c>
      <c r="AD58" s="5">
        <f ca="1">IF(MatchData[[#This Row],[Cheval Available]]=1,RANDBETWEEN(0,MatchData[[#This Row],[Cheval High]]),0)</f>
        <v>0</v>
      </c>
      <c r="AE58" s="5">
        <f ca="1">IF(MatchData[[#This Row],[Moat Available]]=1,RANDBETWEEN(0,MatchData[[#This Row],[Moat High]]),0)</f>
        <v>0</v>
      </c>
      <c r="AF58" s="5">
        <f ca="1">IF(MatchData[[#This Row],[Ramparts Available]]=1,RANDBETWEEN(0,MatchData[[#This Row],[Ramparts High]]),0)</f>
        <v>2</v>
      </c>
      <c r="AG58" s="5">
        <f ca="1">IF(MatchData[[#This Row],[Drawbridge Available]]=1,RANDBETWEEN(0,MatchData[[#This Row],[Drawbridge High]]),0)</f>
        <v>0</v>
      </c>
      <c r="AH58" s="5">
        <f ca="1">IF(MatchData[[#This Row],[Sally Port Available]]=1,RANDBETWEEN(0,MatchData[[#This Row],[Sally Port High]]),0)</f>
        <v>0</v>
      </c>
      <c r="AI58" s="5">
        <f ca="1">IF(MatchData[[#This Row],[Rock Wall Available]]=1,RANDBETWEEN(0,MatchData[[#This Row],[Rock Wall High]]),0)</f>
        <v>0</v>
      </c>
      <c r="AJ58" s="5">
        <f ca="1">IF(MatchData[[#This Row],[Rough Terrain Available]]=1,RANDBETWEEN(0,MatchData[[#This Row],[Rough Terrain High]]),0)</f>
        <v>0</v>
      </c>
      <c r="AK58" s="5">
        <f ca="1">IF(MatchData[[#This Row],[Low Bar Available]]=1,RANDBETWEEN(0,MatchData[[#This Row],[Low Bar High]]),0)</f>
        <v>0</v>
      </c>
      <c r="AL58" s="5">
        <f ca="1">IF(MatchData[Cheval Teleop Crossings]&gt;3,10, MatchData[Cheval Teleop Crossings]*5)</f>
        <v>0</v>
      </c>
      <c r="AM58" s="5">
        <f ca="1">IF(MatchData[Moat Teleop Crossings]&gt;3,10, MatchData[Moat Teleop Crossings]*5)</f>
        <v>0</v>
      </c>
      <c r="AN58" s="5">
        <f ca="1">IF(MatchData[Ramparts Teleop Crossings]&gt;3,10, MatchData[Ramparts Teleop Crossings]*5)</f>
        <v>10</v>
      </c>
      <c r="AO58" s="5">
        <f ca="1">IF(MatchData[Drawbridge Teleop Crossings]&gt;3,10, MatchData[Drawbridge Teleop Crossings]*5)</f>
        <v>0</v>
      </c>
      <c r="AP58" s="5">
        <f ca="1">IF(MatchData[Sally Port Teleop Crossings]&gt;3,10, MatchData[Sally Port Teleop Crossings]*5)</f>
        <v>0</v>
      </c>
      <c r="AQ58" s="5">
        <f ca="1">IF(MatchData[Rock Wall Teleop Crossings]&gt;3,10, MatchData[Rock Wall Teleop Crossings]*5)</f>
        <v>0</v>
      </c>
      <c r="AR58" s="5">
        <f ca="1">IF(MatchData[Rough Terrain Teleop Crossings]&gt;3,10, MatchData[Rough Terrain Teleop Crossings]*5)</f>
        <v>0</v>
      </c>
      <c r="AS58" s="5">
        <f ca="1">IF(MatchData[Low Bar Teleop Crossings]&gt;3,10, MatchData[Low Bar Teleop Crossings]*5)</f>
        <v>0</v>
      </c>
      <c r="AT58" s="5">
        <f ca="1">SUM(MatchData[[#This Row],[Portcullis Teleop Crossings]:[Low Bar Teleop Crossings]])</f>
        <v>2</v>
      </c>
      <c r="AU58" s="5">
        <f ca="1">IF(RANDBETWEEN(1,4)&gt;1,1,0)</f>
        <v>1</v>
      </c>
      <c r="AV58" s="5">
        <f ca="1">IF(MatchData[[#This Row],[Challenge Flag]]=1,0,IF(MatchData[[#This Row],[Climber]]=1,RANDBETWEEN(0,1),0))</f>
        <v>0</v>
      </c>
      <c r="AW58" s="5">
        <f ca="1">IF(MatchData[[#This Row],[Crossing Score]]&gt;=40,1,0)</f>
        <v>0</v>
      </c>
      <c r="AX58" s="5"/>
      <c r="AY58" s="5">
        <f ca="1">IF(RANDBETWEEN(1,100)&gt;95,1,0)</f>
        <v>1</v>
      </c>
      <c r="AZ58" s="5">
        <f ca="1">IF(RANDBETWEEN(1,100)&gt;80,1,0)</f>
        <v>0</v>
      </c>
      <c r="BA58" s="5">
        <f ca="1">IF(OR(MatchData[[#This Row],[Challenge Flag]],MatchData[[#This Row],[Climb Flag]]),1,0)</f>
        <v>1</v>
      </c>
      <c r="BB58" s="5">
        <f ca="1">MatchData[Auto High Goals]*10+MatchData[Teleop High Goals]*5</f>
        <v>0</v>
      </c>
      <c r="BC58" s="5">
        <f ca="1">MatchData[Auto Low Goals]*5+MatchData[Teleop Low Goals]*2</f>
        <v>8</v>
      </c>
      <c r="BD58" s="5">
        <f ca="1">MatchData[High Goal Score]+MatchData[Low Goal Score]</f>
        <v>8</v>
      </c>
      <c r="BE58" s="5">
        <f ca="1">MatchData[Teleop High Goals]+MatchData[Teleop Low Goals]</f>
        <v>4</v>
      </c>
      <c r="BF58" s="5">
        <f ca="1">MatchData[[#This Row],[Auto Reach Flag]]*2+SUM(MatchData[[#This Row],[Portcullis Auto Crossings]:[Low Bar Auto Crossings]])*10+MatchData[[#This Row],[Auto Low Goals]]*5+MatchData[Auto High Goals]*10</f>
        <v>2</v>
      </c>
      <c r="BG58" s="5">
        <f ca="1">SUM(MatchData[[#This Row],[Cheval Scored Teleop Crossings]:[Low Bar Scored Teleop Crossings]])</f>
        <v>10</v>
      </c>
      <c r="BH58" s="5">
        <f ca="1">MatchData[Challenge Flag]*5</f>
        <v>5</v>
      </c>
      <c r="BI58" s="5">
        <f ca="1">MatchData[Climb Flag]*15</f>
        <v>0</v>
      </c>
      <c r="BJ58" s="5">
        <f ca="1">SUM(MatchData[[#This Row],[Total Goal Score]],MatchData[[#This Row],[Crossing Score]],MatchData[[#This Row],[Challenge Score]],MatchData[[#This Row],[Climb Score]],MatchData[[#This Row],[Total Auto Score]])</f>
        <v>25</v>
      </c>
      <c r="BK58">
        <v>2</v>
      </c>
      <c r="BL58" s="5">
        <f ca="1">IF(RANDBETWEEN(0,10)&gt;=9,RANDBETWEEN(1,9),0)</f>
        <v>0</v>
      </c>
      <c r="BM58" s="5">
        <f>VLOOKUP(MatchData[[#This Row],[Persona]],Personas!$A$2:$O$5,3)</f>
        <v>1</v>
      </c>
      <c r="BN58" s="13">
        <f>VLOOKUP(MatchData[[#This Row],[Persona]],Personas!$A$2:$P$5,4)</f>
        <v>4</v>
      </c>
      <c r="BO58" s="13">
        <f>VLOOKUP(MatchData[[#This Row],[Persona]],Personas!$A$2:$P$5,5)</f>
        <v>0</v>
      </c>
      <c r="BP58" s="13">
        <f>VLOOKUP(MatchData[[#This Row],[Persona]],Personas!$A$2:$P$5,6)</f>
        <v>0</v>
      </c>
      <c r="BQ58" s="13">
        <f>VLOOKUP(MatchData[[#This Row],[Persona]],Personas!$A$2:$P$5,7)</f>
        <v>0</v>
      </c>
      <c r="BR58" s="13">
        <f>VLOOKUP(MatchData[[#This Row],[Persona]],Personas!$A$2:$P$5,8)</f>
        <v>0</v>
      </c>
      <c r="BS58" s="13">
        <f>VLOOKUP(MatchData[[#This Row],[Persona]],Personas!$A$2:$P$5,9)</f>
        <v>2</v>
      </c>
      <c r="BT58" s="13">
        <f>VLOOKUP(MatchData[[#This Row],[Persona]],Personas!$A$2:$P$5,10)</f>
        <v>2</v>
      </c>
      <c r="BU58" s="13">
        <f>VLOOKUP(MatchData[[#This Row],[Persona]],Personas!$A$2:$P$5,11)</f>
        <v>0</v>
      </c>
      <c r="BV58" s="13">
        <f>VLOOKUP(MatchData[[#This Row],[Persona]],Personas!$A$2:$P$5,12)</f>
        <v>0</v>
      </c>
      <c r="BW58" s="13">
        <f>VLOOKUP(MatchData[[#This Row],[Persona]],Personas!$A$2:$P$5,13)</f>
        <v>2</v>
      </c>
      <c r="BX58" s="13">
        <f>VLOOKUP(MatchData[[#This Row],[Persona]],Personas!$A$2:$P$5,14)</f>
        <v>2</v>
      </c>
      <c r="BY58" s="13">
        <f>VLOOKUP(MatchData[[#This Row],[Persona]],Personas!$A$2:$P$5,15)</f>
        <v>2</v>
      </c>
      <c r="BZ58" s="13">
        <f>VLOOKUP(MatchData[[#This Row],[Persona]],Personas!$A$2:$P$5,16)</f>
        <v>1</v>
      </c>
      <c r="CA58" s="14">
        <f ca="1">ROUND(SUMIF(MatchData[Team],MatchData[[#This Row],[Team]],MatchData[Teleop Low Goals])/COUNTIF(MatchData[Team],MatchData[[#This Row],[Team]]),2)</f>
        <v>3</v>
      </c>
      <c r="CB58" s="14">
        <f ca="1">ROUND(SUMIF(MatchData[Team],MatchData[[#This Row],[Team]],MatchData[Teleop High Goals])/COUNTIF(MatchData[Team],MatchData[[#This Row],[Team]]),2)</f>
        <v>0</v>
      </c>
      <c r="CC58" s="14">
        <f>COUNTIF(MatchData[Team],MatchData[[#This Row],[Team]])</f>
        <v>5</v>
      </c>
      <c r="CD58" s="14">
        <f>SUMIF(MatchData[Team],MatchData[[#This Row],[Team]],MatchData[Portcullis Available])</f>
        <v>3</v>
      </c>
      <c r="CE58" s="14">
        <f>SUMIF(MatchData[Team],MatchData[[#This Row],[Team]],MatchData[Cheval Available])</f>
        <v>2</v>
      </c>
      <c r="CF58" s="14">
        <f>SUMIF(MatchData[Team],MatchData[[#This Row],[Team]],MatchData[Moat Available])</f>
        <v>2</v>
      </c>
      <c r="CG58" s="14">
        <f>SUMIF(MatchData[Team],MatchData[[#This Row],[Team]],MatchData[Ramparts Available])</f>
        <v>3</v>
      </c>
      <c r="CH58" s="14">
        <f>SUMIF(MatchData[Team],MatchData[[#This Row],[Team]],MatchData[Drawbridge Available])</f>
        <v>2</v>
      </c>
      <c r="CI58" s="14">
        <f>SUMIF(MatchData[Team],MatchData[[#This Row],[Team]],MatchData[Sally Port Available])</f>
        <v>3</v>
      </c>
      <c r="CJ58" s="14">
        <f>SUMIF(MatchData[Team],MatchData[[#This Row],[Team]],MatchData[Rock Wall Available])</f>
        <v>3</v>
      </c>
      <c r="CK58" s="14">
        <f>SUMIF(MatchData[Team],MatchData[[#This Row],[Team]],MatchData[Rough Terrain Available])</f>
        <v>2</v>
      </c>
      <c r="CL58" s="14">
        <f>SUMIF(MatchData[Team],MatchData[[#This Row],[Team]],MatchData[Low Bar Available])</f>
        <v>5</v>
      </c>
      <c r="CM58" s="14">
        <f ca="1">SUMIF(MatchData[Team],MatchData[[#This Row],[Team]],MatchData[Portcullis Teleop Crossings])</f>
        <v>0</v>
      </c>
      <c r="CN58" s="14">
        <f ca="1">SUMIF(MatchData[Team],MatchData[[#This Row],[Team]],MatchData[Cheval Teleop Crossings])</f>
        <v>0</v>
      </c>
      <c r="CO58" s="14">
        <f ca="1">SUMIF(MatchData[Team],MatchData[[#This Row],[Team]],MatchData[Moat Teleop Crossings])</f>
        <v>2</v>
      </c>
      <c r="CP58" s="14">
        <f ca="1">SUMIF(MatchData[Team],MatchData[[#This Row],[Team]],MatchData[Ramparts Teleop Crossings])</f>
        <v>3</v>
      </c>
      <c r="CQ58" s="14">
        <f ca="1">SUMIF(MatchData[Team],MatchData[[#This Row],[Team]],MatchData[Drawbridge Teleop Crossings])</f>
        <v>0</v>
      </c>
      <c r="CR58" s="14">
        <f ca="1">SUMIF(MatchData[Team],MatchData[[#This Row],[Team]],MatchData[Sally Port Teleop Crossings])</f>
        <v>0</v>
      </c>
      <c r="CS58" s="14">
        <f ca="1">SUMIF(MatchData[Team],MatchData[[#This Row],[Team]],MatchData[Rock Wall Teleop Crossings])</f>
        <v>3</v>
      </c>
      <c r="CT58" s="14">
        <f ca="1">SUMIF(MatchData[Team],MatchData[[#This Row],[Team]],MatchData[Rough Terrain Teleop Crossings])</f>
        <v>2</v>
      </c>
      <c r="CU58" s="14">
        <f ca="1">SUMIF(MatchData[Team],MatchData[[#This Row],[Team]],MatchData[Low Bar Teleop Crossings])</f>
        <v>5</v>
      </c>
      <c r="CV58" s="14">
        <f ca="1">IFERROR(ROUND(MatchData[[#This Row],[Portcullis Sum]]/MatchData[[#This Row],[Portcullis Avail Count]],2),0)</f>
        <v>0</v>
      </c>
      <c r="CW58">
        <f ca="1">IFERROR(ROUND(MatchData[[#This Row],[Cheval Sum]]/MatchData[[#This Row],[Cheval Avail Count]],2),0)</f>
        <v>0</v>
      </c>
      <c r="CX58">
        <f ca="1">IFERROR(ROUND(MatchData[[#This Row],[Moat Sum]]/MatchData[[#This Row],[Moat Avail Count]],2),0)</f>
        <v>1</v>
      </c>
      <c r="CY58">
        <f ca="1">IFERROR(ROUND(MatchData[[#This Row],[Ramparts Sum]]/MatchData[[#This Row],[Ramparts Avail Count]],2),0)</f>
        <v>1</v>
      </c>
      <c r="CZ58">
        <f ca="1">IFERROR(ROUND(MatchData[[#This Row],[Drawbridge Sum]]/MatchData[[#This Row],[Drawbridge HAvail Countigh6]],2),0)</f>
        <v>0</v>
      </c>
      <c r="DA58">
        <f ca="1">IFERROR(ROUND(MatchData[[#This Row],[Sally Port Sum]]/MatchData[[#This Row],[Sally Port Avail Count]],2),0)</f>
        <v>0</v>
      </c>
      <c r="DB58">
        <f ca="1">IFERROR(ROUND(MatchData[[#This Row],[Rock Wall Sum]]/MatchData[[#This Row],[Rock Wall Avail Count]],2),0)</f>
        <v>1</v>
      </c>
      <c r="DC58">
        <f ca="1">IFERROR(ROUND(MatchData[[#This Row],[Rough Terrain Sum]]/MatchData[[#This Row],[Rough Terrain Avail Count]],2),0)</f>
        <v>1</v>
      </c>
      <c r="DD58">
        <f ca="1">IFERROR(ROUND(MatchData[[#This Row],[Low Bar Sum]]/MatchData[[#This Row],[Low Bar Avail Count]],2),0)</f>
        <v>1</v>
      </c>
      <c r="DE58" s="14">
        <f t="array" aca="1" ref="DE58" ca="1">MAX(IF(C$4:C$75=C58,BE$4:BE$75))</f>
        <v>4</v>
      </c>
      <c r="DF58" s="14">
        <f ca="1">AVERAGEIF(MatchData[Team],MatchData[Team],MatchData[Total Score])</f>
        <v>27.4</v>
      </c>
      <c r="DG58" s="14">
        <f ca="1">ROUND(AVERAGEIF(MatchData[Team],MatchData[Team],MatchData[Climb or Challenge Flag]),2)</f>
        <v>0.8</v>
      </c>
    </row>
    <row r="59" spans="1:111">
      <c r="A59" t="s">
        <v>54</v>
      </c>
      <c r="B59" s="4">
        <v>11</v>
      </c>
      <c r="C59">
        <v>1011</v>
      </c>
      <c r="D59" t="s">
        <v>55</v>
      </c>
      <c r="E59" t="s">
        <v>63</v>
      </c>
      <c r="F59">
        <f ca="1">IF(MatchData[[#This Row],[Persona]] = 4,RANDBETWEEN(0,1),0)</f>
        <v>0</v>
      </c>
      <c r="G59">
        <f ca="1">IF(MatchData[[#This Row],[Persona]] = 3,RANDBETWEEN(0,1),0)</f>
        <v>0</v>
      </c>
      <c r="H59">
        <f ca="1">RANDBETWEEN(MatchData[[#This Row],[High Goal Low]],MatchData[[#This Row],[High Goal High]])</f>
        <v>0</v>
      </c>
      <c r="I59">
        <f ca="1">RANDBETWEEN(MatchData[[#This Row],[Low Goal Low]],MatchData[[#This Row],[Low Goal High]])</f>
        <v>4</v>
      </c>
      <c r="J59" s="6">
        <v>1</v>
      </c>
      <c r="K59" s="6"/>
      <c r="L59" s="6"/>
      <c r="M59" s="6">
        <v>1</v>
      </c>
      <c r="N59" s="6"/>
      <c r="O59" s="6">
        <v>1</v>
      </c>
      <c r="P59" s="6">
        <v>1</v>
      </c>
      <c r="Q59" s="5"/>
      <c r="R59" s="5">
        <v>1</v>
      </c>
      <c r="S59" s="5">
        <f ca="1">IF(MatchData[[#This Row],[Auto Crossing Test Generator]]=0,RANDBETWEEN(0,1),0)</f>
        <v>0</v>
      </c>
      <c r="T59" s="5">
        <f ca="1">IF(MatchData[Auto Crossing Test Generator]=1,1,0)</f>
        <v>0</v>
      </c>
      <c r="U59" s="5">
        <f ca="1">IF(MatchData[[#This Row],[Auto Crossing Test Generator]]=2,RANDBETWEEN(0,1),0)</f>
        <v>0</v>
      </c>
      <c r="V59" s="5">
        <f ca="1">IF(MatchData[[#This Row],[Auto Crossing Test Generator]]=3,RANDBETWEEN(0,1),0)</f>
        <v>0</v>
      </c>
      <c r="W59" s="5">
        <f ca="1">IF(MatchData[[#This Row],[Auto Crossing Test Generator]]=4,RANDBETWEEN(0,1),0)</f>
        <v>0</v>
      </c>
      <c r="X59" s="5">
        <f ca="1">IF(MatchData[[#This Row],[Auto Crossing Test Generator]]=5,RANDBETWEEN(0,1),0)</f>
        <v>0</v>
      </c>
      <c r="Y59" s="5">
        <f ca="1">IF(MatchData[[#This Row],[Auto Crossing Test Generator]]=6,RANDBETWEEN(0,1),0)</f>
        <v>0</v>
      </c>
      <c r="Z59" s="5">
        <f ca="1">IF(MatchData[[#This Row],[Auto Crossing Test Generator]]=7,RANDBETWEEN(0,1),0)</f>
        <v>0</v>
      </c>
      <c r="AA59" s="5">
        <f ca="1">IF(MatchData[[#This Row],[Auto Crossing Test Generator]]=8,RANDBETWEEN(0,1),0)</f>
        <v>0</v>
      </c>
      <c r="AB59" s="5">
        <f ca="1">IF(MatchData[[#This Row],[Auto Crossing Test Generator]]&gt;8,RANDBETWEEN(0,1),0)</f>
        <v>0</v>
      </c>
      <c r="AC59" s="5">
        <f ca="1">IF(MatchData[[#This Row],[Auto Crossing Test Generator]]=9,RANDBETWEEN(0,1),0)</f>
        <v>0</v>
      </c>
      <c r="AD59" s="5">
        <f ca="1">IF(MatchData[[#This Row],[Cheval Available]]=1,RANDBETWEEN(0,MatchData[[#This Row],[Cheval High]]),0)</f>
        <v>0</v>
      </c>
      <c r="AE59" s="5">
        <f ca="1">IF(MatchData[[#This Row],[Moat Available]]=1,RANDBETWEEN(0,MatchData[[#This Row],[Moat High]]),0)</f>
        <v>0</v>
      </c>
      <c r="AF59" s="5">
        <f ca="1">IF(MatchData[[#This Row],[Ramparts Available]]=1,RANDBETWEEN(0,MatchData[[#This Row],[Ramparts High]]),0)</f>
        <v>0</v>
      </c>
      <c r="AG59" s="5">
        <f ca="1">IF(MatchData[[#This Row],[Drawbridge Available]]=1,RANDBETWEEN(0,MatchData[[#This Row],[Drawbridge High]]),0)</f>
        <v>0</v>
      </c>
      <c r="AH59" s="5">
        <f ca="1">IF(MatchData[[#This Row],[Sally Port Available]]=1,RANDBETWEEN(0,MatchData[[#This Row],[Sally Port High]]),0)</f>
        <v>0</v>
      </c>
      <c r="AI59" s="5">
        <f ca="1">IF(MatchData[[#This Row],[Rock Wall Available]]=1,RANDBETWEEN(0,MatchData[[#This Row],[Rock Wall High]]),0)</f>
        <v>0</v>
      </c>
      <c r="AJ59" s="5">
        <f ca="1">IF(MatchData[[#This Row],[Rough Terrain Available]]=1,RANDBETWEEN(0,MatchData[[#This Row],[Rough Terrain High]]),0)</f>
        <v>0</v>
      </c>
      <c r="AK59" s="5">
        <f ca="1">IF(MatchData[[#This Row],[Low Bar Available]]=1,RANDBETWEEN(0,MatchData[[#This Row],[Low Bar High]]),0)</f>
        <v>0</v>
      </c>
      <c r="AL59" s="5">
        <f ca="1">IF(MatchData[Cheval Teleop Crossings]&gt;3,10, MatchData[Cheval Teleop Crossings]*5)</f>
        <v>0</v>
      </c>
      <c r="AM59" s="5">
        <f ca="1">IF(MatchData[Moat Teleop Crossings]&gt;3,10, MatchData[Moat Teleop Crossings]*5)</f>
        <v>0</v>
      </c>
      <c r="AN59" s="5">
        <f ca="1">IF(MatchData[Ramparts Teleop Crossings]&gt;3,10, MatchData[Ramparts Teleop Crossings]*5)</f>
        <v>0</v>
      </c>
      <c r="AO59" s="5">
        <f ca="1">IF(MatchData[Drawbridge Teleop Crossings]&gt;3,10, MatchData[Drawbridge Teleop Crossings]*5)</f>
        <v>0</v>
      </c>
      <c r="AP59" s="5">
        <f ca="1">IF(MatchData[Sally Port Teleop Crossings]&gt;3,10, MatchData[Sally Port Teleop Crossings]*5)</f>
        <v>0</v>
      </c>
      <c r="AQ59" s="5">
        <f ca="1">IF(MatchData[Rock Wall Teleop Crossings]&gt;3,10, MatchData[Rock Wall Teleop Crossings]*5)</f>
        <v>0</v>
      </c>
      <c r="AR59" s="5">
        <f ca="1">IF(MatchData[Rough Terrain Teleop Crossings]&gt;3,10, MatchData[Rough Terrain Teleop Crossings]*5)</f>
        <v>0</v>
      </c>
      <c r="AS59" s="5">
        <f ca="1">IF(MatchData[Low Bar Teleop Crossings]&gt;3,10, MatchData[Low Bar Teleop Crossings]*5)</f>
        <v>0</v>
      </c>
      <c r="AT59" s="5">
        <f ca="1">SUM(MatchData[[#This Row],[Portcullis Teleop Crossings]:[Low Bar Teleop Crossings]])</f>
        <v>0</v>
      </c>
      <c r="AU59" s="5">
        <f ca="1">IF(RANDBETWEEN(1,4)&gt;1,1,0)</f>
        <v>1</v>
      </c>
      <c r="AV59" s="5">
        <f ca="1">IF(MatchData[[#This Row],[Challenge Flag]]=1,0,IF(MatchData[[#This Row],[Climber]]=1,RANDBETWEEN(0,1),0))</f>
        <v>0</v>
      </c>
      <c r="AW59" s="5">
        <f ca="1">IF(MatchData[[#This Row],[Crossing Score]]&gt;=40,1,0)</f>
        <v>0</v>
      </c>
      <c r="AX59" s="5"/>
      <c r="AY59" s="5">
        <f ca="1">IF(RANDBETWEEN(1,100)&gt;95,1,0)</f>
        <v>0</v>
      </c>
      <c r="AZ59" s="5">
        <f ca="1">IF(RANDBETWEEN(1,100)&gt;80,1,0)</f>
        <v>0</v>
      </c>
      <c r="BA59" s="5">
        <f ca="1">IF(OR(MatchData[[#This Row],[Challenge Flag]],MatchData[[#This Row],[Climb Flag]]),1,0)</f>
        <v>1</v>
      </c>
      <c r="BB59" s="5">
        <f ca="1">MatchData[Auto High Goals]*10+MatchData[Teleop High Goals]*5</f>
        <v>0</v>
      </c>
      <c r="BC59" s="5">
        <f ca="1">MatchData[Auto Low Goals]*5+MatchData[Teleop Low Goals]*2</f>
        <v>8</v>
      </c>
      <c r="BD59" s="5">
        <f ca="1">MatchData[High Goal Score]+MatchData[Low Goal Score]</f>
        <v>8</v>
      </c>
      <c r="BE59" s="5">
        <f ca="1">MatchData[Teleop High Goals]+MatchData[Teleop Low Goals]</f>
        <v>4</v>
      </c>
      <c r="BF59" s="5">
        <f ca="1">MatchData[[#This Row],[Auto Reach Flag]]*2+SUM(MatchData[[#This Row],[Portcullis Auto Crossings]:[Low Bar Auto Crossings]])*10+MatchData[[#This Row],[Auto Low Goals]]*5+MatchData[Auto High Goals]*10</f>
        <v>0</v>
      </c>
      <c r="BG59" s="5">
        <f ca="1">SUM(MatchData[[#This Row],[Cheval Scored Teleop Crossings]:[Low Bar Scored Teleop Crossings]])</f>
        <v>0</v>
      </c>
      <c r="BH59" s="5">
        <f ca="1">MatchData[Challenge Flag]*5</f>
        <v>5</v>
      </c>
      <c r="BI59" s="5">
        <f ca="1">MatchData[Climb Flag]*15</f>
        <v>0</v>
      </c>
      <c r="BJ59" s="5">
        <f ca="1">SUM(MatchData[[#This Row],[Total Goal Score]],MatchData[[#This Row],[Crossing Score]],MatchData[[#This Row],[Challenge Score]],MatchData[[#This Row],[Climb Score]],MatchData[[#This Row],[Total Auto Score]])</f>
        <v>13</v>
      </c>
      <c r="BK59">
        <v>2</v>
      </c>
      <c r="BL59" s="5">
        <f ca="1">IF(RANDBETWEEN(0,10)&gt;=9,RANDBETWEEN(1,9),0)</f>
        <v>0</v>
      </c>
      <c r="BM59" s="5">
        <f>VLOOKUP(MatchData[[#This Row],[Persona]],Personas!$A$2:$O$5,3)</f>
        <v>1</v>
      </c>
      <c r="BN59" s="13">
        <f>VLOOKUP(MatchData[[#This Row],[Persona]],Personas!$A$2:$P$5,4)</f>
        <v>4</v>
      </c>
      <c r="BO59" s="13">
        <f>VLOOKUP(MatchData[[#This Row],[Persona]],Personas!$A$2:$P$5,5)</f>
        <v>0</v>
      </c>
      <c r="BP59" s="13">
        <f>VLOOKUP(MatchData[[#This Row],[Persona]],Personas!$A$2:$P$5,6)</f>
        <v>0</v>
      </c>
      <c r="BQ59" s="13">
        <f>VLOOKUP(MatchData[[#This Row],[Persona]],Personas!$A$2:$P$5,7)</f>
        <v>0</v>
      </c>
      <c r="BR59" s="13">
        <f>VLOOKUP(MatchData[[#This Row],[Persona]],Personas!$A$2:$P$5,8)</f>
        <v>0</v>
      </c>
      <c r="BS59" s="13">
        <f>VLOOKUP(MatchData[[#This Row],[Persona]],Personas!$A$2:$P$5,9)</f>
        <v>2</v>
      </c>
      <c r="BT59" s="13">
        <f>VLOOKUP(MatchData[[#This Row],[Persona]],Personas!$A$2:$P$5,10)</f>
        <v>2</v>
      </c>
      <c r="BU59" s="13">
        <f>VLOOKUP(MatchData[[#This Row],[Persona]],Personas!$A$2:$P$5,11)</f>
        <v>0</v>
      </c>
      <c r="BV59" s="13">
        <f>VLOOKUP(MatchData[[#This Row],[Persona]],Personas!$A$2:$P$5,12)</f>
        <v>0</v>
      </c>
      <c r="BW59" s="13">
        <f>VLOOKUP(MatchData[[#This Row],[Persona]],Personas!$A$2:$P$5,13)</f>
        <v>2</v>
      </c>
      <c r="BX59" s="13">
        <f>VLOOKUP(MatchData[[#This Row],[Persona]],Personas!$A$2:$P$5,14)</f>
        <v>2</v>
      </c>
      <c r="BY59" s="13">
        <f>VLOOKUP(MatchData[[#This Row],[Persona]],Personas!$A$2:$P$5,15)</f>
        <v>2</v>
      </c>
      <c r="BZ59" s="13">
        <f>VLOOKUP(MatchData[[#This Row],[Persona]],Personas!$A$2:$P$5,16)</f>
        <v>1</v>
      </c>
      <c r="CA59" s="14">
        <f ca="1">ROUND(SUMIF(MatchData[Team],MatchData[[#This Row],[Team]],MatchData[Teleop Low Goals])/COUNTIF(MatchData[Team],MatchData[[#This Row],[Team]]),2)</f>
        <v>3</v>
      </c>
      <c r="CB59" s="14">
        <f ca="1">ROUND(SUMIF(MatchData[Team],MatchData[[#This Row],[Team]],MatchData[Teleop High Goals])/COUNTIF(MatchData[Team],MatchData[[#This Row],[Team]]),2)</f>
        <v>0</v>
      </c>
      <c r="CC59" s="14">
        <f>COUNTIF(MatchData[Team],MatchData[[#This Row],[Team]])</f>
        <v>5</v>
      </c>
      <c r="CD59" s="14">
        <f>SUMIF(MatchData[Team],MatchData[[#This Row],[Team]],MatchData[Portcullis Available])</f>
        <v>3</v>
      </c>
      <c r="CE59" s="14">
        <f>SUMIF(MatchData[Team],MatchData[[#This Row],[Team]],MatchData[Cheval Available])</f>
        <v>2</v>
      </c>
      <c r="CF59" s="14">
        <f>SUMIF(MatchData[Team],MatchData[[#This Row],[Team]],MatchData[Moat Available])</f>
        <v>2</v>
      </c>
      <c r="CG59" s="14">
        <f>SUMIF(MatchData[Team],MatchData[[#This Row],[Team]],MatchData[Ramparts Available])</f>
        <v>3</v>
      </c>
      <c r="CH59" s="14">
        <f>SUMIF(MatchData[Team],MatchData[[#This Row],[Team]],MatchData[Drawbridge Available])</f>
        <v>2</v>
      </c>
      <c r="CI59" s="14">
        <f>SUMIF(MatchData[Team],MatchData[[#This Row],[Team]],MatchData[Sally Port Available])</f>
        <v>3</v>
      </c>
      <c r="CJ59" s="14">
        <f>SUMIF(MatchData[Team],MatchData[[#This Row],[Team]],MatchData[Rock Wall Available])</f>
        <v>3</v>
      </c>
      <c r="CK59" s="14">
        <f>SUMIF(MatchData[Team],MatchData[[#This Row],[Team]],MatchData[Rough Terrain Available])</f>
        <v>2</v>
      </c>
      <c r="CL59" s="14">
        <f>SUMIF(MatchData[Team],MatchData[[#This Row],[Team]],MatchData[Low Bar Available])</f>
        <v>5</v>
      </c>
      <c r="CM59" s="14">
        <f ca="1">SUMIF(MatchData[Team],MatchData[[#This Row],[Team]],MatchData[Portcullis Teleop Crossings])</f>
        <v>0</v>
      </c>
      <c r="CN59" s="14">
        <f ca="1">SUMIF(MatchData[Team],MatchData[[#This Row],[Team]],MatchData[Cheval Teleop Crossings])</f>
        <v>0</v>
      </c>
      <c r="CO59" s="14">
        <f ca="1">SUMIF(MatchData[Team],MatchData[[#This Row],[Team]],MatchData[Moat Teleop Crossings])</f>
        <v>2</v>
      </c>
      <c r="CP59" s="14">
        <f ca="1">SUMIF(MatchData[Team],MatchData[[#This Row],[Team]],MatchData[Ramparts Teleop Crossings])</f>
        <v>3</v>
      </c>
      <c r="CQ59" s="14">
        <f ca="1">SUMIF(MatchData[Team],MatchData[[#This Row],[Team]],MatchData[Drawbridge Teleop Crossings])</f>
        <v>0</v>
      </c>
      <c r="CR59" s="14">
        <f ca="1">SUMIF(MatchData[Team],MatchData[[#This Row],[Team]],MatchData[Sally Port Teleop Crossings])</f>
        <v>0</v>
      </c>
      <c r="CS59" s="14">
        <f ca="1">SUMIF(MatchData[Team],MatchData[[#This Row],[Team]],MatchData[Rock Wall Teleop Crossings])</f>
        <v>3</v>
      </c>
      <c r="CT59" s="14">
        <f ca="1">SUMIF(MatchData[Team],MatchData[[#This Row],[Team]],MatchData[Rough Terrain Teleop Crossings])</f>
        <v>2</v>
      </c>
      <c r="CU59" s="14">
        <f ca="1">SUMIF(MatchData[Team],MatchData[[#This Row],[Team]],MatchData[Low Bar Teleop Crossings])</f>
        <v>5</v>
      </c>
      <c r="CV59" s="14">
        <f ca="1">IFERROR(ROUND(MatchData[[#This Row],[Portcullis Sum]]/MatchData[[#This Row],[Portcullis Avail Count]],2),0)</f>
        <v>0</v>
      </c>
      <c r="CW59">
        <f ca="1">IFERROR(ROUND(MatchData[[#This Row],[Cheval Sum]]/MatchData[[#This Row],[Cheval Avail Count]],2),0)</f>
        <v>0</v>
      </c>
      <c r="CX59">
        <f ca="1">IFERROR(ROUND(MatchData[[#This Row],[Moat Sum]]/MatchData[[#This Row],[Moat Avail Count]],2),0)</f>
        <v>1</v>
      </c>
      <c r="CY59">
        <f ca="1">IFERROR(ROUND(MatchData[[#This Row],[Ramparts Sum]]/MatchData[[#This Row],[Ramparts Avail Count]],2),0)</f>
        <v>1</v>
      </c>
      <c r="CZ59">
        <f ca="1">IFERROR(ROUND(MatchData[[#This Row],[Drawbridge Sum]]/MatchData[[#This Row],[Drawbridge HAvail Countigh6]],2),0)</f>
        <v>0</v>
      </c>
      <c r="DA59">
        <f ca="1">IFERROR(ROUND(MatchData[[#This Row],[Sally Port Sum]]/MatchData[[#This Row],[Sally Port Avail Count]],2),0)</f>
        <v>0</v>
      </c>
      <c r="DB59">
        <f ca="1">IFERROR(ROUND(MatchData[[#This Row],[Rock Wall Sum]]/MatchData[[#This Row],[Rock Wall Avail Count]],2),0)</f>
        <v>1</v>
      </c>
      <c r="DC59">
        <f ca="1">IFERROR(ROUND(MatchData[[#This Row],[Rough Terrain Sum]]/MatchData[[#This Row],[Rough Terrain Avail Count]],2),0)</f>
        <v>1</v>
      </c>
      <c r="DD59">
        <f ca="1">IFERROR(ROUND(MatchData[[#This Row],[Low Bar Sum]]/MatchData[[#This Row],[Low Bar Avail Count]],2),0)</f>
        <v>1</v>
      </c>
      <c r="DE59" s="14">
        <f t="array" aca="1" ref="DE59" ca="1">MAX(IF(C$4:C$75=C59,BE$4:BE$75))</f>
        <v>4</v>
      </c>
      <c r="DF59" s="14">
        <f ca="1">AVERAGEIF(MatchData[Team],MatchData[Team],MatchData[Total Score])</f>
        <v>27.4</v>
      </c>
      <c r="DG59" s="14">
        <f ca="1">ROUND(AVERAGEIF(MatchData[Team],MatchData[Team],MatchData[Climb or Challenge Flag]),2)</f>
        <v>0.8</v>
      </c>
    </row>
    <row r="60" spans="1:111">
      <c r="A60" t="s">
        <v>54</v>
      </c>
      <c r="B60" s="4">
        <v>2</v>
      </c>
      <c r="C60">
        <v>1012</v>
      </c>
      <c r="D60" t="s">
        <v>56</v>
      </c>
      <c r="E60" t="s">
        <v>60</v>
      </c>
      <c r="F60">
        <f ca="1">IF(MatchData[[#This Row],[Persona]] = 4,RANDBETWEEN(0,1),0)</f>
        <v>0</v>
      </c>
      <c r="G60">
        <f ca="1">IF(MatchData[[#This Row],[Persona]] = 3,RANDBETWEEN(0,1),0)</f>
        <v>0</v>
      </c>
      <c r="H60">
        <f ca="1">RANDBETWEEN(MatchData[[#This Row],[High Goal Low]],MatchData[[#This Row],[High Goal High]])</f>
        <v>0</v>
      </c>
      <c r="I60">
        <f ca="1">RANDBETWEEN(MatchData[[#This Row],[Low Goal Low]],MatchData[[#This Row],[Low Goal High]])</f>
        <v>3</v>
      </c>
      <c r="J60" s="6"/>
      <c r="K60" s="6">
        <v>1</v>
      </c>
      <c r="L60" s="6">
        <v>1</v>
      </c>
      <c r="M60" s="6"/>
      <c r="N60" s="6">
        <v>1</v>
      </c>
      <c r="O60" s="6"/>
      <c r="P60" s="6"/>
      <c r="Q60" s="5">
        <v>1</v>
      </c>
      <c r="R60" s="5">
        <v>1</v>
      </c>
      <c r="S60" s="5">
        <f ca="1">IF(MatchData[[#This Row],[Auto Crossing Test Generator]]=0,RANDBETWEEN(0,1),0)</f>
        <v>0</v>
      </c>
      <c r="T60" s="5">
        <f ca="1">IF(MatchData[Auto Crossing Test Generator]=1,1,0)</f>
        <v>0</v>
      </c>
      <c r="U60" s="5">
        <f ca="1">IF(MatchData[[#This Row],[Auto Crossing Test Generator]]=2,RANDBETWEEN(0,1),0)</f>
        <v>0</v>
      </c>
      <c r="V60" s="5">
        <f ca="1">IF(MatchData[[#This Row],[Auto Crossing Test Generator]]=3,RANDBETWEEN(0,1),0)</f>
        <v>0</v>
      </c>
      <c r="W60" s="5">
        <f ca="1">IF(MatchData[[#This Row],[Auto Crossing Test Generator]]=4,RANDBETWEEN(0,1),0)</f>
        <v>0</v>
      </c>
      <c r="X60" s="5">
        <f ca="1">IF(MatchData[[#This Row],[Auto Crossing Test Generator]]=5,RANDBETWEEN(0,1),0)</f>
        <v>0</v>
      </c>
      <c r="Y60" s="5">
        <f ca="1">IF(MatchData[[#This Row],[Auto Crossing Test Generator]]=6,RANDBETWEEN(0,1),0)</f>
        <v>0</v>
      </c>
      <c r="Z60" s="5">
        <f ca="1">IF(MatchData[[#This Row],[Auto Crossing Test Generator]]=7,RANDBETWEEN(0,1),0)</f>
        <v>0</v>
      </c>
      <c r="AA60" s="5">
        <f ca="1">IF(MatchData[[#This Row],[Auto Crossing Test Generator]]=8,RANDBETWEEN(0,1),0)</f>
        <v>0</v>
      </c>
      <c r="AB60" s="5">
        <f ca="1">IF(MatchData[[#This Row],[Auto Crossing Test Generator]]&gt;8,RANDBETWEEN(0,1),0)</f>
        <v>0</v>
      </c>
      <c r="AC60" s="5">
        <f ca="1">IF(MatchData[[#This Row],[Auto Crossing Test Generator]]=9,RANDBETWEEN(0,1),0)</f>
        <v>0</v>
      </c>
      <c r="AD60" s="5">
        <f ca="1">IF(MatchData[[#This Row],[Cheval Available]]=1,RANDBETWEEN(0,MatchData[[#This Row],[Cheval High]]),0)</f>
        <v>2</v>
      </c>
      <c r="AE60" s="5">
        <f ca="1">IF(MatchData[[#This Row],[Moat Available]]=1,RANDBETWEEN(0,MatchData[[#This Row],[Moat High]]),0)</f>
        <v>3</v>
      </c>
      <c r="AF60" s="5">
        <f ca="1">IF(MatchData[[#This Row],[Ramparts Available]]=1,RANDBETWEEN(0,MatchData[[#This Row],[Ramparts High]]),0)</f>
        <v>0</v>
      </c>
      <c r="AG60" s="5">
        <f ca="1">IF(MatchData[[#This Row],[Drawbridge Available]]=1,RANDBETWEEN(0,MatchData[[#This Row],[Drawbridge High]]),0)</f>
        <v>1</v>
      </c>
      <c r="AH60" s="5">
        <f ca="1">IF(MatchData[[#This Row],[Sally Port Available]]=1,RANDBETWEEN(0,MatchData[[#This Row],[Sally Port High]]),0)</f>
        <v>0</v>
      </c>
      <c r="AI60" s="5">
        <f ca="1">IF(MatchData[[#This Row],[Rock Wall Available]]=1,RANDBETWEEN(0,MatchData[[#This Row],[Rock Wall High]]),0)</f>
        <v>0</v>
      </c>
      <c r="AJ60" s="5">
        <f ca="1">IF(MatchData[[#This Row],[Rough Terrain Available]]=1,RANDBETWEEN(0,MatchData[[#This Row],[Rough Terrain High]]),0)</f>
        <v>0</v>
      </c>
      <c r="AK60" s="5">
        <f ca="1">IF(MatchData[[#This Row],[Low Bar Available]]=1,RANDBETWEEN(0,MatchData[[#This Row],[Low Bar High]]),0)</f>
        <v>4</v>
      </c>
      <c r="AL60" s="5">
        <f ca="1">IF(MatchData[Cheval Teleop Crossings]&gt;3,10, MatchData[Cheval Teleop Crossings]*5)</f>
        <v>10</v>
      </c>
      <c r="AM60" s="5">
        <f ca="1">IF(MatchData[Moat Teleop Crossings]&gt;3,10, MatchData[Moat Teleop Crossings]*5)</f>
        <v>15</v>
      </c>
      <c r="AN60" s="5">
        <f ca="1">IF(MatchData[Ramparts Teleop Crossings]&gt;3,10, MatchData[Ramparts Teleop Crossings]*5)</f>
        <v>0</v>
      </c>
      <c r="AO60" s="5">
        <f ca="1">IF(MatchData[Drawbridge Teleop Crossings]&gt;3,10, MatchData[Drawbridge Teleop Crossings]*5)</f>
        <v>5</v>
      </c>
      <c r="AP60" s="5">
        <f ca="1">IF(MatchData[Sally Port Teleop Crossings]&gt;3,10, MatchData[Sally Port Teleop Crossings]*5)</f>
        <v>0</v>
      </c>
      <c r="AQ60" s="5">
        <f ca="1">IF(MatchData[Rock Wall Teleop Crossings]&gt;3,10, MatchData[Rock Wall Teleop Crossings]*5)</f>
        <v>0</v>
      </c>
      <c r="AR60" s="5">
        <f ca="1">IF(MatchData[Rough Terrain Teleop Crossings]&gt;3,10, MatchData[Rough Terrain Teleop Crossings]*5)</f>
        <v>0</v>
      </c>
      <c r="AS60" s="5">
        <f ca="1">IF(MatchData[Low Bar Teleop Crossings]&gt;3,10, MatchData[Low Bar Teleop Crossings]*5)</f>
        <v>10</v>
      </c>
      <c r="AT60" s="5">
        <f ca="1">SUM(MatchData[[#This Row],[Portcullis Teleop Crossings]:[Low Bar Teleop Crossings]])</f>
        <v>10</v>
      </c>
      <c r="AU60" s="5">
        <f ca="1">IF(RANDBETWEEN(1,4)&gt;1,1,0)</f>
        <v>0</v>
      </c>
      <c r="AV60" s="5">
        <f ca="1">IF(MatchData[[#This Row],[Challenge Flag]]=1,0,IF(MatchData[[#This Row],[Climber]]=1,RANDBETWEEN(0,1),0))</f>
        <v>0</v>
      </c>
      <c r="AW60" s="5">
        <f ca="1">IF(MatchData[[#This Row],[Crossing Score]]&gt;=40,1,0)</f>
        <v>1</v>
      </c>
      <c r="AX60" s="5"/>
      <c r="AY60" s="5">
        <f ca="1">IF(RANDBETWEEN(1,100)&gt;95,1,0)</f>
        <v>0</v>
      </c>
      <c r="AZ60" s="5">
        <f ca="1">IF(RANDBETWEEN(1,100)&gt;80,1,0)</f>
        <v>0</v>
      </c>
      <c r="BA60" s="5">
        <f ca="1">IF(OR(MatchData[[#This Row],[Challenge Flag]],MatchData[[#This Row],[Climb Flag]]),1,0)</f>
        <v>0</v>
      </c>
      <c r="BB60" s="5">
        <f ca="1">MatchData[Auto High Goals]*10+MatchData[Teleop High Goals]*5</f>
        <v>0</v>
      </c>
      <c r="BC60" s="5">
        <f ca="1">MatchData[Auto Low Goals]*5+MatchData[Teleop Low Goals]*2</f>
        <v>6</v>
      </c>
      <c r="BD60" s="5">
        <f ca="1">MatchData[High Goal Score]+MatchData[Low Goal Score]</f>
        <v>6</v>
      </c>
      <c r="BE60" s="5">
        <f ca="1">MatchData[Teleop High Goals]+MatchData[Teleop Low Goals]</f>
        <v>3</v>
      </c>
      <c r="BF60" s="5">
        <f ca="1">MatchData[[#This Row],[Auto Reach Flag]]*2+SUM(MatchData[[#This Row],[Portcullis Auto Crossings]:[Low Bar Auto Crossings]])*10+MatchData[[#This Row],[Auto Low Goals]]*5+MatchData[Auto High Goals]*10</f>
        <v>0</v>
      </c>
      <c r="BG60" s="5">
        <f ca="1">SUM(MatchData[[#This Row],[Cheval Scored Teleop Crossings]:[Low Bar Scored Teleop Crossings]])</f>
        <v>40</v>
      </c>
      <c r="BH60" s="5">
        <f ca="1">MatchData[Challenge Flag]*5</f>
        <v>0</v>
      </c>
      <c r="BI60" s="5">
        <f ca="1">MatchData[Climb Flag]*15</f>
        <v>0</v>
      </c>
      <c r="BJ60" s="5">
        <f ca="1">SUM(MatchData[[#This Row],[Total Goal Score]],MatchData[[#This Row],[Crossing Score]],MatchData[[#This Row],[Challenge Score]],MatchData[[#This Row],[Climb Score]],MatchData[[#This Row],[Total Auto Score]])</f>
        <v>46</v>
      </c>
      <c r="BK60">
        <v>3</v>
      </c>
      <c r="BL60" s="5">
        <f ca="1">IF(RANDBETWEEN(0,10)&gt;=9,RANDBETWEEN(1,9),0)</f>
        <v>0</v>
      </c>
      <c r="BM60" s="5">
        <f>VLOOKUP(MatchData[[#This Row],[Persona]],Personas!$A$2:$O$5,3)</f>
        <v>2</v>
      </c>
      <c r="BN60" s="13">
        <f>VLOOKUP(MatchData[[#This Row],[Persona]],Personas!$A$2:$P$5,4)</f>
        <v>6</v>
      </c>
      <c r="BO60" s="13">
        <f>VLOOKUP(MatchData[[#This Row],[Persona]],Personas!$A$2:$P$5,5)</f>
        <v>0</v>
      </c>
      <c r="BP60" s="13">
        <f>VLOOKUP(MatchData[[#This Row],[Persona]],Personas!$A$2:$P$5,6)</f>
        <v>0</v>
      </c>
      <c r="BQ60" s="13">
        <f>VLOOKUP(MatchData[[#This Row],[Persona]],Personas!$A$2:$P$5,7)</f>
        <v>2</v>
      </c>
      <c r="BR60" s="13">
        <f>VLOOKUP(MatchData[[#This Row],[Persona]],Personas!$A$2:$P$5,8)</f>
        <v>2</v>
      </c>
      <c r="BS60" s="13">
        <f>VLOOKUP(MatchData[[#This Row],[Persona]],Personas!$A$2:$P$5,9)</f>
        <v>3</v>
      </c>
      <c r="BT60" s="13">
        <f>VLOOKUP(MatchData[[#This Row],[Persona]],Personas!$A$2:$P$5,10)</f>
        <v>3</v>
      </c>
      <c r="BU60" s="13">
        <f>VLOOKUP(MatchData[[#This Row],[Persona]],Personas!$A$2:$P$5,11)</f>
        <v>2</v>
      </c>
      <c r="BV60" s="13">
        <f>VLOOKUP(MatchData[[#This Row],[Persona]],Personas!$A$2:$P$5,12)</f>
        <v>2</v>
      </c>
      <c r="BW60" s="13">
        <f>VLOOKUP(MatchData[[#This Row],[Persona]],Personas!$A$2:$P$5,13)</f>
        <v>3</v>
      </c>
      <c r="BX60" s="13">
        <f>VLOOKUP(MatchData[[#This Row],[Persona]],Personas!$A$2:$P$5,14)</f>
        <v>3</v>
      </c>
      <c r="BY60" s="13">
        <f>VLOOKUP(MatchData[[#This Row],[Persona]],Personas!$A$2:$P$5,15)</f>
        <v>4</v>
      </c>
      <c r="BZ60" s="13">
        <f>VLOOKUP(MatchData[[#This Row],[Persona]],Personas!$A$2:$P$5,16)</f>
        <v>1</v>
      </c>
      <c r="CA60" s="14">
        <f ca="1">ROUND(SUMIF(MatchData[Team],MatchData[[#This Row],[Team]],MatchData[Teleop Low Goals])/COUNTIF(MatchData[Team],MatchData[[#This Row],[Team]]),2)</f>
        <v>3.6</v>
      </c>
      <c r="CB60" s="14">
        <f ca="1">ROUND(SUMIF(MatchData[Team],MatchData[[#This Row],[Team]],MatchData[Teleop High Goals])/COUNTIF(MatchData[Team],MatchData[[#This Row],[Team]]),2)</f>
        <v>0</v>
      </c>
      <c r="CC60" s="14">
        <f>COUNTIF(MatchData[Team],MatchData[[#This Row],[Team]])</f>
        <v>5</v>
      </c>
      <c r="CD60" s="14">
        <f>SUMIF(MatchData[Team],MatchData[[#This Row],[Team]],MatchData[Portcullis Available])</f>
        <v>4</v>
      </c>
      <c r="CE60" s="14">
        <f>SUMIF(MatchData[Team],MatchData[[#This Row],[Team]],MatchData[Cheval Available])</f>
        <v>1</v>
      </c>
      <c r="CF60" s="14">
        <f>SUMIF(MatchData[Team],MatchData[[#This Row],[Team]],MatchData[Moat Available])</f>
        <v>1</v>
      </c>
      <c r="CG60" s="14">
        <f>SUMIF(MatchData[Team],MatchData[[#This Row],[Team]],MatchData[Ramparts Available])</f>
        <v>4</v>
      </c>
      <c r="CH60" s="14">
        <f>SUMIF(MatchData[Team],MatchData[[#This Row],[Team]],MatchData[Drawbridge Available])</f>
        <v>3</v>
      </c>
      <c r="CI60" s="14">
        <f>SUMIF(MatchData[Team],MatchData[[#This Row],[Team]],MatchData[Sally Port Available])</f>
        <v>2</v>
      </c>
      <c r="CJ60" s="14">
        <f>SUMIF(MatchData[Team],MatchData[[#This Row],[Team]],MatchData[Rock Wall Available])</f>
        <v>2</v>
      </c>
      <c r="CK60" s="14">
        <f>SUMIF(MatchData[Team],MatchData[[#This Row],[Team]],MatchData[Rough Terrain Available])</f>
        <v>3</v>
      </c>
      <c r="CL60" s="14">
        <f>SUMIF(MatchData[Team],MatchData[[#This Row],[Team]],MatchData[Low Bar Available])</f>
        <v>5</v>
      </c>
      <c r="CM60" s="14">
        <f ca="1">SUMIF(MatchData[Team],MatchData[[#This Row],[Team]],MatchData[Portcullis Teleop Crossings])</f>
        <v>0</v>
      </c>
      <c r="CN60" s="14">
        <f ca="1">SUMIF(MatchData[Team],MatchData[[#This Row],[Team]],MatchData[Cheval Teleop Crossings])</f>
        <v>2</v>
      </c>
      <c r="CO60" s="14">
        <f ca="1">SUMIF(MatchData[Team],MatchData[[#This Row],[Team]],MatchData[Moat Teleop Crossings])</f>
        <v>3</v>
      </c>
      <c r="CP60" s="14">
        <f ca="1">SUMIF(MatchData[Team],MatchData[[#This Row],[Team]],MatchData[Ramparts Teleop Crossings])</f>
        <v>6</v>
      </c>
      <c r="CQ60" s="14">
        <f ca="1">SUMIF(MatchData[Team],MatchData[[#This Row],[Team]],MatchData[Drawbridge Teleop Crossings])</f>
        <v>3</v>
      </c>
      <c r="CR60" s="14">
        <f ca="1">SUMIF(MatchData[Team],MatchData[[#This Row],[Team]],MatchData[Sally Port Teleop Crossings])</f>
        <v>2</v>
      </c>
      <c r="CS60" s="14">
        <f ca="1">SUMIF(MatchData[Team],MatchData[[#This Row],[Team]],MatchData[Rock Wall Teleop Crossings])</f>
        <v>1</v>
      </c>
      <c r="CT60" s="14">
        <f ca="1">SUMIF(MatchData[Team],MatchData[[#This Row],[Team]],MatchData[Rough Terrain Teleop Crossings])</f>
        <v>3</v>
      </c>
      <c r="CU60" s="14">
        <f ca="1">SUMIF(MatchData[Team],MatchData[[#This Row],[Team]],MatchData[Low Bar Teleop Crossings])</f>
        <v>14</v>
      </c>
      <c r="CV60" s="14">
        <f ca="1">IFERROR(ROUND(MatchData[[#This Row],[Portcullis Sum]]/MatchData[[#This Row],[Portcullis Avail Count]],2),0)</f>
        <v>0</v>
      </c>
      <c r="CW60">
        <f ca="1">IFERROR(ROUND(MatchData[[#This Row],[Cheval Sum]]/MatchData[[#This Row],[Cheval Avail Count]],2),0)</f>
        <v>2</v>
      </c>
      <c r="CX60">
        <f ca="1">IFERROR(ROUND(MatchData[[#This Row],[Moat Sum]]/MatchData[[#This Row],[Moat Avail Count]],2),0)</f>
        <v>3</v>
      </c>
      <c r="CY60">
        <f ca="1">IFERROR(ROUND(MatchData[[#This Row],[Ramparts Sum]]/MatchData[[#This Row],[Ramparts Avail Count]],2),0)</f>
        <v>1.5</v>
      </c>
      <c r="CZ60">
        <f ca="1">IFERROR(ROUND(MatchData[[#This Row],[Drawbridge Sum]]/MatchData[[#This Row],[Drawbridge HAvail Countigh6]],2),0)</f>
        <v>1</v>
      </c>
      <c r="DA60">
        <f ca="1">IFERROR(ROUND(MatchData[[#This Row],[Sally Port Sum]]/MatchData[[#This Row],[Sally Port Avail Count]],2),0)</f>
        <v>1</v>
      </c>
      <c r="DB60">
        <f ca="1">IFERROR(ROUND(MatchData[[#This Row],[Rock Wall Sum]]/MatchData[[#This Row],[Rock Wall Avail Count]],2),0)</f>
        <v>0.5</v>
      </c>
      <c r="DC60">
        <f ca="1">IFERROR(ROUND(MatchData[[#This Row],[Rough Terrain Sum]]/MatchData[[#This Row],[Rough Terrain Avail Count]],2),0)</f>
        <v>1</v>
      </c>
      <c r="DD60">
        <f ca="1">IFERROR(ROUND(MatchData[[#This Row],[Low Bar Sum]]/MatchData[[#This Row],[Low Bar Avail Count]],2),0)</f>
        <v>2.8</v>
      </c>
      <c r="DE60" s="14">
        <f t="array" aca="1" ref="DE60" ca="1">MAX(IF(C$4:C$75=C60,BE$4:BE$75))</f>
        <v>5</v>
      </c>
      <c r="DF60" s="14">
        <f ca="1">AVERAGEIF(MatchData[Team],MatchData[Team],MatchData[Total Score])</f>
        <v>44</v>
      </c>
      <c r="DG60" s="14">
        <f ca="1">ROUND(AVERAGEIF(MatchData[Team],MatchData[Team],MatchData[Climb or Challenge Flag]),2)</f>
        <v>0.8</v>
      </c>
    </row>
    <row r="61" spans="1:111">
      <c r="A61" t="s">
        <v>54</v>
      </c>
      <c r="B61" s="4">
        <v>5</v>
      </c>
      <c r="C61">
        <v>1012</v>
      </c>
      <c r="D61" t="s">
        <v>55</v>
      </c>
      <c r="E61" t="s">
        <v>57</v>
      </c>
      <c r="F61">
        <f ca="1">IF(MatchData[[#This Row],[Persona]] = 4,RANDBETWEEN(0,1),0)</f>
        <v>0</v>
      </c>
      <c r="G61">
        <f ca="1">IF(MatchData[[#This Row],[Persona]] = 3,RANDBETWEEN(0,1),0)</f>
        <v>0</v>
      </c>
      <c r="H61">
        <f ca="1">RANDBETWEEN(MatchData[[#This Row],[High Goal Low]],MatchData[[#This Row],[High Goal High]])</f>
        <v>0</v>
      </c>
      <c r="I61">
        <f ca="1">RANDBETWEEN(MatchData[[#This Row],[Low Goal Low]],MatchData[[#This Row],[Low Goal High]])</f>
        <v>5</v>
      </c>
      <c r="J61" s="6">
        <v>1</v>
      </c>
      <c r="K61" s="6"/>
      <c r="L61" s="6"/>
      <c r="M61" s="6">
        <v>1</v>
      </c>
      <c r="N61" s="6">
        <v>1</v>
      </c>
      <c r="O61" s="6"/>
      <c r="P61" s="6"/>
      <c r="Q61" s="5">
        <v>1</v>
      </c>
      <c r="R61" s="5">
        <v>1</v>
      </c>
      <c r="S61" s="5">
        <f ca="1">IF(MatchData[[#This Row],[Auto Crossing Test Generator]]=0,RANDBETWEEN(0,1),0)</f>
        <v>0</v>
      </c>
      <c r="T61" s="5">
        <f ca="1">IF(MatchData[Auto Crossing Test Generator]=1,1,0)</f>
        <v>0</v>
      </c>
      <c r="U61" s="5">
        <f ca="1">IF(MatchData[[#This Row],[Auto Crossing Test Generator]]=2,RANDBETWEEN(0,1),0)</f>
        <v>0</v>
      </c>
      <c r="V61" s="5">
        <f ca="1">IF(MatchData[[#This Row],[Auto Crossing Test Generator]]=3,RANDBETWEEN(0,1),0)</f>
        <v>0</v>
      </c>
      <c r="W61" s="5">
        <f ca="1">IF(MatchData[[#This Row],[Auto Crossing Test Generator]]=4,RANDBETWEEN(0,1),0)</f>
        <v>0</v>
      </c>
      <c r="X61" s="5">
        <f ca="1">IF(MatchData[[#This Row],[Auto Crossing Test Generator]]=5,RANDBETWEEN(0,1),0)</f>
        <v>0</v>
      </c>
      <c r="Y61" s="5">
        <f ca="1">IF(MatchData[[#This Row],[Auto Crossing Test Generator]]=6,RANDBETWEEN(0,1),0)</f>
        <v>0</v>
      </c>
      <c r="Z61" s="5">
        <f ca="1">IF(MatchData[[#This Row],[Auto Crossing Test Generator]]=7,RANDBETWEEN(0,1),0)</f>
        <v>0</v>
      </c>
      <c r="AA61" s="5">
        <f ca="1">IF(MatchData[[#This Row],[Auto Crossing Test Generator]]=8,RANDBETWEEN(0,1),0)</f>
        <v>0</v>
      </c>
      <c r="AB61" s="5">
        <f ca="1">IF(MatchData[[#This Row],[Auto Crossing Test Generator]]&gt;8,RANDBETWEEN(0,1),0)</f>
        <v>0</v>
      </c>
      <c r="AC61" s="5">
        <f ca="1">IF(MatchData[[#This Row],[Auto Crossing Test Generator]]=9,RANDBETWEEN(0,1),0)</f>
        <v>0</v>
      </c>
      <c r="AD61" s="5">
        <f ca="1">IF(MatchData[[#This Row],[Cheval Available]]=1,RANDBETWEEN(0,MatchData[[#This Row],[Cheval High]]),0)</f>
        <v>0</v>
      </c>
      <c r="AE61" s="5">
        <f ca="1">IF(MatchData[[#This Row],[Moat Available]]=1,RANDBETWEEN(0,MatchData[[#This Row],[Moat High]]),0)</f>
        <v>0</v>
      </c>
      <c r="AF61" s="5">
        <f ca="1">IF(MatchData[[#This Row],[Ramparts Available]]=1,RANDBETWEEN(0,MatchData[[#This Row],[Ramparts High]]),0)</f>
        <v>3</v>
      </c>
      <c r="AG61" s="5">
        <f ca="1">IF(MatchData[[#This Row],[Drawbridge Available]]=1,RANDBETWEEN(0,MatchData[[#This Row],[Drawbridge High]]),0)</f>
        <v>2</v>
      </c>
      <c r="AH61" s="5">
        <f ca="1">IF(MatchData[[#This Row],[Sally Port Available]]=1,RANDBETWEEN(0,MatchData[[#This Row],[Sally Port High]]),0)</f>
        <v>0</v>
      </c>
      <c r="AI61" s="5">
        <f ca="1">IF(MatchData[[#This Row],[Rock Wall Available]]=1,RANDBETWEEN(0,MatchData[[#This Row],[Rock Wall High]]),0)</f>
        <v>0</v>
      </c>
      <c r="AJ61" s="5">
        <f ca="1">IF(MatchData[[#This Row],[Rough Terrain Available]]=1,RANDBETWEEN(0,MatchData[[#This Row],[Rough Terrain High]]),0)</f>
        <v>3</v>
      </c>
      <c r="AK61" s="5">
        <f ca="1">IF(MatchData[[#This Row],[Low Bar Available]]=1,RANDBETWEEN(0,MatchData[[#This Row],[Low Bar High]]),0)</f>
        <v>2</v>
      </c>
      <c r="AL61" s="5">
        <f ca="1">IF(MatchData[Cheval Teleop Crossings]&gt;3,10, MatchData[Cheval Teleop Crossings]*5)</f>
        <v>0</v>
      </c>
      <c r="AM61" s="5">
        <f ca="1">IF(MatchData[Moat Teleop Crossings]&gt;3,10, MatchData[Moat Teleop Crossings]*5)</f>
        <v>0</v>
      </c>
      <c r="AN61" s="5">
        <f ca="1">IF(MatchData[Ramparts Teleop Crossings]&gt;3,10, MatchData[Ramparts Teleop Crossings]*5)</f>
        <v>15</v>
      </c>
      <c r="AO61" s="5">
        <f ca="1">IF(MatchData[Drawbridge Teleop Crossings]&gt;3,10, MatchData[Drawbridge Teleop Crossings]*5)</f>
        <v>10</v>
      </c>
      <c r="AP61" s="5">
        <f ca="1">IF(MatchData[Sally Port Teleop Crossings]&gt;3,10, MatchData[Sally Port Teleop Crossings]*5)</f>
        <v>0</v>
      </c>
      <c r="AQ61" s="5">
        <f ca="1">IF(MatchData[Rock Wall Teleop Crossings]&gt;3,10, MatchData[Rock Wall Teleop Crossings]*5)</f>
        <v>0</v>
      </c>
      <c r="AR61" s="5">
        <f ca="1">IF(MatchData[Rough Terrain Teleop Crossings]&gt;3,10, MatchData[Rough Terrain Teleop Crossings]*5)</f>
        <v>15</v>
      </c>
      <c r="AS61" s="5">
        <f ca="1">IF(MatchData[Low Bar Teleop Crossings]&gt;3,10, MatchData[Low Bar Teleop Crossings]*5)</f>
        <v>10</v>
      </c>
      <c r="AT61" s="5">
        <f ca="1">SUM(MatchData[[#This Row],[Portcullis Teleop Crossings]:[Low Bar Teleop Crossings]])</f>
        <v>10</v>
      </c>
      <c r="AU61" s="5">
        <f ca="1">IF(RANDBETWEEN(1,4)&gt;1,1,0)</f>
        <v>1</v>
      </c>
      <c r="AV61" s="5">
        <f ca="1">IF(MatchData[[#This Row],[Challenge Flag]]=1,0,IF(MatchData[[#This Row],[Climber]]=1,RANDBETWEEN(0,1),0))</f>
        <v>0</v>
      </c>
      <c r="AW61" s="5">
        <f ca="1">IF(MatchData[[#This Row],[Crossing Score]]&gt;=40,1,0)</f>
        <v>1</v>
      </c>
      <c r="AX61" s="5"/>
      <c r="AY61" s="5">
        <f ca="1">IF(RANDBETWEEN(1,100)&gt;95,1,0)</f>
        <v>0</v>
      </c>
      <c r="AZ61" s="5">
        <f ca="1">IF(RANDBETWEEN(1,100)&gt;80,1,0)</f>
        <v>0</v>
      </c>
      <c r="BA61" s="5">
        <f ca="1">IF(OR(MatchData[[#This Row],[Challenge Flag]],MatchData[[#This Row],[Climb Flag]]),1,0)</f>
        <v>1</v>
      </c>
      <c r="BB61" s="5">
        <f ca="1">MatchData[Auto High Goals]*10+MatchData[Teleop High Goals]*5</f>
        <v>0</v>
      </c>
      <c r="BC61" s="5">
        <f ca="1">MatchData[Auto Low Goals]*5+MatchData[Teleop Low Goals]*2</f>
        <v>10</v>
      </c>
      <c r="BD61" s="5">
        <f ca="1">MatchData[High Goal Score]+MatchData[Low Goal Score]</f>
        <v>10</v>
      </c>
      <c r="BE61" s="5">
        <f ca="1">MatchData[Teleop High Goals]+MatchData[Teleop Low Goals]</f>
        <v>5</v>
      </c>
      <c r="BF61" s="5">
        <f ca="1">MatchData[[#This Row],[Auto Reach Flag]]*2+SUM(MatchData[[#This Row],[Portcullis Auto Crossings]:[Low Bar Auto Crossings]])*10+MatchData[[#This Row],[Auto Low Goals]]*5+MatchData[Auto High Goals]*10</f>
        <v>0</v>
      </c>
      <c r="BG61" s="5">
        <f ca="1">SUM(MatchData[[#This Row],[Cheval Scored Teleop Crossings]:[Low Bar Scored Teleop Crossings]])</f>
        <v>50</v>
      </c>
      <c r="BH61" s="5">
        <f ca="1">MatchData[Challenge Flag]*5</f>
        <v>5</v>
      </c>
      <c r="BI61" s="5">
        <f ca="1">MatchData[Climb Flag]*15</f>
        <v>0</v>
      </c>
      <c r="BJ61" s="5">
        <f ca="1">SUM(MatchData[[#This Row],[Total Goal Score]],MatchData[[#This Row],[Crossing Score]],MatchData[[#This Row],[Challenge Score]],MatchData[[#This Row],[Climb Score]],MatchData[[#This Row],[Total Auto Score]])</f>
        <v>65</v>
      </c>
      <c r="BK61">
        <v>3</v>
      </c>
      <c r="BL61" s="5">
        <f ca="1">IF(RANDBETWEEN(0,10)&gt;=9,RANDBETWEEN(1,9),0)</f>
        <v>0</v>
      </c>
      <c r="BM61" s="5">
        <f>VLOOKUP(MatchData[[#This Row],[Persona]],Personas!$A$2:$O$5,3)</f>
        <v>2</v>
      </c>
      <c r="BN61" s="13">
        <f>VLOOKUP(MatchData[[#This Row],[Persona]],Personas!$A$2:$P$5,4)</f>
        <v>6</v>
      </c>
      <c r="BO61" s="13">
        <f>VLOOKUP(MatchData[[#This Row],[Persona]],Personas!$A$2:$P$5,5)</f>
        <v>0</v>
      </c>
      <c r="BP61" s="13">
        <f>VLOOKUP(MatchData[[#This Row],[Persona]],Personas!$A$2:$P$5,6)</f>
        <v>0</v>
      </c>
      <c r="BQ61" s="13">
        <f>VLOOKUP(MatchData[[#This Row],[Persona]],Personas!$A$2:$P$5,7)</f>
        <v>2</v>
      </c>
      <c r="BR61" s="13">
        <f>VLOOKUP(MatchData[[#This Row],[Persona]],Personas!$A$2:$P$5,8)</f>
        <v>2</v>
      </c>
      <c r="BS61" s="13">
        <f>VLOOKUP(MatchData[[#This Row],[Persona]],Personas!$A$2:$P$5,9)</f>
        <v>3</v>
      </c>
      <c r="BT61" s="13">
        <f>VLOOKUP(MatchData[[#This Row],[Persona]],Personas!$A$2:$P$5,10)</f>
        <v>3</v>
      </c>
      <c r="BU61" s="13">
        <f>VLOOKUP(MatchData[[#This Row],[Persona]],Personas!$A$2:$P$5,11)</f>
        <v>2</v>
      </c>
      <c r="BV61" s="13">
        <f>VLOOKUP(MatchData[[#This Row],[Persona]],Personas!$A$2:$P$5,12)</f>
        <v>2</v>
      </c>
      <c r="BW61" s="13">
        <f>VLOOKUP(MatchData[[#This Row],[Persona]],Personas!$A$2:$P$5,13)</f>
        <v>3</v>
      </c>
      <c r="BX61" s="13">
        <f>VLOOKUP(MatchData[[#This Row],[Persona]],Personas!$A$2:$P$5,14)</f>
        <v>3</v>
      </c>
      <c r="BY61" s="13">
        <f>VLOOKUP(MatchData[[#This Row],[Persona]],Personas!$A$2:$P$5,15)</f>
        <v>4</v>
      </c>
      <c r="BZ61" s="13">
        <f>VLOOKUP(MatchData[[#This Row],[Persona]],Personas!$A$2:$P$5,16)</f>
        <v>1</v>
      </c>
      <c r="CA61" s="14">
        <f ca="1">ROUND(SUMIF(MatchData[Team],MatchData[[#This Row],[Team]],MatchData[Teleop Low Goals])/COUNTIF(MatchData[Team],MatchData[[#This Row],[Team]]),2)</f>
        <v>3.6</v>
      </c>
      <c r="CB61" s="14">
        <f ca="1">ROUND(SUMIF(MatchData[Team],MatchData[[#This Row],[Team]],MatchData[Teleop High Goals])/COUNTIF(MatchData[Team],MatchData[[#This Row],[Team]]),2)</f>
        <v>0</v>
      </c>
      <c r="CC61" s="14">
        <f>COUNTIF(MatchData[Team],MatchData[[#This Row],[Team]])</f>
        <v>5</v>
      </c>
      <c r="CD61" s="14">
        <f>SUMIF(MatchData[Team],MatchData[[#This Row],[Team]],MatchData[Portcullis Available])</f>
        <v>4</v>
      </c>
      <c r="CE61" s="14">
        <f>SUMIF(MatchData[Team],MatchData[[#This Row],[Team]],MatchData[Cheval Available])</f>
        <v>1</v>
      </c>
      <c r="CF61" s="14">
        <f>SUMIF(MatchData[Team],MatchData[[#This Row],[Team]],MatchData[Moat Available])</f>
        <v>1</v>
      </c>
      <c r="CG61" s="14">
        <f>SUMIF(MatchData[Team],MatchData[[#This Row],[Team]],MatchData[Ramparts Available])</f>
        <v>4</v>
      </c>
      <c r="CH61" s="14">
        <f>SUMIF(MatchData[Team],MatchData[[#This Row],[Team]],MatchData[Drawbridge Available])</f>
        <v>3</v>
      </c>
      <c r="CI61" s="14">
        <f>SUMIF(MatchData[Team],MatchData[[#This Row],[Team]],MatchData[Sally Port Available])</f>
        <v>2</v>
      </c>
      <c r="CJ61" s="14">
        <f>SUMIF(MatchData[Team],MatchData[[#This Row],[Team]],MatchData[Rock Wall Available])</f>
        <v>2</v>
      </c>
      <c r="CK61" s="14">
        <f>SUMIF(MatchData[Team],MatchData[[#This Row],[Team]],MatchData[Rough Terrain Available])</f>
        <v>3</v>
      </c>
      <c r="CL61" s="14">
        <f>SUMIF(MatchData[Team],MatchData[[#This Row],[Team]],MatchData[Low Bar Available])</f>
        <v>5</v>
      </c>
      <c r="CM61" s="14">
        <f ca="1">SUMIF(MatchData[Team],MatchData[[#This Row],[Team]],MatchData[Portcullis Teleop Crossings])</f>
        <v>0</v>
      </c>
      <c r="CN61" s="14">
        <f ca="1">SUMIF(MatchData[Team],MatchData[[#This Row],[Team]],MatchData[Cheval Teleop Crossings])</f>
        <v>2</v>
      </c>
      <c r="CO61" s="14">
        <f ca="1">SUMIF(MatchData[Team],MatchData[[#This Row],[Team]],MatchData[Moat Teleop Crossings])</f>
        <v>3</v>
      </c>
      <c r="CP61" s="14">
        <f ca="1">SUMIF(MatchData[Team],MatchData[[#This Row],[Team]],MatchData[Ramparts Teleop Crossings])</f>
        <v>6</v>
      </c>
      <c r="CQ61" s="14">
        <f ca="1">SUMIF(MatchData[Team],MatchData[[#This Row],[Team]],MatchData[Drawbridge Teleop Crossings])</f>
        <v>3</v>
      </c>
      <c r="CR61" s="14">
        <f ca="1">SUMIF(MatchData[Team],MatchData[[#This Row],[Team]],MatchData[Sally Port Teleop Crossings])</f>
        <v>2</v>
      </c>
      <c r="CS61" s="14">
        <f ca="1">SUMIF(MatchData[Team],MatchData[[#This Row],[Team]],MatchData[Rock Wall Teleop Crossings])</f>
        <v>1</v>
      </c>
      <c r="CT61" s="14">
        <f ca="1">SUMIF(MatchData[Team],MatchData[[#This Row],[Team]],MatchData[Rough Terrain Teleop Crossings])</f>
        <v>3</v>
      </c>
      <c r="CU61" s="14">
        <f ca="1">SUMIF(MatchData[Team],MatchData[[#This Row],[Team]],MatchData[Low Bar Teleop Crossings])</f>
        <v>14</v>
      </c>
      <c r="CV61" s="14">
        <f ca="1">IFERROR(ROUND(MatchData[[#This Row],[Portcullis Sum]]/MatchData[[#This Row],[Portcullis Avail Count]],2),0)</f>
        <v>0</v>
      </c>
      <c r="CW61">
        <f ca="1">IFERROR(ROUND(MatchData[[#This Row],[Cheval Sum]]/MatchData[[#This Row],[Cheval Avail Count]],2),0)</f>
        <v>2</v>
      </c>
      <c r="CX61">
        <f ca="1">IFERROR(ROUND(MatchData[[#This Row],[Moat Sum]]/MatchData[[#This Row],[Moat Avail Count]],2),0)</f>
        <v>3</v>
      </c>
      <c r="CY61">
        <f ca="1">IFERROR(ROUND(MatchData[[#This Row],[Ramparts Sum]]/MatchData[[#This Row],[Ramparts Avail Count]],2),0)</f>
        <v>1.5</v>
      </c>
      <c r="CZ61">
        <f ca="1">IFERROR(ROUND(MatchData[[#This Row],[Drawbridge Sum]]/MatchData[[#This Row],[Drawbridge HAvail Countigh6]],2),0)</f>
        <v>1</v>
      </c>
      <c r="DA61">
        <f ca="1">IFERROR(ROUND(MatchData[[#This Row],[Sally Port Sum]]/MatchData[[#This Row],[Sally Port Avail Count]],2),0)</f>
        <v>1</v>
      </c>
      <c r="DB61">
        <f ca="1">IFERROR(ROUND(MatchData[[#This Row],[Rock Wall Sum]]/MatchData[[#This Row],[Rock Wall Avail Count]],2),0)</f>
        <v>0.5</v>
      </c>
      <c r="DC61">
        <f ca="1">IFERROR(ROUND(MatchData[[#This Row],[Rough Terrain Sum]]/MatchData[[#This Row],[Rough Terrain Avail Count]],2),0)</f>
        <v>1</v>
      </c>
      <c r="DD61">
        <f ca="1">IFERROR(ROUND(MatchData[[#This Row],[Low Bar Sum]]/MatchData[[#This Row],[Low Bar Avail Count]],2),0)</f>
        <v>2.8</v>
      </c>
      <c r="DE61" s="14">
        <f t="array" aca="1" ref="DE61" ca="1">MAX(IF(C$4:C$75=C61,BE$4:BE$75))</f>
        <v>5</v>
      </c>
      <c r="DF61" s="14">
        <f ca="1">AVERAGEIF(MatchData[Team],MatchData[Team],MatchData[Total Score])</f>
        <v>44</v>
      </c>
      <c r="DG61" s="14">
        <f ca="1">ROUND(AVERAGEIF(MatchData[Team],MatchData[Team],MatchData[Climb or Challenge Flag]),2)</f>
        <v>0.8</v>
      </c>
    </row>
    <row r="62" spans="1:111">
      <c r="A62" t="s">
        <v>54</v>
      </c>
      <c r="B62" s="4">
        <v>7</v>
      </c>
      <c r="C62">
        <v>1012</v>
      </c>
      <c r="D62" t="s">
        <v>55</v>
      </c>
      <c r="E62" t="s">
        <v>62</v>
      </c>
      <c r="F62">
        <f ca="1">IF(MatchData[[#This Row],[Persona]] = 4,RANDBETWEEN(0,1),0)</f>
        <v>0</v>
      </c>
      <c r="G62">
        <f ca="1">IF(MatchData[[#This Row],[Persona]] = 3,RANDBETWEEN(0,1),0)</f>
        <v>1</v>
      </c>
      <c r="H62">
        <f ca="1">RANDBETWEEN(MatchData[[#This Row],[High Goal Low]],MatchData[[#This Row],[High Goal High]])</f>
        <v>0</v>
      </c>
      <c r="I62">
        <f ca="1">RANDBETWEEN(MatchData[[#This Row],[Low Goal Low]],MatchData[[#This Row],[Low Goal High]])</f>
        <v>2</v>
      </c>
      <c r="J62" s="6">
        <v>1</v>
      </c>
      <c r="K62" s="6"/>
      <c r="L62" s="6"/>
      <c r="M62" s="6">
        <v>1</v>
      </c>
      <c r="N62" s="6"/>
      <c r="O62" s="6">
        <v>1</v>
      </c>
      <c r="P62" s="6">
        <v>1</v>
      </c>
      <c r="Q62" s="5"/>
      <c r="R62" s="5">
        <v>1</v>
      </c>
      <c r="S62" s="5">
        <f ca="1">IF(MatchData[[#This Row],[Auto Crossing Test Generator]]=0,RANDBETWEEN(0,1),0)</f>
        <v>1</v>
      </c>
      <c r="T62" s="5">
        <f ca="1">IF(MatchData[Auto Crossing Test Generator]=1,1,0)</f>
        <v>0</v>
      </c>
      <c r="U62" s="5">
        <f ca="1">IF(MatchData[[#This Row],[Auto Crossing Test Generator]]=2,RANDBETWEEN(0,1),0)</f>
        <v>0</v>
      </c>
      <c r="V62" s="5">
        <f ca="1">IF(MatchData[[#This Row],[Auto Crossing Test Generator]]=3,RANDBETWEEN(0,1),0)</f>
        <v>0</v>
      </c>
      <c r="W62" s="5">
        <f ca="1">IF(MatchData[[#This Row],[Auto Crossing Test Generator]]=4,RANDBETWEEN(0,1),0)</f>
        <v>0</v>
      </c>
      <c r="X62" s="5">
        <f ca="1">IF(MatchData[[#This Row],[Auto Crossing Test Generator]]=5,RANDBETWEEN(0,1),0)</f>
        <v>0</v>
      </c>
      <c r="Y62" s="5">
        <f ca="1">IF(MatchData[[#This Row],[Auto Crossing Test Generator]]=6,RANDBETWEEN(0,1),0)</f>
        <v>0</v>
      </c>
      <c r="Z62" s="5">
        <f ca="1">IF(MatchData[[#This Row],[Auto Crossing Test Generator]]=7,RANDBETWEEN(0,1),0)</f>
        <v>0</v>
      </c>
      <c r="AA62" s="5">
        <f ca="1">IF(MatchData[[#This Row],[Auto Crossing Test Generator]]=8,RANDBETWEEN(0,1),0)</f>
        <v>0</v>
      </c>
      <c r="AB62" s="5">
        <f ca="1">IF(MatchData[[#This Row],[Auto Crossing Test Generator]]&gt;8,RANDBETWEEN(0,1),0)</f>
        <v>0</v>
      </c>
      <c r="AC62" s="5">
        <f ca="1">IF(MatchData[[#This Row],[Auto Crossing Test Generator]]=9,RANDBETWEEN(0,1),0)</f>
        <v>0</v>
      </c>
      <c r="AD62" s="5">
        <f ca="1">IF(MatchData[[#This Row],[Cheval Available]]=1,RANDBETWEEN(0,MatchData[[#This Row],[Cheval High]]),0)</f>
        <v>0</v>
      </c>
      <c r="AE62" s="5">
        <f ca="1">IF(MatchData[[#This Row],[Moat Available]]=1,RANDBETWEEN(0,MatchData[[#This Row],[Moat High]]),0)</f>
        <v>0</v>
      </c>
      <c r="AF62" s="5">
        <f ca="1">IF(MatchData[[#This Row],[Ramparts Available]]=1,RANDBETWEEN(0,MatchData[[#This Row],[Ramparts High]]),0)</f>
        <v>1</v>
      </c>
      <c r="AG62" s="5">
        <f ca="1">IF(MatchData[[#This Row],[Drawbridge Available]]=1,RANDBETWEEN(0,MatchData[[#This Row],[Drawbridge High]]),0)</f>
        <v>0</v>
      </c>
      <c r="AH62" s="5">
        <f ca="1">IF(MatchData[[#This Row],[Sally Port Available]]=1,RANDBETWEEN(0,MatchData[[#This Row],[Sally Port High]]),0)</f>
        <v>2</v>
      </c>
      <c r="AI62" s="5">
        <f ca="1">IF(MatchData[[#This Row],[Rock Wall Available]]=1,RANDBETWEEN(0,MatchData[[#This Row],[Rock Wall High]]),0)</f>
        <v>0</v>
      </c>
      <c r="AJ62" s="5">
        <f ca="1">IF(MatchData[[#This Row],[Rough Terrain Available]]=1,RANDBETWEEN(0,MatchData[[#This Row],[Rough Terrain High]]),0)</f>
        <v>0</v>
      </c>
      <c r="AK62" s="5">
        <f ca="1">IF(MatchData[[#This Row],[Low Bar Available]]=1,RANDBETWEEN(0,MatchData[[#This Row],[Low Bar High]]),0)</f>
        <v>4</v>
      </c>
      <c r="AL62" s="5">
        <f ca="1">IF(MatchData[Cheval Teleop Crossings]&gt;3,10, MatchData[Cheval Teleop Crossings]*5)</f>
        <v>0</v>
      </c>
      <c r="AM62" s="5">
        <f ca="1">IF(MatchData[Moat Teleop Crossings]&gt;3,10, MatchData[Moat Teleop Crossings]*5)</f>
        <v>0</v>
      </c>
      <c r="AN62" s="5">
        <f ca="1">IF(MatchData[Ramparts Teleop Crossings]&gt;3,10, MatchData[Ramparts Teleop Crossings]*5)</f>
        <v>5</v>
      </c>
      <c r="AO62" s="5">
        <f ca="1">IF(MatchData[Drawbridge Teleop Crossings]&gt;3,10, MatchData[Drawbridge Teleop Crossings]*5)</f>
        <v>0</v>
      </c>
      <c r="AP62" s="5">
        <f ca="1">IF(MatchData[Sally Port Teleop Crossings]&gt;3,10, MatchData[Sally Port Teleop Crossings]*5)</f>
        <v>10</v>
      </c>
      <c r="AQ62" s="5">
        <f ca="1">IF(MatchData[Rock Wall Teleop Crossings]&gt;3,10, MatchData[Rock Wall Teleop Crossings]*5)</f>
        <v>0</v>
      </c>
      <c r="AR62" s="5">
        <f ca="1">IF(MatchData[Rough Terrain Teleop Crossings]&gt;3,10, MatchData[Rough Terrain Teleop Crossings]*5)</f>
        <v>0</v>
      </c>
      <c r="AS62" s="5">
        <f ca="1">IF(MatchData[Low Bar Teleop Crossings]&gt;3,10, MatchData[Low Bar Teleop Crossings]*5)</f>
        <v>10</v>
      </c>
      <c r="AT62" s="5">
        <f ca="1">SUM(MatchData[[#This Row],[Portcullis Teleop Crossings]:[Low Bar Teleop Crossings]])</f>
        <v>7</v>
      </c>
      <c r="AU62" s="5">
        <f ca="1">IF(RANDBETWEEN(1,4)&gt;1,1,0)</f>
        <v>1</v>
      </c>
      <c r="AV62" s="5">
        <f ca="1">IF(MatchData[[#This Row],[Challenge Flag]]=1,0,IF(MatchData[[#This Row],[Climber]]=1,RANDBETWEEN(0,1),0))</f>
        <v>0</v>
      </c>
      <c r="AW62" s="5">
        <f ca="1">IF(MatchData[[#This Row],[Crossing Score]]&gt;=40,1,0)</f>
        <v>0</v>
      </c>
      <c r="AX62" s="5"/>
      <c r="AY62" s="5">
        <f ca="1">IF(RANDBETWEEN(1,100)&gt;95,1,0)</f>
        <v>0</v>
      </c>
      <c r="AZ62" s="5">
        <f ca="1">IF(RANDBETWEEN(1,100)&gt;80,1,0)</f>
        <v>0</v>
      </c>
      <c r="BA62" s="5">
        <f ca="1">IF(OR(MatchData[[#This Row],[Challenge Flag]],MatchData[[#This Row],[Climb Flag]]),1,0)</f>
        <v>1</v>
      </c>
      <c r="BB62" s="5">
        <f ca="1">MatchData[Auto High Goals]*10+MatchData[Teleop High Goals]*5</f>
        <v>0</v>
      </c>
      <c r="BC62" s="5">
        <f ca="1">MatchData[Auto Low Goals]*5+MatchData[Teleop Low Goals]*2</f>
        <v>9</v>
      </c>
      <c r="BD62" s="5">
        <f ca="1">MatchData[High Goal Score]+MatchData[Low Goal Score]</f>
        <v>9</v>
      </c>
      <c r="BE62" s="5">
        <f ca="1">MatchData[Teleop High Goals]+MatchData[Teleop Low Goals]</f>
        <v>2</v>
      </c>
      <c r="BF62" s="5">
        <f ca="1">MatchData[[#This Row],[Auto Reach Flag]]*2+SUM(MatchData[[#This Row],[Portcullis Auto Crossings]:[Low Bar Auto Crossings]])*10+MatchData[[#This Row],[Auto Low Goals]]*5+MatchData[Auto High Goals]*10</f>
        <v>7</v>
      </c>
      <c r="BG62" s="5">
        <f ca="1">SUM(MatchData[[#This Row],[Cheval Scored Teleop Crossings]:[Low Bar Scored Teleop Crossings]])</f>
        <v>25</v>
      </c>
      <c r="BH62" s="5">
        <f ca="1">MatchData[Challenge Flag]*5</f>
        <v>5</v>
      </c>
      <c r="BI62" s="5">
        <f ca="1">MatchData[Climb Flag]*15</f>
        <v>0</v>
      </c>
      <c r="BJ62" s="5">
        <f ca="1">SUM(MatchData[[#This Row],[Total Goal Score]],MatchData[[#This Row],[Crossing Score]],MatchData[[#This Row],[Challenge Score]],MatchData[[#This Row],[Climb Score]],MatchData[[#This Row],[Total Auto Score]])</f>
        <v>46</v>
      </c>
      <c r="BK62">
        <v>3</v>
      </c>
      <c r="BL62" s="5">
        <f ca="1">IF(RANDBETWEEN(0,10)&gt;=9,RANDBETWEEN(1,9),0)</f>
        <v>0</v>
      </c>
      <c r="BM62" s="5">
        <f>VLOOKUP(MatchData[[#This Row],[Persona]],Personas!$A$2:$O$5,3)</f>
        <v>2</v>
      </c>
      <c r="BN62" s="13">
        <f>VLOOKUP(MatchData[[#This Row],[Persona]],Personas!$A$2:$P$5,4)</f>
        <v>6</v>
      </c>
      <c r="BO62" s="13">
        <f>VLOOKUP(MatchData[[#This Row],[Persona]],Personas!$A$2:$P$5,5)</f>
        <v>0</v>
      </c>
      <c r="BP62" s="13">
        <f>VLOOKUP(MatchData[[#This Row],[Persona]],Personas!$A$2:$P$5,6)</f>
        <v>0</v>
      </c>
      <c r="BQ62" s="13">
        <f>VLOOKUP(MatchData[[#This Row],[Persona]],Personas!$A$2:$P$5,7)</f>
        <v>2</v>
      </c>
      <c r="BR62" s="13">
        <f>VLOOKUP(MatchData[[#This Row],[Persona]],Personas!$A$2:$P$5,8)</f>
        <v>2</v>
      </c>
      <c r="BS62" s="13">
        <f>VLOOKUP(MatchData[[#This Row],[Persona]],Personas!$A$2:$P$5,9)</f>
        <v>3</v>
      </c>
      <c r="BT62" s="13">
        <f>VLOOKUP(MatchData[[#This Row],[Persona]],Personas!$A$2:$P$5,10)</f>
        <v>3</v>
      </c>
      <c r="BU62" s="13">
        <f>VLOOKUP(MatchData[[#This Row],[Persona]],Personas!$A$2:$P$5,11)</f>
        <v>2</v>
      </c>
      <c r="BV62" s="13">
        <f>VLOOKUP(MatchData[[#This Row],[Persona]],Personas!$A$2:$P$5,12)</f>
        <v>2</v>
      </c>
      <c r="BW62" s="13">
        <f>VLOOKUP(MatchData[[#This Row],[Persona]],Personas!$A$2:$P$5,13)</f>
        <v>3</v>
      </c>
      <c r="BX62" s="13">
        <f>VLOOKUP(MatchData[[#This Row],[Persona]],Personas!$A$2:$P$5,14)</f>
        <v>3</v>
      </c>
      <c r="BY62" s="13">
        <f>VLOOKUP(MatchData[[#This Row],[Persona]],Personas!$A$2:$P$5,15)</f>
        <v>4</v>
      </c>
      <c r="BZ62" s="13">
        <f>VLOOKUP(MatchData[[#This Row],[Persona]],Personas!$A$2:$P$5,16)</f>
        <v>1</v>
      </c>
      <c r="CA62" s="14">
        <f ca="1">ROUND(SUMIF(MatchData[Team],MatchData[[#This Row],[Team]],MatchData[Teleop Low Goals])/COUNTIF(MatchData[Team],MatchData[[#This Row],[Team]]),2)</f>
        <v>3.6</v>
      </c>
      <c r="CB62" s="14">
        <f ca="1">ROUND(SUMIF(MatchData[Team],MatchData[[#This Row],[Team]],MatchData[Teleop High Goals])/COUNTIF(MatchData[Team],MatchData[[#This Row],[Team]]),2)</f>
        <v>0</v>
      </c>
      <c r="CC62" s="14">
        <f>COUNTIF(MatchData[Team],MatchData[[#This Row],[Team]])</f>
        <v>5</v>
      </c>
      <c r="CD62" s="14">
        <f>SUMIF(MatchData[Team],MatchData[[#This Row],[Team]],MatchData[Portcullis Available])</f>
        <v>4</v>
      </c>
      <c r="CE62" s="14">
        <f>SUMIF(MatchData[Team],MatchData[[#This Row],[Team]],MatchData[Cheval Available])</f>
        <v>1</v>
      </c>
      <c r="CF62" s="14">
        <f>SUMIF(MatchData[Team],MatchData[[#This Row],[Team]],MatchData[Moat Available])</f>
        <v>1</v>
      </c>
      <c r="CG62" s="14">
        <f>SUMIF(MatchData[Team],MatchData[[#This Row],[Team]],MatchData[Ramparts Available])</f>
        <v>4</v>
      </c>
      <c r="CH62" s="14">
        <f>SUMIF(MatchData[Team],MatchData[[#This Row],[Team]],MatchData[Drawbridge Available])</f>
        <v>3</v>
      </c>
      <c r="CI62" s="14">
        <f>SUMIF(MatchData[Team],MatchData[[#This Row],[Team]],MatchData[Sally Port Available])</f>
        <v>2</v>
      </c>
      <c r="CJ62" s="14">
        <f>SUMIF(MatchData[Team],MatchData[[#This Row],[Team]],MatchData[Rock Wall Available])</f>
        <v>2</v>
      </c>
      <c r="CK62" s="14">
        <f>SUMIF(MatchData[Team],MatchData[[#This Row],[Team]],MatchData[Rough Terrain Available])</f>
        <v>3</v>
      </c>
      <c r="CL62" s="14">
        <f>SUMIF(MatchData[Team],MatchData[[#This Row],[Team]],MatchData[Low Bar Available])</f>
        <v>5</v>
      </c>
      <c r="CM62" s="14">
        <f ca="1">SUMIF(MatchData[Team],MatchData[[#This Row],[Team]],MatchData[Portcullis Teleop Crossings])</f>
        <v>0</v>
      </c>
      <c r="CN62" s="14">
        <f ca="1">SUMIF(MatchData[Team],MatchData[[#This Row],[Team]],MatchData[Cheval Teleop Crossings])</f>
        <v>2</v>
      </c>
      <c r="CO62" s="14">
        <f ca="1">SUMIF(MatchData[Team],MatchData[[#This Row],[Team]],MatchData[Moat Teleop Crossings])</f>
        <v>3</v>
      </c>
      <c r="CP62" s="14">
        <f ca="1">SUMIF(MatchData[Team],MatchData[[#This Row],[Team]],MatchData[Ramparts Teleop Crossings])</f>
        <v>6</v>
      </c>
      <c r="CQ62" s="14">
        <f ca="1">SUMIF(MatchData[Team],MatchData[[#This Row],[Team]],MatchData[Drawbridge Teleop Crossings])</f>
        <v>3</v>
      </c>
      <c r="CR62" s="14">
        <f ca="1">SUMIF(MatchData[Team],MatchData[[#This Row],[Team]],MatchData[Sally Port Teleop Crossings])</f>
        <v>2</v>
      </c>
      <c r="CS62" s="14">
        <f ca="1">SUMIF(MatchData[Team],MatchData[[#This Row],[Team]],MatchData[Rock Wall Teleop Crossings])</f>
        <v>1</v>
      </c>
      <c r="CT62" s="14">
        <f ca="1">SUMIF(MatchData[Team],MatchData[[#This Row],[Team]],MatchData[Rough Terrain Teleop Crossings])</f>
        <v>3</v>
      </c>
      <c r="CU62" s="14">
        <f ca="1">SUMIF(MatchData[Team],MatchData[[#This Row],[Team]],MatchData[Low Bar Teleop Crossings])</f>
        <v>14</v>
      </c>
      <c r="CV62" s="14">
        <f ca="1">IFERROR(ROUND(MatchData[[#This Row],[Portcullis Sum]]/MatchData[[#This Row],[Portcullis Avail Count]],2),0)</f>
        <v>0</v>
      </c>
      <c r="CW62">
        <f ca="1">IFERROR(ROUND(MatchData[[#This Row],[Cheval Sum]]/MatchData[[#This Row],[Cheval Avail Count]],2),0)</f>
        <v>2</v>
      </c>
      <c r="CX62">
        <f ca="1">IFERROR(ROUND(MatchData[[#This Row],[Moat Sum]]/MatchData[[#This Row],[Moat Avail Count]],2),0)</f>
        <v>3</v>
      </c>
      <c r="CY62">
        <f ca="1">IFERROR(ROUND(MatchData[[#This Row],[Ramparts Sum]]/MatchData[[#This Row],[Ramparts Avail Count]],2),0)</f>
        <v>1.5</v>
      </c>
      <c r="CZ62">
        <f ca="1">IFERROR(ROUND(MatchData[[#This Row],[Drawbridge Sum]]/MatchData[[#This Row],[Drawbridge HAvail Countigh6]],2),0)</f>
        <v>1</v>
      </c>
      <c r="DA62">
        <f ca="1">IFERROR(ROUND(MatchData[[#This Row],[Sally Port Sum]]/MatchData[[#This Row],[Sally Port Avail Count]],2),0)</f>
        <v>1</v>
      </c>
      <c r="DB62">
        <f ca="1">IFERROR(ROUND(MatchData[[#This Row],[Rock Wall Sum]]/MatchData[[#This Row],[Rock Wall Avail Count]],2),0)</f>
        <v>0.5</v>
      </c>
      <c r="DC62">
        <f ca="1">IFERROR(ROUND(MatchData[[#This Row],[Rough Terrain Sum]]/MatchData[[#This Row],[Rough Terrain Avail Count]],2),0)</f>
        <v>1</v>
      </c>
      <c r="DD62">
        <f ca="1">IFERROR(ROUND(MatchData[[#This Row],[Low Bar Sum]]/MatchData[[#This Row],[Low Bar Avail Count]],2),0)</f>
        <v>2.8</v>
      </c>
      <c r="DE62" s="14">
        <f t="array" aca="1" ref="DE62" ca="1">MAX(IF(C$4:C$75=C62,BE$4:BE$75))</f>
        <v>5</v>
      </c>
      <c r="DF62" s="14">
        <f ca="1">AVERAGEIF(MatchData[Team],MatchData[Team],MatchData[Total Score])</f>
        <v>44</v>
      </c>
      <c r="DG62" s="14">
        <f ca="1">ROUND(AVERAGEIF(MatchData[Team],MatchData[Team],MatchData[Climb or Challenge Flag]),2)</f>
        <v>0.8</v>
      </c>
    </row>
    <row r="63" spans="1:111">
      <c r="A63" t="s">
        <v>54</v>
      </c>
      <c r="B63" s="4">
        <v>9</v>
      </c>
      <c r="C63">
        <v>1012</v>
      </c>
      <c r="D63" t="s">
        <v>55</v>
      </c>
      <c r="E63" t="s">
        <v>59</v>
      </c>
      <c r="F63">
        <f ca="1">IF(MatchData[[#This Row],[Persona]] = 4,RANDBETWEEN(0,1),0)</f>
        <v>0</v>
      </c>
      <c r="G63">
        <f ca="1">IF(MatchData[[#This Row],[Persona]] = 3,RANDBETWEEN(0,1),0)</f>
        <v>0</v>
      </c>
      <c r="H63">
        <f ca="1">RANDBETWEEN(MatchData[[#This Row],[High Goal Low]],MatchData[[#This Row],[High Goal High]])</f>
        <v>0</v>
      </c>
      <c r="I63">
        <f ca="1">RANDBETWEEN(MatchData[[#This Row],[Low Goal Low]],MatchData[[#This Row],[Low Goal High]])</f>
        <v>4</v>
      </c>
      <c r="J63" s="6">
        <v>1</v>
      </c>
      <c r="K63" s="6"/>
      <c r="L63" s="6"/>
      <c r="M63" s="6">
        <v>1</v>
      </c>
      <c r="N63" s="6">
        <v>1</v>
      </c>
      <c r="O63" s="6"/>
      <c r="P63" s="6"/>
      <c r="Q63" s="5">
        <v>1</v>
      </c>
      <c r="R63" s="5">
        <v>1</v>
      </c>
      <c r="S63" s="5">
        <f ca="1">IF(MatchData[[#This Row],[Auto Crossing Test Generator]]=0,RANDBETWEEN(0,1),0)</f>
        <v>1</v>
      </c>
      <c r="T63" s="5">
        <f ca="1">IF(MatchData[Auto Crossing Test Generator]=1,1,0)</f>
        <v>0</v>
      </c>
      <c r="U63" s="5">
        <f ca="1">IF(MatchData[[#This Row],[Auto Crossing Test Generator]]=2,RANDBETWEEN(0,1),0)</f>
        <v>0</v>
      </c>
      <c r="V63" s="5">
        <f ca="1">IF(MatchData[[#This Row],[Auto Crossing Test Generator]]=3,RANDBETWEEN(0,1),0)</f>
        <v>0</v>
      </c>
      <c r="W63" s="5">
        <f ca="1">IF(MatchData[[#This Row],[Auto Crossing Test Generator]]=4,RANDBETWEEN(0,1),0)</f>
        <v>0</v>
      </c>
      <c r="X63" s="5">
        <f ca="1">IF(MatchData[[#This Row],[Auto Crossing Test Generator]]=5,RANDBETWEEN(0,1),0)</f>
        <v>0</v>
      </c>
      <c r="Y63" s="5">
        <f ca="1">IF(MatchData[[#This Row],[Auto Crossing Test Generator]]=6,RANDBETWEEN(0,1),0)</f>
        <v>0</v>
      </c>
      <c r="Z63" s="5">
        <f ca="1">IF(MatchData[[#This Row],[Auto Crossing Test Generator]]=7,RANDBETWEEN(0,1),0)</f>
        <v>0</v>
      </c>
      <c r="AA63" s="5">
        <f ca="1">IF(MatchData[[#This Row],[Auto Crossing Test Generator]]=8,RANDBETWEEN(0,1),0)</f>
        <v>0</v>
      </c>
      <c r="AB63" s="5">
        <f ca="1">IF(MatchData[[#This Row],[Auto Crossing Test Generator]]&gt;8,RANDBETWEEN(0,1),0)</f>
        <v>0</v>
      </c>
      <c r="AC63" s="5">
        <f ca="1">IF(MatchData[[#This Row],[Auto Crossing Test Generator]]=9,RANDBETWEEN(0,1),0)</f>
        <v>0</v>
      </c>
      <c r="AD63" s="5">
        <f ca="1">IF(MatchData[[#This Row],[Cheval Available]]=1,RANDBETWEEN(0,MatchData[[#This Row],[Cheval High]]),0)</f>
        <v>0</v>
      </c>
      <c r="AE63" s="5">
        <f ca="1">IF(MatchData[[#This Row],[Moat Available]]=1,RANDBETWEEN(0,MatchData[[#This Row],[Moat High]]),0)</f>
        <v>0</v>
      </c>
      <c r="AF63" s="5">
        <f ca="1">IF(MatchData[[#This Row],[Ramparts Available]]=1,RANDBETWEEN(0,MatchData[[#This Row],[Ramparts High]]),0)</f>
        <v>2</v>
      </c>
      <c r="AG63" s="5">
        <f ca="1">IF(MatchData[[#This Row],[Drawbridge Available]]=1,RANDBETWEEN(0,MatchData[[#This Row],[Drawbridge High]]),0)</f>
        <v>0</v>
      </c>
      <c r="AH63" s="5">
        <f ca="1">IF(MatchData[[#This Row],[Sally Port Available]]=1,RANDBETWEEN(0,MatchData[[#This Row],[Sally Port High]]),0)</f>
        <v>0</v>
      </c>
      <c r="AI63" s="5">
        <f ca="1">IF(MatchData[[#This Row],[Rock Wall Available]]=1,RANDBETWEEN(0,MatchData[[#This Row],[Rock Wall High]]),0)</f>
        <v>0</v>
      </c>
      <c r="AJ63" s="5">
        <f ca="1">IF(MatchData[[#This Row],[Rough Terrain Available]]=1,RANDBETWEEN(0,MatchData[[#This Row],[Rough Terrain High]]),0)</f>
        <v>0</v>
      </c>
      <c r="AK63" s="5">
        <f ca="1">IF(MatchData[[#This Row],[Low Bar Available]]=1,RANDBETWEEN(0,MatchData[[#This Row],[Low Bar High]]),0)</f>
        <v>4</v>
      </c>
      <c r="AL63" s="5">
        <f ca="1">IF(MatchData[Cheval Teleop Crossings]&gt;3,10, MatchData[Cheval Teleop Crossings]*5)</f>
        <v>0</v>
      </c>
      <c r="AM63" s="5">
        <f ca="1">IF(MatchData[Moat Teleop Crossings]&gt;3,10, MatchData[Moat Teleop Crossings]*5)</f>
        <v>0</v>
      </c>
      <c r="AN63" s="5">
        <f ca="1">IF(MatchData[Ramparts Teleop Crossings]&gt;3,10, MatchData[Ramparts Teleop Crossings]*5)</f>
        <v>10</v>
      </c>
      <c r="AO63" s="5">
        <f ca="1">IF(MatchData[Drawbridge Teleop Crossings]&gt;3,10, MatchData[Drawbridge Teleop Crossings]*5)</f>
        <v>0</v>
      </c>
      <c r="AP63" s="5">
        <f ca="1">IF(MatchData[Sally Port Teleop Crossings]&gt;3,10, MatchData[Sally Port Teleop Crossings]*5)</f>
        <v>0</v>
      </c>
      <c r="AQ63" s="5">
        <f ca="1">IF(MatchData[Rock Wall Teleop Crossings]&gt;3,10, MatchData[Rock Wall Teleop Crossings]*5)</f>
        <v>0</v>
      </c>
      <c r="AR63" s="5">
        <f ca="1">IF(MatchData[Rough Terrain Teleop Crossings]&gt;3,10, MatchData[Rough Terrain Teleop Crossings]*5)</f>
        <v>0</v>
      </c>
      <c r="AS63" s="5">
        <f ca="1">IF(MatchData[Low Bar Teleop Crossings]&gt;3,10, MatchData[Low Bar Teleop Crossings]*5)</f>
        <v>10</v>
      </c>
      <c r="AT63" s="5">
        <f ca="1">SUM(MatchData[[#This Row],[Portcullis Teleop Crossings]:[Low Bar Teleop Crossings]])</f>
        <v>6</v>
      </c>
      <c r="AU63" s="5">
        <f ca="1">IF(RANDBETWEEN(1,4)&gt;1,1,0)</f>
        <v>1</v>
      </c>
      <c r="AV63" s="5">
        <f ca="1">IF(MatchData[[#This Row],[Challenge Flag]]=1,0,IF(MatchData[[#This Row],[Climber]]=1,RANDBETWEEN(0,1),0))</f>
        <v>0</v>
      </c>
      <c r="AW63" s="5">
        <f ca="1">IF(MatchData[[#This Row],[Crossing Score]]&gt;=40,1,0)</f>
        <v>0</v>
      </c>
      <c r="AX63" s="5"/>
      <c r="AY63" s="5">
        <f ca="1">IF(RANDBETWEEN(1,100)&gt;95,1,0)</f>
        <v>0</v>
      </c>
      <c r="AZ63" s="5">
        <f ca="1">IF(RANDBETWEEN(1,100)&gt;80,1,0)</f>
        <v>0</v>
      </c>
      <c r="BA63" s="5">
        <f ca="1">IF(OR(MatchData[[#This Row],[Challenge Flag]],MatchData[[#This Row],[Climb Flag]]),1,0)</f>
        <v>1</v>
      </c>
      <c r="BB63" s="5">
        <f ca="1">MatchData[Auto High Goals]*10+MatchData[Teleop High Goals]*5</f>
        <v>0</v>
      </c>
      <c r="BC63" s="5">
        <f ca="1">MatchData[Auto Low Goals]*5+MatchData[Teleop Low Goals]*2</f>
        <v>8</v>
      </c>
      <c r="BD63" s="5">
        <f ca="1">MatchData[High Goal Score]+MatchData[Low Goal Score]</f>
        <v>8</v>
      </c>
      <c r="BE63" s="5">
        <f ca="1">MatchData[Teleop High Goals]+MatchData[Teleop Low Goals]</f>
        <v>4</v>
      </c>
      <c r="BF63" s="5">
        <f ca="1">MatchData[[#This Row],[Auto Reach Flag]]*2+SUM(MatchData[[#This Row],[Portcullis Auto Crossings]:[Low Bar Auto Crossings]])*10+MatchData[[#This Row],[Auto Low Goals]]*5+MatchData[Auto High Goals]*10</f>
        <v>2</v>
      </c>
      <c r="BG63" s="5">
        <f ca="1">SUM(MatchData[[#This Row],[Cheval Scored Teleop Crossings]:[Low Bar Scored Teleop Crossings]])</f>
        <v>20</v>
      </c>
      <c r="BH63" s="5">
        <f ca="1">MatchData[Challenge Flag]*5</f>
        <v>5</v>
      </c>
      <c r="BI63" s="5">
        <f ca="1">MatchData[Climb Flag]*15</f>
        <v>0</v>
      </c>
      <c r="BJ63" s="5">
        <f ca="1">SUM(MatchData[[#This Row],[Total Goal Score]],MatchData[[#This Row],[Crossing Score]],MatchData[[#This Row],[Challenge Score]],MatchData[[#This Row],[Climb Score]],MatchData[[#This Row],[Total Auto Score]])</f>
        <v>35</v>
      </c>
      <c r="BK63">
        <v>3</v>
      </c>
      <c r="BL63" s="5">
        <f ca="1">IF(RANDBETWEEN(0,10)&gt;=9,RANDBETWEEN(1,9),0)</f>
        <v>0</v>
      </c>
      <c r="BM63" s="5">
        <f>VLOOKUP(MatchData[[#This Row],[Persona]],Personas!$A$2:$O$5,3)</f>
        <v>2</v>
      </c>
      <c r="BN63" s="13">
        <f>VLOOKUP(MatchData[[#This Row],[Persona]],Personas!$A$2:$P$5,4)</f>
        <v>6</v>
      </c>
      <c r="BO63" s="13">
        <f>VLOOKUP(MatchData[[#This Row],[Persona]],Personas!$A$2:$P$5,5)</f>
        <v>0</v>
      </c>
      <c r="BP63" s="13">
        <f>VLOOKUP(MatchData[[#This Row],[Persona]],Personas!$A$2:$P$5,6)</f>
        <v>0</v>
      </c>
      <c r="BQ63" s="13">
        <f>VLOOKUP(MatchData[[#This Row],[Persona]],Personas!$A$2:$P$5,7)</f>
        <v>2</v>
      </c>
      <c r="BR63" s="13">
        <f>VLOOKUP(MatchData[[#This Row],[Persona]],Personas!$A$2:$P$5,8)</f>
        <v>2</v>
      </c>
      <c r="BS63" s="13">
        <f>VLOOKUP(MatchData[[#This Row],[Persona]],Personas!$A$2:$P$5,9)</f>
        <v>3</v>
      </c>
      <c r="BT63" s="13">
        <f>VLOOKUP(MatchData[[#This Row],[Persona]],Personas!$A$2:$P$5,10)</f>
        <v>3</v>
      </c>
      <c r="BU63" s="13">
        <f>VLOOKUP(MatchData[[#This Row],[Persona]],Personas!$A$2:$P$5,11)</f>
        <v>2</v>
      </c>
      <c r="BV63" s="13">
        <f>VLOOKUP(MatchData[[#This Row],[Persona]],Personas!$A$2:$P$5,12)</f>
        <v>2</v>
      </c>
      <c r="BW63" s="13">
        <f>VLOOKUP(MatchData[[#This Row],[Persona]],Personas!$A$2:$P$5,13)</f>
        <v>3</v>
      </c>
      <c r="BX63" s="13">
        <f>VLOOKUP(MatchData[[#This Row],[Persona]],Personas!$A$2:$P$5,14)</f>
        <v>3</v>
      </c>
      <c r="BY63" s="13">
        <f>VLOOKUP(MatchData[[#This Row],[Persona]],Personas!$A$2:$P$5,15)</f>
        <v>4</v>
      </c>
      <c r="BZ63" s="13">
        <f>VLOOKUP(MatchData[[#This Row],[Persona]],Personas!$A$2:$P$5,16)</f>
        <v>1</v>
      </c>
      <c r="CA63" s="14">
        <f ca="1">ROUND(SUMIF(MatchData[Team],MatchData[[#This Row],[Team]],MatchData[Teleop Low Goals])/COUNTIF(MatchData[Team],MatchData[[#This Row],[Team]]),2)</f>
        <v>3.6</v>
      </c>
      <c r="CB63" s="14">
        <f ca="1">ROUND(SUMIF(MatchData[Team],MatchData[[#This Row],[Team]],MatchData[Teleop High Goals])/COUNTIF(MatchData[Team],MatchData[[#This Row],[Team]]),2)</f>
        <v>0</v>
      </c>
      <c r="CC63" s="14">
        <f>COUNTIF(MatchData[Team],MatchData[[#This Row],[Team]])</f>
        <v>5</v>
      </c>
      <c r="CD63" s="14">
        <f>SUMIF(MatchData[Team],MatchData[[#This Row],[Team]],MatchData[Portcullis Available])</f>
        <v>4</v>
      </c>
      <c r="CE63" s="14">
        <f>SUMIF(MatchData[Team],MatchData[[#This Row],[Team]],MatchData[Cheval Available])</f>
        <v>1</v>
      </c>
      <c r="CF63" s="14">
        <f>SUMIF(MatchData[Team],MatchData[[#This Row],[Team]],MatchData[Moat Available])</f>
        <v>1</v>
      </c>
      <c r="CG63" s="14">
        <f>SUMIF(MatchData[Team],MatchData[[#This Row],[Team]],MatchData[Ramparts Available])</f>
        <v>4</v>
      </c>
      <c r="CH63" s="14">
        <f>SUMIF(MatchData[Team],MatchData[[#This Row],[Team]],MatchData[Drawbridge Available])</f>
        <v>3</v>
      </c>
      <c r="CI63" s="14">
        <f>SUMIF(MatchData[Team],MatchData[[#This Row],[Team]],MatchData[Sally Port Available])</f>
        <v>2</v>
      </c>
      <c r="CJ63" s="14">
        <f>SUMIF(MatchData[Team],MatchData[[#This Row],[Team]],MatchData[Rock Wall Available])</f>
        <v>2</v>
      </c>
      <c r="CK63" s="14">
        <f>SUMIF(MatchData[Team],MatchData[[#This Row],[Team]],MatchData[Rough Terrain Available])</f>
        <v>3</v>
      </c>
      <c r="CL63" s="14">
        <f>SUMIF(MatchData[Team],MatchData[[#This Row],[Team]],MatchData[Low Bar Available])</f>
        <v>5</v>
      </c>
      <c r="CM63" s="14">
        <f ca="1">SUMIF(MatchData[Team],MatchData[[#This Row],[Team]],MatchData[Portcullis Teleop Crossings])</f>
        <v>0</v>
      </c>
      <c r="CN63" s="14">
        <f ca="1">SUMIF(MatchData[Team],MatchData[[#This Row],[Team]],MatchData[Cheval Teleop Crossings])</f>
        <v>2</v>
      </c>
      <c r="CO63" s="14">
        <f ca="1">SUMIF(MatchData[Team],MatchData[[#This Row],[Team]],MatchData[Moat Teleop Crossings])</f>
        <v>3</v>
      </c>
      <c r="CP63" s="14">
        <f ca="1">SUMIF(MatchData[Team],MatchData[[#This Row],[Team]],MatchData[Ramparts Teleop Crossings])</f>
        <v>6</v>
      </c>
      <c r="CQ63" s="14">
        <f ca="1">SUMIF(MatchData[Team],MatchData[[#This Row],[Team]],MatchData[Drawbridge Teleop Crossings])</f>
        <v>3</v>
      </c>
      <c r="CR63" s="14">
        <f ca="1">SUMIF(MatchData[Team],MatchData[[#This Row],[Team]],MatchData[Sally Port Teleop Crossings])</f>
        <v>2</v>
      </c>
      <c r="CS63" s="14">
        <f ca="1">SUMIF(MatchData[Team],MatchData[[#This Row],[Team]],MatchData[Rock Wall Teleop Crossings])</f>
        <v>1</v>
      </c>
      <c r="CT63" s="14">
        <f ca="1">SUMIF(MatchData[Team],MatchData[[#This Row],[Team]],MatchData[Rough Terrain Teleop Crossings])</f>
        <v>3</v>
      </c>
      <c r="CU63" s="14">
        <f ca="1">SUMIF(MatchData[Team],MatchData[[#This Row],[Team]],MatchData[Low Bar Teleop Crossings])</f>
        <v>14</v>
      </c>
      <c r="CV63" s="14">
        <f ca="1">IFERROR(ROUND(MatchData[[#This Row],[Portcullis Sum]]/MatchData[[#This Row],[Portcullis Avail Count]],2),0)</f>
        <v>0</v>
      </c>
      <c r="CW63">
        <f ca="1">IFERROR(ROUND(MatchData[[#This Row],[Cheval Sum]]/MatchData[[#This Row],[Cheval Avail Count]],2),0)</f>
        <v>2</v>
      </c>
      <c r="CX63">
        <f ca="1">IFERROR(ROUND(MatchData[[#This Row],[Moat Sum]]/MatchData[[#This Row],[Moat Avail Count]],2),0)</f>
        <v>3</v>
      </c>
      <c r="CY63">
        <f ca="1">IFERROR(ROUND(MatchData[[#This Row],[Ramparts Sum]]/MatchData[[#This Row],[Ramparts Avail Count]],2),0)</f>
        <v>1.5</v>
      </c>
      <c r="CZ63">
        <f ca="1">IFERROR(ROUND(MatchData[[#This Row],[Drawbridge Sum]]/MatchData[[#This Row],[Drawbridge HAvail Countigh6]],2),0)</f>
        <v>1</v>
      </c>
      <c r="DA63">
        <f ca="1">IFERROR(ROUND(MatchData[[#This Row],[Sally Port Sum]]/MatchData[[#This Row],[Sally Port Avail Count]],2),0)</f>
        <v>1</v>
      </c>
      <c r="DB63">
        <f ca="1">IFERROR(ROUND(MatchData[[#This Row],[Rock Wall Sum]]/MatchData[[#This Row],[Rock Wall Avail Count]],2),0)</f>
        <v>0.5</v>
      </c>
      <c r="DC63">
        <f ca="1">IFERROR(ROUND(MatchData[[#This Row],[Rough Terrain Sum]]/MatchData[[#This Row],[Rough Terrain Avail Count]],2),0)</f>
        <v>1</v>
      </c>
      <c r="DD63">
        <f ca="1">IFERROR(ROUND(MatchData[[#This Row],[Low Bar Sum]]/MatchData[[#This Row],[Low Bar Avail Count]],2),0)</f>
        <v>2.8</v>
      </c>
      <c r="DE63" s="14">
        <f t="array" aca="1" ref="DE63" ca="1">MAX(IF(C$4:C$75=C63,BE$4:BE$75))</f>
        <v>5</v>
      </c>
      <c r="DF63" s="14">
        <f ca="1">AVERAGEIF(MatchData[Team],MatchData[Team],MatchData[Total Score])</f>
        <v>44</v>
      </c>
      <c r="DG63" s="14">
        <f ca="1">ROUND(AVERAGEIF(MatchData[Team],MatchData[Team],MatchData[Climb or Challenge Flag]),2)</f>
        <v>0.8</v>
      </c>
    </row>
    <row r="64" spans="1:111">
      <c r="A64" t="s">
        <v>54</v>
      </c>
      <c r="B64" s="4">
        <v>11</v>
      </c>
      <c r="C64">
        <v>1012</v>
      </c>
      <c r="D64" t="s">
        <v>56</v>
      </c>
      <c r="E64" t="s">
        <v>64</v>
      </c>
      <c r="F64">
        <f ca="1">IF(MatchData[[#This Row],[Persona]] = 4,RANDBETWEEN(0,1),0)</f>
        <v>0</v>
      </c>
      <c r="G64">
        <f ca="1">IF(MatchData[[#This Row],[Persona]] = 3,RANDBETWEEN(0,1),0)</f>
        <v>1</v>
      </c>
      <c r="H64">
        <f ca="1">RANDBETWEEN(MatchData[[#This Row],[High Goal Low]],MatchData[[#This Row],[High Goal High]])</f>
        <v>0</v>
      </c>
      <c r="I64">
        <f ca="1">RANDBETWEEN(MatchData[[#This Row],[Low Goal Low]],MatchData[[#This Row],[Low Goal High]])</f>
        <v>4</v>
      </c>
      <c r="J64" s="6">
        <v>1</v>
      </c>
      <c r="K64" s="6"/>
      <c r="L64" s="6"/>
      <c r="M64" s="6">
        <v>1</v>
      </c>
      <c r="N64" s="6"/>
      <c r="O64" s="6">
        <v>1</v>
      </c>
      <c r="P64" s="6">
        <v>1</v>
      </c>
      <c r="Q64" s="5"/>
      <c r="R64" s="5">
        <v>1</v>
      </c>
      <c r="S64" s="5">
        <f ca="1">IF(MatchData[[#This Row],[Auto Crossing Test Generator]]=0,RANDBETWEEN(0,1),0)</f>
        <v>0</v>
      </c>
      <c r="T64" s="5">
        <f ca="1">IF(MatchData[Auto Crossing Test Generator]=1,1,0)</f>
        <v>0</v>
      </c>
      <c r="U64" s="5">
        <f ca="1">IF(MatchData[[#This Row],[Auto Crossing Test Generator]]=2,RANDBETWEEN(0,1),0)</f>
        <v>0</v>
      </c>
      <c r="V64" s="5">
        <f ca="1">IF(MatchData[[#This Row],[Auto Crossing Test Generator]]=3,RANDBETWEEN(0,1),0)</f>
        <v>0</v>
      </c>
      <c r="W64" s="5">
        <f ca="1">IF(MatchData[[#This Row],[Auto Crossing Test Generator]]=4,RANDBETWEEN(0,1),0)</f>
        <v>0</v>
      </c>
      <c r="X64" s="5">
        <f ca="1">IF(MatchData[[#This Row],[Auto Crossing Test Generator]]=5,RANDBETWEEN(0,1),0)</f>
        <v>0</v>
      </c>
      <c r="Y64" s="5">
        <f ca="1">IF(MatchData[[#This Row],[Auto Crossing Test Generator]]=6,RANDBETWEEN(0,1),0)</f>
        <v>0</v>
      </c>
      <c r="Z64" s="5">
        <f ca="1">IF(MatchData[[#This Row],[Auto Crossing Test Generator]]=7,RANDBETWEEN(0,1),0)</f>
        <v>0</v>
      </c>
      <c r="AA64" s="5">
        <f ca="1">IF(MatchData[[#This Row],[Auto Crossing Test Generator]]=8,RANDBETWEEN(0,1),0)</f>
        <v>0</v>
      </c>
      <c r="AB64" s="5">
        <f ca="1">IF(MatchData[[#This Row],[Auto Crossing Test Generator]]&gt;8,RANDBETWEEN(0,1),0)</f>
        <v>0</v>
      </c>
      <c r="AC64" s="5">
        <f ca="1">IF(MatchData[[#This Row],[Auto Crossing Test Generator]]=9,RANDBETWEEN(0,1),0)</f>
        <v>0</v>
      </c>
      <c r="AD64" s="5">
        <f ca="1">IF(MatchData[[#This Row],[Cheval Available]]=1,RANDBETWEEN(0,MatchData[[#This Row],[Cheval High]]),0)</f>
        <v>0</v>
      </c>
      <c r="AE64" s="5">
        <f ca="1">IF(MatchData[[#This Row],[Moat Available]]=1,RANDBETWEEN(0,MatchData[[#This Row],[Moat High]]),0)</f>
        <v>0</v>
      </c>
      <c r="AF64" s="5">
        <f ca="1">IF(MatchData[[#This Row],[Ramparts Available]]=1,RANDBETWEEN(0,MatchData[[#This Row],[Ramparts High]]),0)</f>
        <v>0</v>
      </c>
      <c r="AG64" s="5">
        <f ca="1">IF(MatchData[[#This Row],[Drawbridge Available]]=1,RANDBETWEEN(0,MatchData[[#This Row],[Drawbridge High]]),0)</f>
        <v>0</v>
      </c>
      <c r="AH64" s="5">
        <f ca="1">IF(MatchData[[#This Row],[Sally Port Available]]=1,RANDBETWEEN(0,MatchData[[#This Row],[Sally Port High]]),0)</f>
        <v>0</v>
      </c>
      <c r="AI64" s="5">
        <f ca="1">IF(MatchData[[#This Row],[Rock Wall Available]]=1,RANDBETWEEN(0,MatchData[[#This Row],[Rock Wall High]]),0)</f>
        <v>1</v>
      </c>
      <c r="AJ64" s="5">
        <f ca="1">IF(MatchData[[#This Row],[Rough Terrain Available]]=1,RANDBETWEEN(0,MatchData[[#This Row],[Rough Terrain High]]),0)</f>
        <v>0</v>
      </c>
      <c r="AK64" s="5">
        <f ca="1">IF(MatchData[[#This Row],[Low Bar Available]]=1,RANDBETWEEN(0,MatchData[[#This Row],[Low Bar High]]),0)</f>
        <v>0</v>
      </c>
      <c r="AL64" s="5">
        <f ca="1">IF(MatchData[Cheval Teleop Crossings]&gt;3,10, MatchData[Cheval Teleop Crossings]*5)</f>
        <v>0</v>
      </c>
      <c r="AM64" s="5">
        <f ca="1">IF(MatchData[Moat Teleop Crossings]&gt;3,10, MatchData[Moat Teleop Crossings]*5)</f>
        <v>0</v>
      </c>
      <c r="AN64" s="5">
        <f ca="1">IF(MatchData[Ramparts Teleop Crossings]&gt;3,10, MatchData[Ramparts Teleop Crossings]*5)</f>
        <v>0</v>
      </c>
      <c r="AO64" s="5">
        <f ca="1">IF(MatchData[Drawbridge Teleop Crossings]&gt;3,10, MatchData[Drawbridge Teleop Crossings]*5)</f>
        <v>0</v>
      </c>
      <c r="AP64" s="5">
        <f ca="1">IF(MatchData[Sally Port Teleop Crossings]&gt;3,10, MatchData[Sally Port Teleop Crossings]*5)</f>
        <v>0</v>
      </c>
      <c r="AQ64" s="5">
        <f ca="1">IF(MatchData[Rock Wall Teleop Crossings]&gt;3,10, MatchData[Rock Wall Teleop Crossings]*5)</f>
        <v>5</v>
      </c>
      <c r="AR64" s="5">
        <f ca="1">IF(MatchData[Rough Terrain Teleop Crossings]&gt;3,10, MatchData[Rough Terrain Teleop Crossings]*5)</f>
        <v>0</v>
      </c>
      <c r="AS64" s="5">
        <f ca="1">IF(MatchData[Low Bar Teleop Crossings]&gt;3,10, MatchData[Low Bar Teleop Crossings]*5)</f>
        <v>0</v>
      </c>
      <c r="AT64" s="5">
        <f ca="1">SUM(MatchData[[#This Row],[Portcullis Teleop Crossings]:[Low Bar Teleop Crossings]])</f>
        <v>1</v>
      </c>
      <c r="AU64" s="5">
        <f ca="1">IF(RANDBETWEEN(1,4)&gt;1,1,0)</f>
        <v>1</v>
      </c>
      <c r="AV64" s="5">
        <f ca="1">IF(MatchData[[#This Row],[Challenge Flag]]=1,0,IF(MatchData[[#This Row],[Climber]]=1,RANDBETWEEN(0,1),0))</f>
        <v>0</v>
      </c>
      <c r="AW64" s="5">
        <f ca="1">IF(MatchData[[#This Row],[Crossing Score]]&gt;=40,1,0)</f>
        <v>0</v>
      </c>
      <c r="AX64" s="5"/>
      <c r="AY64" s="5">
        <f ca="1">IF(RANDBETWEEN(1,100)&gt;95,1,0)</f>
        <v>0</v>
      </c>
      <c r="AZ64" s="5">
        <f ca="1">IF(RANDBETWEEN(1,100)&gt;80,1,0)</f>
        <v>0</v>
      </c>
      <c r="BA64" s="5">
        <f ca="1">IF(OR(MatchData[[#This Row],[Challenge Flag]],MatchData[[#This Row],[Climb Flag]]),1,0)</f>
        <v>1</v>
      </c>
      <c r="BB64" s="5">
        <f ca="1">MatchData[Auto High Goals]*10+MatchData[Teleop High Goals]*5</f>
        <v>0</v>
      </c>
      <c r="BC64" s="5">
        <f ca="1">MatchData[Auto Low Goals]*5+MatchData[Teleop Low Goals]*2</f>
        <v>13</v>
      </c>
      <c r="BD64" s="5">
        <f ca="1">MatchData[High Goal Score]+MatchData[Low Goal Score]</f>
        <v>13</v>
      </c>
      <c r="BE64" s="5">
        <f ca="1">MatchData[Teleop High Goals]+MatchData[Teleop Low Goals]</f>
        <v>4</v>
      </c>
      <c r="BF64" s="5">
        <f ca="1">MatchData[[#This Row],[Auto Reach Flag]]*2+SUM(MatchData[[#This Row],[Portcullis Auto Crossings]:[Low Bar Auto Crossings]])*10+MatchData[[#This Row],[Auto Low Goals]]*5+MatchData[Auto High Goals]*10</f>
        <v>5</v>
      </c>
      <c r="BG64" s="5">
        <f ca="1">SUM(MatchData[[#This Row],[Cheval Scored Teleop Crossings]:[Low Bar Scored Teleop Crossings]])</f>
        <v>5</v>
      </c>
      <c r="BH64" s="5">
        <f ca="1">MatchData[Challenge Flag]*5</f>
        <v>5</v>
      </c>
      <c r="BI64" s="5">
        <f ca="1">MatchData[Climb Flag]*15</f>
        <v>0</v>
      </c>
      <c r="BJ64" s="5">
        <f ca="1">SUM(MatchData[[#This Row],[Total Goal Score]],MatchData[[#This Row],[Crossing Score]],MatchData[[#This Row],[Challenge Score]],MatchData[[#This Row],[Climb Score]],MatchData[[#This Row],[Total Auto Score]])</f>
        <v>28</v>
      </c>
      <c r="BK64">
        <v>3</v>
      </c>
      <c r="BL64" s="5">
        <f ca="1">IF(RANDBETWEEN(0,10)&gt;=9,RANDBETWEEN(1,9),0)</f>
        <v>3</v>
      </c>
      <c r="BM64" s="5">
        <f>VLOOKUP(MatchData[[#This Row],[Persona]],Personas!$A$2:$O$5,3)</f>
        <v>2</v>
      </c>
      <c r="BN64" s="13">
        <f>VLOOKUP(MatchData[[#This Row],[Persona]],Personas!$A$2:$P$5,4)</f>
        <v>6</v>
      </c>
      <c r="BO64" s="13">
        <f>VLOOKUP(MatchData[[#This Row],[Persona]],Personas!$A$2:$P$5,5)</f>
        <v>0</v>
      </c>
      <c r="BP64" s="13">
        <f>VLOOKUP(MatchData[[#This Row],[Persona]],Personas!$A$2:$P$5,6)</f>
        <v>0</v>
      </c>
      <c r="BQ64" s="13">
        <f>VLOOKUP(MatchData[[#This Row],[Persona]],Personas!$A$2:$P$5,7)</f>
        <v>2</v>
      </c>
      <c r="BR64" s="13">
        <f>VLOOKUP(MatchData[[#This Row],[Persona]],Personas!$A$2:$P$5,8)</f>
        <v>2</v>
      </c>
      <c r="BS64" s="13">
        <f>VLOOKUP(MatchData[[#This Row],[Persona]],Personas!$A$2:$P$5,9)</f>
        <v>3</v>
      </c>
      <c r="BT64" s="13">
        <f>VLOOKUP(MatchData[[#This Row],[Persona]],Personas!$A$2:$P$5,10)</f>
        <v>3</v>
      </c>
      <c r="BU64" s="13">
        <f>VLOOKUP(MatchData[[#This Row],[Persona]],Personas!$A$2:$P$5,11)</f>
        <v>2</v>
      </c>
      <c r="BV64" s="13">
        <f>VLOOKUP(MatchData[[#This Row],[Persona]],Personas!$A$2:$P$5,12)</f>
        <v>2</v>
      </c>
      <c r="BW64" s="13">
        <f>VLOOKUP(MatchData[[#This Row],[Persona]],Personas!$A$2:$P$5,13)</f>
        <v>3</v>
      </c>
      <c r="BX64" s="13">
        <f>VLOOKUP(MatchData[[#This Row],[Persona]],Personas!$A$2:$P$5,14)</f>
        <v>3</v>
      </c>
      <c r="BY64" s="13">
        <f>VLOOKUP(MatchData[[#This Row],[Persona]],Personas!$A$2:$P$5,15)</f>
        <v>4</v>
      </c>
      <c r="BZ64" s="13">
        <f>VLOOKUP(MatchData[[#This Row],[Persona]],Personas!$A$2:$P$5,16)</f>
        <v>1</v>
      </c>
      <c r="CA64" s="14">
        <f ca="1">ROUND(SUMIF(MatchData[Team],MatchData[[#This Row],[Team]],MatchData[Teleop Low Goals])/COUNTIF(MatchData[Team],MatchData[[#This Row],[Team]]),2)</f>
        <v>3.6</v>
      </c>
      <c r="CB64" s="14">
        <f ca="1">ROUND(SUMIF(MatchData[Team],MatchData[[#This Row],[Team]],MatchData[Teleop High Goals])/COUNTIF(MatchData[Team],MatchData[[#This Row],[Team]]),2)</f>
        <v>0</v>
      </c>
      <c r="CC64" s="14">
        <f>COUNTIF(MatchData[Team],MatchData[[#This Row],[Team]])</f>
        <v>5</v>
      </c>
      <c r="CD64" s="14">
        <f>SUMIF(MatchData[Team],MatchData[[#This Row],[Team]],MatchData[Portcullis Available])</f>
        <v>4</v>
      </c>
      <c r="CE64" s="14">
        <f>SUMIF(MatchData[Team],MatchData[[#This Row],[Team]],MatchData[Cheval Available])</f>
        <v>1</v>
      </c>
      <c r="CF64" s="14">
        <f>SUMIF(MatchData[Team],MatchData[[#This Row],[Team]],MatchData[Moat Available])</f>
        <v>1</v>
      </c>
      <c r="CG64" s="14">
        <f>SUMIF(MatchData[Team],MatchData[[#This Row],[Team]],MatchData[Ramparts Available])</f>
        <v>4</v>
      </c>
      <c r="CH64" s="14">
        <f>SUMIF(MatchData[Team],MatchData[[#This Row],[Team]],MatchData[Drawbridge Available])</f>
        <v>3</v>
      </c>
      <c r="CI64" s="14">
        <f>SUMIF(MatchData[Team],MatchData[[#This Row],[Team]],MatchData[Sally Port Available])</f>
        <v>2</v>
      </c>
      <c r="CJ64" s="14">
        <f>SUMIF(MatchData[Team],MatchData[[#This Row],[Team]],MatchData[Rock Wall Available])</f>
        <v>2</v>
      </c>
      <c r="CK64" s="14">
        <f>SUMIF(MatchData[Team],MatchData[[#This Row],[Team]],MatchData[Rough Terrain Available])</f>
        <v>3</v>
      </c>
      <c r="CL64" s="14">
        <f>SUMIF(MatchData[Team],MatchData[[#This Row],[Team]],MatchData[Low Bar Available])</f>
        <v>5</v>
      </c>
      <c r="CM64" s="14">
        <f ca="1">SUMIF(MatchData[Team],MatchData[[#This Row],[Team]],MatchData[Portcullis Teleop Crossings])</f>
        <v>0</v>
      </c>
      <c r="CN64" s="14">
        <f ca="1">SUMIF(MatchData[Team],MatchData[[#This Row],[Team]],MatchData[Cheval Teleop Crossings])</f>
        <v>2</v>
      </c>
      <c r="CO64" s="14">
        <f ca="1">SUMIF(MatchData[Team],MatchData[[#This Row],[Team]],MatchData[Moat Teleop Crossings])</f>
        <v>3</v>
      </c>
      <c r="CP64" s="14">
        <f ca="1">SUMIF(MatchData[Team],MatchData[[#This Row],[Team]],MatchData[Ramparts Teleop Crossings])</f>
        <v>6</v>
      </c>
      <c r="CQ64" s="14">
        <f ca="1">SUMIF(MatchData[Team],MatchData[[#This Row],[Team]],MatchData[Drawbridge Teleop Crossings])</f>
        <v>3</v>
      </c>
      <c r="CR64" s="14">
        <f ca="1">SUMIF(MatchData[Team],MatchData[[#This Row],[Team]],MatchData[Sally Port Teleop Crossings])</f>
        <v>2</v>
      </c>
      <c r="CS64" s="14">
        <f ca="1">SUMIF(MatchData[Team],MatchData[[#This Row],[Team]],MatchData[Rock Wall Teleop Crossings])</f>
        <v>1</v>
      </c>
      <c r="CT64" s="14">
        <f ca="1">SUMIF(MatchData[Team],MatchData[[#This Row],[Team]],MatchData[Rough Terrain Teleop Crossings])</f>
        <v>3</v>
      </c>
      <c r="CU64" s="14">
        <f ca="1">SUMIF(MatchData[Team],MatchData[[#This Row],[Team]],MatchData[Low Bar Teleop Crossings])</f>
        <v>14</v>
      </c>
      <c r="CV64" s="14">
        <f ca="1">IFERROR(ROUND(MatchData[[#This Row],[Portcullis Sum]]/MatchData[[#This Row],[Portcullis Avail Count]],2),0)</f>
        <v>0</v>
      </c>
      <c r="CW64">
        <f ca="1">IFERROR(ROUND(MatchData[[#This Row],[Cheval Sum]]/MatchData[[#This Row],[Cheval Avail Count]],2),0)</f>
        <v>2</v>
      </c>
      <c r="CX64">
        <f ca="1">IFERROR(ROUND(MatchData[[#This Row],[Moat Sum]]/MatchData[[#This Row],[Moat Avail Count]],2),0)</f>
        <v>3</v>
      </c>
      <c r="CY64">
        <f ca="1">IFERROR(ROUND(MatchData[[#This Row],[Ramparts Sum]]/MatchData[[#This Row],[Ramparts Avail Count]],2),0)</f>
        <v>1.5</v>
      </c>
      <c r="CZ64">
        <f ca="1">IFERROR(ROUND(MatchData[[#This Row],[Drawbridge Sum]]/MatchData[[#This Row],[Drawbridge HAvail Countigh6]],2),0)</f>
        <v>1</v>
      </c>
      <c r="DA64">
        <f ca="1">IFERROR(ROUND(MatchData[[#This Row],[Sally Port Sum]]/MatchData[[#This Row],[Sally Port Avail Count]],2),0)</f>
        <v>1</v>
      </c>
      <c r="DB64">
        <f ca="1">IFERROR(ROUND(MatchData[[#This Row],[Rock Wall Sum]]/MatchData[[#This Row],[Rock Wall Avail Count]],2),0)</f>
        <v>0.5</v>
      </c>
      <c r="DC64">
        <f ca="1">IFERROR(ROUND(MatchData[[#This Row],[Rough Terrain Sum]]/MatchData[[#This Row],[Rough Terrain Avail Count]],2),0)</f>
        <v>1</v>
      </c>
      <c r="DD64">
        <f ca="1">IFERROR(ROUND(MatchData[[#This Row],[Low Bar Sum]]/MatchData[[#This Row],[Low Bar Avail Count]],2),0)</f>
        <v>2.8</v>
      </c>
      <c r="DE64" s="14">
        <f t="array" aca="1" ref="DE64" ca="1">MAX(IF(C$4:C$75=C64,BE$4:BE$75))</f>
        <v>5</v>
      </c>
      <c r="DF64" s="14">
        <f ca="1">AVERAGEIF(MatchData[Team],MatchData[Team],MatchData[Total Score])</f>
        <v>44</v>
      </c>
      <c r="DG64" s="14">
        <f ca="1">ROUND(AVERAGEIF(MatchData[Team],MatchData[Team],MatchData[Climb or Challenge Flag]),2)</f>
        <v>0.8</v>
      </c>
    </row>
    <row r="65" spans="1:111">
      <c r="A65" t="s">
        <v>54</v>
      </c>
      <c r="B65" s="4">
        <v>3</v>
      </c>
      <c r="C65">
        <v>1013</v>
      </c>
      <c r="D65" t="s">
        <v>55</v>
      </c>
      <c r="E65" t="s">
        <v>61</v>
      </c>
      <c r="F65">
        <f ca="1">IF(MatchData[[#This Row],[Persona]] = 4,RANDBETWEEN(0,1),0)</f>
        <v>0</v>
      </c>
      <c r="G65">
        <f ca="1">IF(MatchData[[#This Row],[Persona]] = 3,RANDBETWEEN(0,1),0)</f>
        <v>0</v>
      </c>
      <c r="H65">
        <f ca="1">RANDBETWEEN(MatchData[[#This Row],[High Goal Low]],MatchData[[#This Row],[High Goal High]])</f>
        <v>3</v>
      </c>
      <c r="I65">
        <f ca="1">RANDBETWEEN(MatchData[[#This Row],[Low Goal Low]],MatchData[[#This Row],[Low Goal High]])</f>
        <v>1</v>
      </c>
      <c r="J65" s="6">
        <v>1</v>
      </c>
      <c r="K65" s="6"/>
      <c r="L65" s="6"/>
      <c r="M65" s="6">
        <v>1</v>
      </c>
      <c r="N65" s="6"/>
      <c r="O65" s="6">
        <v>1</v>
      </c>
      <c r="P65" s="6">
        <v>1</v>
      </c>
      <c r="Q65" s="5"/>
      <c r="R65" s="5">
        <v>1</v>
      </c>
      <c r="S65" s="5">
        <f ca="1">IF(MatchData[[#This Row],[Auto Crossing Test Generator]]=0,RANDBETWEEN(0,1),0)</f>
        <v>0</v>
      </c>
      <c r="T65" s="5">
        <f ca="1">IF(MatchData[Auto Crossing Test Generator]=1,1,0)</f>
        <v>0</v>
      </c>
      <c r="U65" s="5">
        <f ca="1">IF(MatchData[[#This Row],[Auto Crossing Test Generator]]=2,RANDBETWEEN(0,1),0)</f>
        <v>0</v>
      </c>
      <c r="V65" s="5">
        <f ca="1">IF(MatchData[[#This Row],[Auto Crossing Test Generator]]=3,RANDBETWEEN(0,1),0)</f>
        <v>0</v>
      </c>
      <c r="W65" s="5">
        <f ca="1">IF(MatchData[[#This Row],[Auto Crossing Test Generator]]=4,RANDBETWEEN(0,1),0)</f>
        <v>0</v>
      </c>
      <c r="X65" s="5">
        <f ca="1">IF(MatchData[[#This Row],[Auto Crossing Test Generator]]=5,RANDBETWEEN(0,1),0)</f>
        <v>0</v>
      </c>
      <c r="Y65" s="5">
        <f ca="1">IF(MatchData[[#This Row],[Auto Crossing Test Generator]]=6,RANDBETWEEN(0,1),0)</f>
        <v>0</v>
      </c>
      <c r="Z65" s="5">
        <f ca="1">IF(MatchData[[#This Row],[Auto Crossing Test Generator]]=7,RANDBETWEEN(0,1),0)</f>
        <v>0</v>
      </c>
      <c r="AA65" s="5">
        <f ca="1">IF(MatchData[[#This Row],[Auto Crossing Test Generator]]=8,RANDBETWEEN(0,1),0)</f>
        <v>0</v>
      </c>
      <c r="AB65" s="5">
        <f ca="1">IF(MatchData[[#This Row],[Auto Crossing Test Generator]]&gt;8,RANDBETWEEN(0,1),0)</f>
        <v>0</v>
      </c>
      <c r="AC65" s="5">
        <f ca="1">IF(MatchData[[#This Row],[Auto Crossing Test Generator]]=9,RANDBETWEEN(0,1),0)</f>
        <v>0</v>
      </c>
      <c r="AD65" s="5">
        <f ca="1">IF(MatchData[[#This Row],[Cheval Available]]=1,RANDBETWEEN(0,MatchData[[#This Row],[Cheval High]]),0)</f>
        <v>0</v>
      </c>
      <c r="AE65" s="5">
        <f ca="1">IF(MatchData[[#This Row],[Moat Available]]=1,RANDBETWEEN(0,MatchData[[#This Row],[Moat High]]),0)</f>
        <v>0</v>
      </c>
      <c r="AF65" s="5">
        <f ca="1">IF(MatchData[[#This Row],[Ramparts Available]]=1,RANDBETWEEN(0,MatchData[[#This Row],[Ramparts High]]),0)</f>
        <v>2</v>
      </c>
      <c r="AG65" s="5">
        <f ca="1">IF(MatchData[[#This Row],[Drawbridge Available]]=1,RANDBETWEEN(0,MatchData[[#This Row],[Drawbridge High]]),0)</f>
        <v>0</v>
      </c>
      <c r="AH65" s="5">
        <f ca="1">IF(MatchData[[#This Row],[Sally Port Available]]=1,RANDBETWEEN(0,MatchData[[#This Row],[Sally Port High]]),0)</f>
        <v>1</v>
      </c>
      <c r="AI65" s="5">
        <f ca="1">IF(MatchData[[#This Row],[Rock Wall Available]]=1,RANDBETWEEN(0,MatchData[[#This Row],[Rock Wall High]]),0)</f>
        <v>3</v>
      </c>
      <c r="AJ65" s="5">
        <f ca="1">IF(MatchData[[#This Row],[Rough Terrain Available]]=1,RANDBETWEEN(0,MatchData[[#This Row],[Rough Terrain High]]),0)</f>
        <v>0</v>
      </c>
      <c r="AK65" s="5">
        <f ca="1">IF(MatchData[[#This Row],[Low Bar Available]]=1,RANDBETWEEN(0,MatchData[[#This Row],[Low Bar High]]),0)</f>
        <v>2</v>
      </c>
      <c r="AL65" s="5">
        <f ca="1">IF(MatchData[Cheval Teleop Crossings]&gt;3,10, MatchData[Cheval Teleop Crossings]*5)</f>
        <v>0</v>
      </c>
      <c r="AM65" s="5">
        <f ca="1">IF(MatchData[Moat Teleop Crossings]&gt;3,10, MatchData[Moat Teleop Crossings]*5)</f>
        <v>0</v>
      </c>
      <c r="AN65" s="5">
        <f ca="1">IF(MatchData[Ramparts Teleop Crossings]&gt;3,10, MatchData[Ramparts Teleop Crossings]*5)</f>
        <v>10</v>
      </c>
      <c r="AO65" s="5">
        <f ca="1">IF(MatchData[Drawbridge Teleop Crossings]&gt;3,10, MatchData[Drawbridge Teleop Crossings]*5)</f>
        <v>0</v>
      </c>
      <c r="AP65" s="5">
        <f ca="1">IF(MatchData[Sally Port Teleop Crossings]&gt;3,10, MatchData[Sally Port Teleop Crossings]*5)</f>
        <v>5</v>
      </c>
      <c r="AQ65" s="5">
        <f ca="1">IF(MatchData[Rock Wall Teleop Crossings]&gt;3,10, MatchData[Rock Wall Teleop Crossings]*5)</f>
        <v>15</v>
      </c>
      <c r="AR65" s="5">
        <f ca="1">IF(MatchData[Rough Terrain Teleop Crossings]&gt;3,10, MatchData[Rough Terrain Teleop Crossings]*5)</f>
        <v>0</v>
      </c>
      <c r="AS65" s="5">
        <f ca="1">IF(MatchData[Low Bar Teleop Crossings]&gt;3,10, MatchData[Low Bar Teleop Crossings]*5)</f>
        <v>10</v>
      </c>
      <c r="AT65" s="5">
        <f ca="1">SUM(MatchData[[#This Row],[Portcullis Teleop Crossings]:[Low Bar Teleop Crossings]])</f>
        <v>8</v>
      </c>
      <c r="AU65" s="5">
        <f ca="1">IF(RANDBETWEEN(1,4)&gt;1,1,0)</f>
        <v>1</v>
      </c>
      <c r="AV65" s="5">
        <f ca="1">IF(MatchData[[#This Row],[Challenge Flag]]=1,0,IF(MatchData[[#This Row],[Climber]]=1,RANDBETWEEN(0,1),0))</f>
        <v>0</v>
      </c>
      <c r="AW65" s="5">
        <f ca="1">IF(MatchData[[#This Row],[Crossing Score]]&gt;=40,1,0)</f>
        <v>1</v>
      </c>
      <c r="AX65" s="5"/>
      <c r="AY65" s="5">
        <f ca="1">IF(RANDBETWEEN(1,100)&gt;95,1,0)</f>
        <v>0</v>
      </c>
      <c r="AZ65" s="5">
        <f ca="1">IF(RANDBETWEEN(1,100)&gt;80,1,0)</f>
        <v>0</v>
      </c>
      <c r="BA65" s="5">
        <f ca="1">IF(OR(MatchData[[#This Row],[Challenge Flag]],MatchData[[#This Row],[Climb Flag]]),1,0)</f>
        <v>1</v>
      </c>
      <c r="BB65" s="5">
        <f ca="1">MatchData[Auto High Goals]*10+MatchData[Teleop High Goals]*5</f>
        <v>15</v>
      </c>
      <c r="BC65" s="5">
        <f ca="1">MatchData[Auto Low Goals]*5+MatchData[Teleop Low Goals]*2</f>
        <v>2</v>
      </c>
      <c r="BD65" s="5">
        <f ca="1">MatchData[High Goal Score]+MatchData[Low Goal Score]</f>
        <v>17</v>
      </c>
      <c r="BE65" s="5">
        <f ca="1">MatchData[Teleop High Goals]+MatchData[Teleop Low Goals]</f>
        <v>4</v>
      </c>
      <c r="BF65" s="5">
        <f ca="1">MatchData[[#This Row],[Auto Reach Flag]]*2+SUM(MatchData[[#This Row],[Portcullis Auto Crossings]:[Low Bar Auto Crossings]])*10+MatchData[[#This Row],[Auto Low Goals]]*5+MatchData[Auto High Goals]*10</f>
        <v>0</v>
      </c>
      <c r="BG65" s="5">
        <f ca="1">SUM(MatchData[[#This Row],[Cheval Scored Teleop Crossings]:[Low Bar Scored Teleop Crossings]])</f>
        <v>40</v>
      </c>
      <c r="BH65" s="5">
        <f ca="1">MatchData[Challenge Flag]*5</f>
        <v>5</v>
      </c>
      <c r="BI65" s="5">
        <f ca="1">MatchData[Climb Flag]*15</f>
        <v>0</v>
      </c>
      <c r="BJ65" s="5">
        <f ca="1">SUM(MatchData[[#This Row],[Total Goal Score]],MatchData[[#This Row],[Crossing Score]],MatchData[[#This Row],[Challenge Score]],MatchData[[#This Row],[Climb Score]],MatchData[[#This Row],[Total Auto Score]])</f>
        <v>62</v>
      </c>
      <c r="BK65">
        <v>4</v>
      </c>
      <c r="BL65" s="5">
        <f ca="1">IF(RANDBETWEEN(0,10)&gt;=9,RANDBETWEEN(1,9),0)</f>
        <v>0</v>
      </c>
      <c r="BM65" s="5">
        <f>VLOOKUP(MatchData[[#This Row],[Persona]],Personas!$A$2:$O$5,3)</f>
        <v>1</v>
      </c>
      <c r="BN65" s="13">
        <f>VLOOKUP(MatchData[[#This Row],[Persona]],Personas!$A$2:$P$5,4)</f>
        <v>4</v>
      </c>
      <c r="BO65" s="13">
        <f>VLOOKUP(MatchData[[#This Row],[Persona]],Personas!$A$2:$P$5,5)</f>
        <v>1</v>
      </c>
      <c r="BP65" s="13">
        <f>VLOOKUP(MatchData[[#This Row],[Persona]],Personas!$A$2:$P$5,6)</f>
        <v>4</v>
      </c>
      <c r="BQ65" s="13">
        <f>VLOOKUP(MatchData[[#This Row],[Persona]],Personas!$A$2:$P$5,7)</f>
        <v>3</v>
      </c>
      <c r="BR65" s="13">
        <f>VLOOKUP(MatchData[[#This Row],[Persona]],Personas!$A$2:$P$5,8)</f>
        <v>3</v>
      </c>
      <c r="BS65" s="13">
        <f>VLOOKUP(MatchData[[#This Row],[Persona]],Personas!$A$2:$P$5,9)</f>
        <v>4</v>
      </c>
      <c r="BT65" s="13">
        <f>VLOOKUP(MatchData[[#This Row],[Persona]],Personas!$A$2:$P$5,10)</f>
        <v>4</v>
      </c>
      <c r="BU65" s="13">
        <f>VLOOKUP(MatchData[[#This Row],[Persona]],Personas!$A$2:$P$5,11)</f>
        <v>3</v>
      </c>
      <c r="BV65" s="13">
        <f>VLOOKUP(MatchData[[#This Row],[Persona]],Personas!$A$2:$P$5,12)</f>
        <v>3</v>
      </c>
      <c r="BW65" s="13">
        <f>VLOOKUP(MatchData[[#This Row],[Persona]],Personas!$A$2:$P$5,13)</f>
        <v>4</v>
      </c>
      <c r="BX65" s="13">
        <f>VLOOKUP(MatchData[[#This Row],[Persona]],Personas!$A$2:$P$5,14)</f>
        <v>4</v>
      </c>
      <c r="BY65" s="13">
        <f>VLOOKUP(MatchData[[#This Row],[Persona]],Personas!$A$2:$P$5,15)</f>
        <v>5</v>
      </c>
      <c r="BZ65" s="13">
        <f>VLOOKUP(MatchData[[#This Row],[Persona]],Personas!$A$2:$P$5,16)</f>
        <v>0</v>
      </c>
      <c r="CA65" s="14">
        <f ca="1">ROUND(SUMIF(MatchData[Team],MatchData[[#This Row],[Team]],MatchData[Teleop Low Goals])/COUNTIF(MatchData[Team],MatchData[[#This Row],[Team]]),2)</f>
        <v>1.4</v>
      </c>
      <c r="CB65" s="14">
        <f ca="1">ROUND(SUMIF(MatchData[Team],MatchData[[#This Row],[Team]],MatchData[Teleop High Goals])/COUNTIF(MatchData[Team],MatchData[[#This Row],[Team]]),2)</f>
        <v>3</v>
      </c>
      <c r="CC65" s="14">
        <f>COUNTIF(MatchData[Team],MatchData[[#This Row],[Team]])</f>
        <v>5</v>
      </c>
      <c r="CD65" s="14">
        <f>SUMIF(MatchData[Team],MatchData[[#This Row],[Team]],MatchData[Portcullis Available])</f>
        <v>5</v>
      </c>
      <c r="CE65" s="14">
        <f>SUMIF(MatchData[Team],MatchData[[#This Row],[Team]],MatchData[Cheval Available])</f>
        <v>0</v>
      </c>
      <c r="CF65" s="14">
        <f>SUMIF(MatchData[Team],MatchData[[#This Row],[Team]],MatchData[Moat Available])</f>
        <v>0</v>
      </c>
      <c r="CG65" s="14">
        <f>SUMIF(MatchData[Team],MatchData[[#This Row],[Team]],MatchData[Ramparts Available])</f>
        <v>5</v>
      </c>
      <c r="CH65" s="14">
        <f>SUMIF(MatchData[Team],MatchData[[#This Row],[Team]],MatchData[Drawbridge Available])</f>
        <v>2</v>
      </c>
      <c r="CI65" s="14">
        <f>SUMIF(MatchData[Team],MatchData[[#This Row],[Team]],MatchData[Sally Port Available])</f>
        <v>3</v>
      </c>
      <c r="CJ65" s="14">
        <f>SUMIF(MatchData[Team],MatchData[[#This Row],[Team]],MatchData[Rock Wall Available])</f>
        <v>3</v>
      </c>
      <c r="CK65" s="14">
        <f>SUMIF(MatchData[Team],MatchData[[#This Row],[Team]],MatchData[Rough Terrain Available])</f>
        <v>2</v>
      </c>
      <c r="CL65" s="14">
        <f>SUMIF(MatchData[Team],MatchData[[#This Row],[Team]],MatchData[Low Bar Available])</f>
        <v>5</v>
      </c>
      <c r="CM65" s="14">
        <f ca="1">SUMIF(MatchData[Team],MatchData[[#This Row],[Team]],MatchData[Portcullis Teleop Crossings])</f>
        <v>0</v>
      </c>
      <c r="CN65" s="14">
        <f ca="1">SUMIF(MatchData[Team],MatchData[[#This Row],[Team]],MatchData[Cheval Teleop Crossings])</f>
        <v>0</v>
      </c>
      <c r="CO65" s="14">
        <f ca="1">SUMIF(MatchData[Team],MatchData[[#This Row],[Team]],MatchData[Moat Teleop Crossings])</f>
        <v>0</v>
      </c>
      <c r="CP65" s="14">
        <f ca="1">SUMIF(MatchData[Team],MatchData[[#This Row],[Team]],MatchData[Ramparts Teleop Crossings])</f>
        <v>11</v>
      </c>
      <c r="CQ65" s="14">
        <f ca="1">SUMIF(MatchData[Team],MatchData[[#This Row],[Team]],MatchData[Drawbridge Teleop Crossings])</f>
        <v>1</v>
      </c>
      <c r="CR65" s="14">
        <f ca="1">SUMIF(MatchData[Team],MatchData[[#This Row],[Team]],MatchData[Sally Port Teleop Crossings])</f>
        <v>5</v>
      </c>
      <c r="CS65" s="14">
        <f ca="1">SUMIF(MatchData[Team],MatchData[[#This Row],[Team]],MatchData[Rock Wall Teleop Crossings])</f>
        <v>3</v>
      </c>
      <c r="CT65" s="14">
        <f ca="1">SUMIF(MatchData[Team],MatchData[[#This Row],[Team]],MatchData[Rough Terrain Teleop Crossings])</f>
        <v>2</v>
      </c>
      <c r="CU65" s="14">
        <f ca="1">SUMIF(MatchData[Team],MatchData[[#This Row],[Team]],MatchData[Low Bar Teleop Crossings])</f>
        <v>16</v>
      </c>
      <c r="CV65" s="14">
        <f ca="1">IFERROR(ROUND(MatchData[[#This Row],[Portcullis Sum]]/MatchData[[#This Row],[Portcullis Avail Count]],2),0)</f>
        <v>0</v>
      </c>
      <c r="CW65">
        <f ca="1">IFERROR(ROUND(MatchData[[#This Row],[Cheval Sum]]/MatchData[[#This Row],[Cheval Avail Count]],2),0)</f>
        <v>0</v>
      </c>
      <c r="CX65">
        <f ca="1">IFERROR(ROUND(MatchData[[#This Row],[Moat Sum]]/MatchData[[#This Row],[Moat Avail Count]],2),0)</f>
        <v>0</v>
      </c>
      <c r="CY65">
        <f ca="1">IFERROR(ROUND(MatchData[[#This Row],[Ramparts Sum]]/MatchData[[#This Row],[Ramparts Avail Count]],2),0)</f>
        <v>2.2000000000000002</v>
      </c>
      <c r="CZ65">
        <f ca="1">IFERROR(ROUND(MatchData[[#This Row],[Drawbridge Sum]]/MatchData[[#This Row],[Drawbridge HAvail Countigh6]],2),0)</f>
        <v>0.5</v>
      </c>
      <c r="DA65">
        <f ca="1">IFERROR(ROUND(MatchData[[#This Row],[Sally Port Sum]]/MatchData[[#This Row],[Sally Port Avail Count]],2),0)</f>
        <v>1.67</v>
      </c>
      <c r="DB65">
        <f ca="1">IFERROR(ROUND(MatchData[[#This Row],[Rock Wall Sum]]/MatchData[[#This Row],[Rock Wall Avail Count]],2),0)</f>
        <v>1</v>
      </c>
      <c r="DC65">
        <f ca="1">IFERROR(ROUND(MatchData[[#This Row],[Rough Terrain Sum]]/MatchData[[#This Row],[Rough Terrain Avail Count]],2),0)</f>
        <v>1</v>
      </c>
      <c r="DD65">
        <f ca="1">IFERROR(ROUND(MatchData[[#This Row],[Low Bar Sum]]/MatchData[[#This Row],[Low Bar Avail Count]],2),0)</f>
        <v>3.2</v>
      </c>
      <c r="DE65" s="14">
        <f t="array" aca="1" ref="DE65" ca="1">MAX(IF(C$4:C$75=C65,BE$4:BE$75))</f>
        <v>6</v>
      </c>
      <c r="DF65" s="14">
        <f ca="1">AVERAGEIF(MatchData[Team],MatchData[Team],MatchData[Total Score])</f>
        <v>64.599999999999994</v>
      </c>
      <c r="DG65" s="14">
        <f ca="1">ROUND(AVERAGEIF(MatchData[Team],MatchData[Team],MatchData[Climb or Challenge Flag]),2)</f>
        <v>0.8</v>
      </c>
    </row>
    <row r="66" spans="1:111">
      <c r="A66" t="s">
        <v>54</v>
      </c>
      <c r="B66" s="4">
        <v>5</v>
      </c>
      <c r="C66">
        <v>1013</v>
      </c>
      <c r="D66" t="s">
        <v>55</v>
      </c>
      <c r="E66" t="s">
        <v>58</v>
      </c>
      <c r="F66">
        <f ca="1">IF(MatchData[[#This Row],[Persona]] = 4,RANDBETWEEN(0,1),0)</f>
        <v>0</v>
      </c>
      <c r="G66">
        <f ca="1">IF(MatchData[[#This Row],[Persona]] = 3,RANDBETWEEN(0,1),0)</f>
        <v>0</v>
      </c>
      <c r="H66">
        <f ca="1">RANDBETWEEN(MatchData[[#This Row],[High Goal Low]],MatchData[[#This Row],[High Goal High]])</f>
        <v>4</v>
      </c>
      <c r="I66">
        <f ca="1">RANDBETWEEN(MatchData[[#This Row],[Low Goal Low]],MatchData[[#This Row],[Low Goal High]])</f>
        <v>2</v>
      </c>
      <c r="J66" s="6">
        <v>1</v>
      </c>
      <c r="K66" s="6"/>
      <c r="L66" s="6"/>
      <c r="M66" s="6">
        <v>1</v>
      </c>
      <c r="N66" s="6">
        <v>1</v>
      </c>
      <c r="O66" s="6"/>
      <c r="P66" s="6"/>
      <c r="Q66" s="5">
        <v>1</v>
      </c>
      <c r="R66" s="5">
        <v>1</v>
      </c>
      <c r="S66" s="5">
        <f ca="1">IF(MatchData[[#This Row],[Auto Crossing Test Generator]]=0,RANDBETWEEN(0,1),0)</f>
        <v>1</v>
      </c>
      <c r="T66" s="5">
        <f ca="1">IF(MatchData[Auto Crossing Test Generator]=1,1,0)</f>
        <v>0</v>
      </c>
      <c r="U66" s="5">
        <f ca="1">IF(MatchData[[#This Row],[Auto Crossing Test Generator]]=2,RANDBETWEEN(0,1),0)</f>
        <v>0</v>
      </c>
      <c r="V66" s="5">
        <f ca="1">IF(MatchData[[#This Row],[Auto Crossing Test Generator]]=3,RANDBETWEEN(0,1),0)</f>
        <v>0</v>
      </c>
      <c r="W66" s="5">
        <f ca="1">IF(MatchData[[#This Row],[Auto Crossing Test Generator]]=4,RANDBETWEEN(0,1),0)</f>
        <v>0</v>
      </c>
      <c r="X66" s="5">
        <f ca="1">IF(MatchData[[#This Row],[Auto Crossing Test Generator]]=5,RANDBETWEEN(0,1),0)</f>
        <v>0</v>
      </c>
      <c r="Y66" s="5">
        <f ca="1">IF(MatchData[[#This Row],[Auto Crossing Test Generator]]=6,RANDBETWEEN(0,1),0)</f>
        <v>0</v>
      </c>
      <c r="Z66" s="5">
        <f ca="1">IF(MatchData[[#This Row],[Auto Crossing Test Generator]]=7,RANDBETWEEN(0,1),0)</f>
        <v>0</v>
      </c>
      <c r="AA66" s="5">
        <f ca="1">IF(MatchData[[#This Row],[Auto Crossing Test Generator]]=8,RANDBETWEEN(0,1),0)</f>
        <v>0</v>
      </c>
      <c r="AB66" s="5">
        <f ca="1">IF(MatchData[[#This Row],[Auto Crossing Test Generator]]&gt;8,RANDBETWEEN(0,1),0)</f>
        <v>0</v>
      </c>
      <c r="AC66" s="5">
        <f ca="1">IF(MatchData[[#This Row],[Auto Crossing Test Generator]]=9,RANDBETWEEN(0,1),0)</f>
        <v>0</v>
      </c>
      <c r="AD66" s="5">
        <f ca="1">IF(MatchData[[#This Row],[Cheval Available]]=1,RANDBETWEEN(0,MatchData[[#This Row],[Cheval High]]),0)</f>
        <v>0</v>
      </c>
      <c r="AE66" s="5">
        <f ca="1">IF(MatchData[[#This Row],[Moat Available]]=1,RANDBETWEEN(0,MatchData[[#This Row],[Moat High]]),0)</f>
        <v>0</v>
      </c>
      <c r="AF66" s="5">
        <f ca="1">IF(MatchData[[#This Row],[Ramparts Available]]=1,RANDBETWEEN(0,MatchData[[#This Row],[Ramparts High]]),0)</f>
        <v>2</v>
      </c>
      <c r="AG66" s="5">
        <f ca="1">IF(MatchData[[#This Row],[Drawbridge Available]]=1,RANDBETWEEN(0,MatchData[[#This Row],[Drawbridge High]]),0)</f>
        <v>1</v>
      </c>
      <c r="AH66" s="5">
        <f ca="1">IF(MatchData[[#This Row],[Sally Port Available]]=1,RANDBETWEEN(0,MatchData[[#This Row],[Sally Port High]]),0)</f>
        <v>0</v>
      </c>
      <c r="AI66" s="5">
        <f ca="1">IF(MatchData[[#This Row],[Rock Wall Available]]=1,RANDBETWEEN(0,MatchData[[#This Row],[Rock Wall High]]),0)</f>
        <v>0</v>
      </c>
      <c r="AJ66" s="5">
        <f ca="1">IF(MatchData[[#This Row],[Rough Terrain Available]]=1,RANDBETWEEN(0,MatchData[[#This Row],[Rough Terrain High]]),0)</f>
        <v>1</v>
      </c>
      <c r="AK66" s="5">
        <f ca="1">IF(MatchData[[#This Row],[Low Bar Available]]=1,RANDBETWEEN(0,MatchData[[#This Row],[Low Bar High]]),0)</f>
        <v>2</v>
      </c>
      <c r="AL66" s="5">
        <f ca="1">IF(MatchData[Cheval Teleop Crossings]&gt;3,10, MatchData[Cheval Teleop Crossings]*5)</f>
        <v>0</v>
      </c>
      <c r="AM66" s="5">
        <f ca="1">IF(MatchData[Moat Teleop Crossings]&gt;3,10, MatchData[Moat Teleop Crossings]*5)</f>
        <v>0</v>
      </c>
      <c r="AN66" s="5">
        <f ca="1">IF(MatchData[Ramparts Teleop Crossings]&gt;3,10, MatchData[Ramparts Teleop Crossings]*5)</f>
        <v>10</v>
      </c>
      <c r="AO66" s="5">
        <f ca="1">IF(MatchData[Drawbridge Teleop Crossings]&gt;3,10, MatchData[Drawbridge Teleop Crossings]*5)</f>
        <v>5</v>
      </c>
      <c r="AP66" s="5">
        <f ca="1">IF(MatchData[Sally Port Teleop Crossings]&gt;3,10, MatchData[Sally Port Teleop Crossings]*5)</f>
        <v>0</v>
      </c>
      <c r="AQ66" s="5">
        <f ca="1">IF(MatchData[Rock Wall Teleop Crossings]&gt;3,10, MatchData[Rock Wall Teleop Crossings]*5)</f>
        <v>0</v>
      </c>
      <c r="AR66" s="5">
        <f ca="1">IF(MatchData[Rough Terrain Teleop Crossings]&gt;3,10, MatchData[Rough Terrain Teleop Crossings]*5)</f>
        <v>5</v>
      </c>
      <c r="AS66" s="5">
        <f ca="1">IF(MatchData[Low Bar Teleop Crossings]&gt;3,10, MatchData[Low Bar Teleop Crossings]*5)</f>
        <v>10</v>
      </c>
      <c r="AT66" s="5">
        <f ca="1">SUM(MatchData[[#This Row],[Portcullis Teleop Crossings]:[Low Bar Teleop Crossings]])</f>
        <v>6</v>
      </c>
      <c r="AU66" s="5">
        <f ca="1">IF(RANDBETWEEN(1,4)&gt;1,1,0)</f>
        <v>1</v>
      </c>
      <c r="AV66" s="5">
        <f ca="1">IF(MatchData[[#This Row],[Challenge Flag]]=1,0,IF(MatchData[[#This Row],[Climber]]=1,RANDBETWEEN(0,1),0))</f>
        <v>0</v>
      </c>
      <c r="AW66" s="5">
        <f ca="1">IF(MatchData[[#This Row],[Crossing Score]]&gt;=40,1,0)</f>
        <v>0</v>
      </c>
      <c r="AX66" s="5"/>
      <c r="AY66" s="5">
        <f ca="1">IF(RANDBETWEEN(1,100)&gt;95,1,0)</f>
        <v>0</v>
      </c>
      <c r="AZ66" s="5">
        <f ca="1">IF(RANDBETWEEN(1,100)&gt;80,1,0)</f>
        <v>0</v>
      </c>
      <c r="BA66" s="5">
        <f ca="1">IF(OR(MatchData[[#This Row],[Challenge Flag]],MatchData[[#This Row],[Climb Flag]]),1,0)</f>
        <v>1</v>
      </c>
      <c r="BB66" s="5">
        <f ca="1">MatchData[Auto High Goals]*10+MatchData[Teleop High Goals]*5</f>
        <v>20</v>
      </c>
      <c r="BC66" s="5">
        <f ca="1">MatchData[Auto Low Goals]*5+MatchData[Teleop Low Goals]*2</f>
        <v>4</v>
      </c>
      <c r="BD66" s="5">
        <f ca="1">MatchData[High Goal Score]+MatchData[Low Goal Score]</f>
        <v>24</v>
      </c>
      <c r="BE66" s="5">
        <f ca="1">MatchData[Teleop High Goals]+MatchData[Teleop Low Goals]</f>
        <v>6</v>
      </c>
      <c r="BF66" s="5">
        <f ca="1">MatchData[[#This Row],[Auto Reach Flag]]*2+SUM(MatchData[[#This Row],[Portcullis Auto Crossings]:[Low Bar Auto Crossings]])*10+MatchData[[#This Row],[Auto Low Goals]]*5+MatchData[Auto High Goals]*10</f>
        <v>2</v>
      </c>
      <c r="BG66" s="5">
        <f ca="1">SUM(MatchData[[#This Row],[Cheval Scored Teleop Crossings]:[Low Bar Scored Teleop Crossings]])</f>
        <v>30</v>
      </c>
      <c r="BH66" s="5">
        <f ca="1">MatchData[Challenge Flag]*5</f>
        <v>5</v>
      </c>
      <c r="BI66" s="5">
        <f ca="1">MatchData[Climb Flag]*15</f>
        <v>0</v>
      </c>
      <c r="BJ66" s="5">
        <f ca="1">SUM(MatchData[[#This Row],[Total Goal Score]],MatchData[[#This Row],[Crossing Score]],MatchData[[#This Row],[Challenge Score]],MatchData[[#This Row],[Climb Score]],MatchData[[#This Row],[Total Auto Score]])</f>
        <v>61</v>
      </c>
      <c r="BK66">
        <v>4</v>
      </c>
      <c r="BL66" s="5">
        <f ca="1">IF(RANDBETWEEN(0,10)&gt;=9,RANDBETWEEN(1,9),0)</f>
        <v>0</v>
      </c>
      <c r="BM66" s="5">
        <f>VLOOKUP(MatchData[[#This Row],[Persona]],Personas!$A$2:$O$5,3)</f>
        <v>1</v>
      </c>
      <c r="BN66" s="13">
        <f>VLOOKUP(MatchData[[#This Row],[Persona]],Personas!$A$2:$P$5,4)</f>
        <v>4</v>
      </c>
      <c r="BO66" s="13">
        <f>VLOOKUP(MatchData[[#This Row],[Persona]],Personas!$A$2:$P$5,5)</f>
        <v>1</v>
      </c>
      <c r="BP66" s="13">
        <f>VLOOKUP(MatchData[[#This Row],[Persona]],Personas!$A$2:$P$5,6)</f>
        <v>4</v>
      </c>
      <c r="BQ66" s="13">
        <f>VLOOKUP(MatchData[[#This Row],[Persona]],Personas!$A$2:$P$5,7)</f>
        <v>3</v>
      </c>
      <c r="BR66" s="13">
        <f>VLOOKUP(MatchData[[#This Row],[Persona]],Personas!$A$2:$P$5,8)</f>
        <v>3</v>
      </c>
      <c r="BS66" s="13">
        <f>VLOOKUP(MatchData[[#This Row],[Persona]],Personas!$A$2:$P$5,9)</f>
        <v>4</v>
      </c>
      <c r="BT66" s="13">
        <f>VLOOKUP(MatchData[[#This Row],[Persona]],Personas!$A$2:$P$5,10)</f>
        <v>4</v>
      </c>
      <c r="BU66" s="13">
        <f>VLOOKUP(MatchData[[#This Row],[Persona]],Personas!$A$2:$P$5,11)</f>
        <v>3</v>
      </c>
      <c r="BV66" s="13">
        <f>VLOOKUP(MatchData[[#This Row],[Persona]],Personas!$A$2:$P$5,12)</f>
        <v>3</v>
      </c>
      <c r="BW66" s="13">
        <f>VLOOKUP(MatchData[[#This Row],[Persona]],Personas!$A$2:$P$5,13)</f>
        <v>4</v>
      </c>
      <c r="BX66" s="13">
        <f>VLOOKUP(MatchData[[#This Row],[Persona]],Personas!$A$2:$P$5,14)</f>
        <v>4</v>
      </c>
      <c r="BY66" s="13">
        <f>VLOOKUP(MatchData[[#This Row],[Persona]],Personas!$A$2:$P$5,15)</f>
        <v>5</v>
      </c>
      <c r="BZ66" s="13">
        <f>VLOOKUP(MatchData[[#This Row],[Persona]],Personas!$A$2:$P$5,16)</f>
        <v>0</v>
      </c>
      <c r="CA66" s="14">
        <f ca="1">ROUND(SUMIF(MatchData[Team],MatchData[[#This Row],[Team]],MatchData[Teleop Low Goals])/COUNTIF(MatchData[Team],MatchData[[#This Row],[Team]]),2)</f>
        <v>1.4</v>
      </c>
      <c r="CB66" s="14">
        <f ca="1">ROUND(SUMIF(MatchData[Team],MatchData[[#This Row],[Team]],MatchData[Teleop High Goals])/COUNTIF(MatchData[Team],MatchData[[#This Row],[Team]]),2)</f>
        <v>3</v>
      </c>
      <c r="CC66" s="14">
        <f>COUNTIF(MatchData[Team],MatchData[[#This Row],[Team]])</f>
        <v>5</v>
      </c>
      <c r="CD66" s="14">
        <f>SUMIF(MatchData[Team],MatchData[[#This Row],[Team]],MatchData[Portcullis Available])</f>
        <v>5</v>
      </c>
      <c r="CE66" s="14">
        <f>SUMIF(MatchData[Team],MatchData[[#This Row],[Team]],MatchData[Cheval Available])</f>
        <v>0</v>
      </c>
      <c r="CF66" s="14">
        <f>SUMIF(MatchData[Team],MatchData[[#This Row],[Team]],MatchData[Moat Available])</f>
        <v>0</v>
      </c>
      <c r="CG66" s="14">
        <f>SUMIF(MatchData[Team],MatchData[[#This Row],[Team]],MatchData[Ramparts Available])</f>
        <v>5</v>
      </c>
      <c r="CH66" s="14">
        <f>SUMIF(MatchData[Team],MatchData[[#This Row],[Team]],MatchData[Drawbridge Available])</f>
        <v>2</v>
      </c>
      <c r="CI66" s="14">
        <f>SUMIF(MatchData[Team],MatchData[[#This Row],[Team]],MatchData[Sally Port Available])</f>
        <v>3</v>
      </c>
      <c r="CJ66" s="14">
        <f>SUMIF(MatchData[Team],MatchData[[#This Row],[Team]],MatchData[Rock Wall Available])</f>
        <v>3</v>
      </c>
      <c r="CK66" s="14">
        <f>SUMIF(MatchData[Team],MatchData[[#This Row],[Team]],MatchData[Rough Terrain Available])</f>
        <v>2</v>
      </c>
      <c r="CL66" s="14">
        <f>SUMIF(MatchData[Team],MatchData[[#This Row],[Team]],MatchData[Low Bar Available])</f>
        <v>5</v>
      </c>
      <c r="CM66" s="14">
        <f ca="1">SUMIF(MatchData[Team],MatchData[[#This Row],[Team]],MatchData[Portcullis Teleop Crossings])</f>
        <v>0</v>
      </c>
      <c r="CN66" s="14">
        <f ca="1">SUMIF(MatchData[Team],MatchData[[#This Row],[Team]],MatchData[Cheval Teleop Crossings])</f>
        <v>0</v>
      </c>
      <c r="CO66" s="14">
        <f ca="1">SUMIF(MatchData[Team],MatchData[[#This Row],[Team]],MatchData[Moat Teleop Crossings])</f>
        <v>0</v>
      </c>
      <c r="CP66" s="14">
        <f ca="1">SUMIF(MatchData[Team],MatchData[[#This Row],[Team]],MatchData[Ramparts Teleop Crossings])</f>
        <v>11</v>
      </c>
      <c r="CQ66" s="14">
        <f ca="1">SUMIF(MatchData[Team],MatchData[[#This Row],[Team]],MatchData[Drawbridge Teleop Crossings])</f>
        <v>1</v>
      </c>
      <c r="CR66" s="14">
        <f ca="1">SUMIF(MatchData[Team],MatchData[[#This Row],[Team]],MatchData[Sally Port Teleop Crossings])</f>
        <v>5</v>
      </c>
      <c r="CS66" s="14">
        <f ca="1">SUMIF(MatchData[Team],MatchData[[#This Row],[Team]],MatchData[Rock Wall Teleop Crossings])</f>
        <v>3</v>
      </c>
      <c r="CT66" s="14">
        <f ca="1">SUMIF(MatchData[Team],MatchData[[#This Row],[Team]],MatchData[Rough Terrain Teleop Crossings])</f>
        <v>2</v>
      </c>
      <c r="CU66" s="14">
        <f ca="1">SUMIF(MatchData[Team],MatchData[[#This Row],[Team]],MatchData[Low Bar Teleop Crossings])</f>
        <v>16</v>
      </c>
      <c r="CV66" s="14">
        <f ca="1">IFERROR(ROUND(MatchData[[#This Row],[Portcullis Sum]]/MatchData[[#This Row],[Portcullis Avail Count]],2),0)</f>
        <v>0</v>
      </c>
      <c r="CW66">
        <f ca="1">IFERROR(ROUND(MatchData[[#This Row],[Cheval Sum]]/MatchData[[#This Row],[Cheval Avail Count]],2),0)</f>
        <v>0</v>
      </c>
      <c r="CX66">
        <f ca="1">IFERROR(ROUND(MatchData[[#This Row],[Moat Sum]]/MatchData[[#This Row],[Moat Avail Count]],2),0)</f>
        <v>0</v>
      </c>
      <c r="CY66">
        <f ca="1">IFERROR(ROUND(MatchData[[#This Row],[Ramparts Sum]]/MatchData[[#This Row],[Ramparts Avail Count]],2),0)</f>
        <v>2.2000000000000002</v>
      </c>
      <c r="CZ66">
        <f ca="1">IFERROR(ROUND(MatchData[[#This Row],[Drawbridge Sum]]/MatchData[[#This Row],[Drawbridge HAvail Countigh6]],2),0)</f>
        <v>0.5</v>
      </c>
      <c r="DA66">
        <f ca="1">IFERROR(ROUND(MatchData[[#This Row],[Sally Port Sum]]/MatchData[[#This Row],[Sally Port Avail Count]],2),0)</f>
        <v>1.67</v>
      </c>
      <c r="DB66">
        <f ca="1">IFERROR(ROUND(MatchData[[#This Row],[Rock Wall Sum]]/MatchData[[#This Row],[Rock Wall Avail Count]],2),0)</f>
        <v>1</v>
      </c>
      <c r="DC66">
        <f ca="1">IFERROR(ROUND(MatchData[[#This Row],[Rough Terrain Sum]]/MatchData[[#This Row],[Rough Terrain Avail Count]],2),0)</f>
        <v>1</v>
      </c>
      <c r="DD66">
        <f ca="1">IFERROR(ROUND(MatchData[[#This Row],[Low Bar Sum]]/MatchData[[#This Row],[Low Bar Avail Count]],2),0)</f>
        <v>3.2</v>
      </c>
      <c r="DE66" s="14">
        <f t="array" aca="1" ref="DE66" ca="1">MAX(IF(C$4:C$75=C66,BE$4:BE$75))</f>
        <v>6</v>
      </c>
      <c r="DF66" s="14">
        <f ca="1">AVERAGEIF(MatchData[Team],MatchData[Team],MatchData[Total Score])</f>
        <v>64.599999999999994</v>
      </c>
      <c r="DG66" s="14">
        <f ca="1">ROUND(AVERAGEIF(MatchData[Team],MatchData[Team],MatchData[Climb or Challenge Flag]),2)</f>
        <v>0.8</v>
      </c>
    </row>
    <row r="67" spans="1:111">
      <c r="A67" t="s">
        <v>54</v>
      </c>
      <c r="B67" s="4">
        <v>7</v>
      </c>
      <c r="C67">
        <v>1013</v>
      </c>
      <c r="D67" t="s">
        <v>55</v>
      </c>
      <c r="E67" t="s">
        <v>63</v>
      </c>
      <c r="F67">
        <f ca="1">IF(MatchData[[#This Row],[Persona]] = 4,RANDBETWEEN(0,1),0)</f>
        <v>1</v>
      </c>
      <c r="G67">
        <f ca="1">IF(MatchData[[#This Row],[Persona]] = 3,RANDBETWEEN(0,1),0)</f>
        <v>0</v>
      </c>
      <c r="H67">
        <f ca="1">RANDBETWEEN(MatchData[[#This Row],[High Goal Low]],MatchData[[#This Row],[High Goal High]])</f>
        <v>3</v>
      </c>
      <c r="I67">
        <f ca="1">RANDBETWEEN(MatchData[[#This Row],[Low Goal Low]],MatchData[[#This Row],[Low Goal High]])</f>
        <v>1</v>
      </c>
      <c r="J67" s="6">
        <v>1</v>
      </c>
      <c r="K67" s="6"/>
      <c r="L67" s="6"/>
      <c r="M67" s="6">
        <v>1</v>
      </c>
      <c r="N67" s="6"/>
      <c r="O67" s="6">
        <v>1</v>
      </c>
      <c r="P67" s="6">
        <v>1</v>
      </c>
      <c r="Q67" s="5"/>
      <c r="R67" s="5">
        <v>1</v>
      </c>
      <c r="S67" s="5">
        <f ca="1">IF(MatchData[[#This Row],[Auto Crossing Test Generator]]=0,RANDBETWEEN(0,1),0)</f>
        <v>0</v>
      </c>
      <c r="T67" s="5">
        <f ca="1">IF(MatchData[Auto Crossing Test Generator]=1,1,0)</f>
        <v>0</v>
      </c>
      <c r="U67" s="5">
        <f ca="1">IF(MatchData[[#This Row],[Auto Crossing Test Generator]]=2,RANDBETWEEN(0,1),0)</f>
        <v>0</v>
      </c>
      <c r="V67" s="5">
        <f ca="1">IF(MatchData[[#This Row],[Auto Crossing Test Generator]]=3,RANDBETWEEN(0,1),0)</f>
        <v>0</v>
      </c>
      <c r="W67" s="5">
        <f ca="1">IF(MatchData[[#This Row],[Auto Crossing Test Generator]]=4,RANDBETWEEN(0,1),0)</f>
        <v>0</v>
      </c>
      <c r="X67" s="5">
        <f ca="1">IF(MatchData[[#This Row],[Auto Crossing Test Generator]]=5,RANDBETWEEN(0,1),0)</f>
        <v>0</v>
      </c>
      <c r="Y67" s="5">
        <f ca="1">IF(MatchData[[#This Row],[Auto Crossing Test Generator]]=6,RANDBETWEEN(0,1),0)</f>
        <v>0</v>
      </c>
      <c r="Z67" s="5">
        <f ca="1">IF(MatchData[[#This Row],[Auto Crossing Test Generator]]=7,RANDBETWEEN(0,1),0)</f>
        <v>0</v>
      </c>
      <c r="AA67" s="5">
        <f ca="1">IF(MatchData[[#This Row],[Auto Crossing Test Generator]]=8,RANDBETWEEN(0,1),0)</f>
        <v>0</v>
      </c>
      <c r="AB67" s="5">
        <f ca="1">IF(MatchData[[#This Row],[Auto Crossing Test Generator]]&gt;8,RANDBETWEEN(0,1),0)</f>
        <v>0</v>
      </c>
      <c r="AC67" s="5">
        <f ca="1">IF(MatchData[[#This Row],[Auto Crossing Test Generator]]=9,RANDBETWEEN(0,1),0)</f>
        <v>0</v>
      </c>
      <c r="AD67" s="5">
        <f ca="1">IF(MatchData[[#This Row],[Cheval Available]]=1,RANDBETWEEN(0,MatchData[[#This Row],[Cheval High]]),0)</f>
        <v>0</v>
      </c>
      <c r="AE67" s="5">
        <f ca="1">IF(MatchData[[#This Row],[Moat Available]]=1,RANDBETWEEN(0,MatchData[[#This Row],[Moat High]]),0)</f>
        <v>0</v>
      </c>
      <c r="AF67" s="5">
        <f ca="1">IF(MatchData[[#This Row],[Ramparts Available]]=1,RANDBETWEEN(0,MatchData[[#This Row],[Ramparts High]]),0)</f>
        <v>3</v>
      </c>
      <c r="AG67" s="5">
        <f ca="1">IF(MatchData[[#This Row],[Drawbridge Available]]=1,RANDBETWEEN(0,MatchData[[#This Row],[Drawbridge High]]),0)</f>
        <v>0</v>
      </c>
      <c r="AH67" s="5">
        <f ca="1">IF(MatchData[[#This Row],[Sally Port Available]]=1,RANDBETWEEN(0,MatchData[[#This Row],[Sally Port High]]),0)</f>
        <v>2</v>
      </c>
      <c r="AI67" s="5">
        <f ca="1">IF(MatchData[[#This Row],[Rock Wall Available]]=1,RANDBETWEEN(0,MatchData[[#This Row],[Rock Wall High]]),0)</f>
        <v>0</v>
      </c>
      <c r="AJ67" s="5">
        <f ca="1">IF(MatchData[[#This Row],[Rough Terrain Available]]=1,RANDBETWEEN(0,MatchData[[#This Row],[Rough Terrain High]]),0)</f>
        <v>0</v>
      </c>
      <c r="AK67" s="5">
        <f ca="1">IF(MatchData[[#This Row],[Low Bar Available]]=1,RANDBETWEEN(0,MatchData[[#This Row],[Low Bar High]]),0)</f>
        <v>2</v>
      </c>
      <c r="AL67" s="5">
        <f ca="1">IF(MatchData[Cheval Teleop Crossings]&gt;3,10, MatchData[Cheval Teleop Crossings]*5)</f>
        <v>0</v>
      </c>
      <c r="AM67" s="5">
        <f ca="1">IF(MatchData[Moat Teleop Crossings]&gt;3,10, MatchData[Moat Teleop Crossings]*5)</f>
        <v>0</v>
      </c>
      <c r="AN67" s="5">
        <f ca="1">IF(MatchData[Ramparts Teleop Crossings]&gt;3,10, MatchData[Ramparts Teleop Crossings]*5)</f>
        <v>15</v>
      </c>
      <c r="AO67" s="5">
        <f ca="1">IF(MatchData[Drawbridge Teleop Crossings]&gt;3,10, MatchData[Drawbridge Teleop Crossings]*5)</f>
        <v>0</v>
      </c>
      <c r="AP67" s="5">
        <f ca="1">IF(MatchData[Sally Port Teleop Crossings]&gt;3,10, MatchData[Sally Port Teleop Crossings]*5)</f>
        <v>10</v>
      </c>
      <c r="AQ67" s="5">
        <f ca="1">IF(MatchData[Rock Wall Teleop Crossings]&gt;3,10, MatchData[Rock Wall Teleop Crossings]*5)</f>
        <v>0</v>
      </c>
      <c r="AR67" s="5">
        <f ca="1">IF(MatchData[Rough Terrain Teleop Crossings]&gt;3,10, MatchData[Rough Terrain Teleop Crossings]*5)</f>
        <v>0</v>
      </c>
      <c r="AS67" s="5">
        <f ca="1">IF(MatchData[Low Bar Teleop Crossings]&gt;3,10, MatchData[Low Bar Teleop Crossings]*5)</f>
        <v>10</v>
      </c>
      <c r="AT67" s="5">
        <f ca="1">SUM(MatchData[[#This Row],[Portcullis Teleop Crossings]:[Low Bar Teleop Crossings]])</f>
        <v>7</v>
      </c>
      <c r="AU67" s="5">
        <f ca="1">IF(RANDBETWEEN(1,4)&gt;1,1,0)</f>
        <v>1</v>
      </c>
      <c r="AV67" s="5">
        <f ca="1">IF(MatchData[[#This Row],[Challenge Flag]]=1,0,IF(MatchData[[#This Row],[Climber]]=1,RANDBETWEEN(0,1),0))</f>
        <v>0</v>
      </c>
      <c r="AW67" s="5">
        <f ca="1">IF(MatchData[[#This Row],[Crossing Score]]&gt;=40,1,0)</f>
        <v>0</v>
      </c>
      <c r="AX67" s="5"/>
      <c r="AY67" s="5">
        <f ca="1">IF(RANDBETWEEN(1,100)&gt;95,1,0)</f>
        <v>0</v>
      </c>
      <c r="AZ67" s="5">
        <f ca="1">IF(RANDBETWEEN(1,100)&gt;80,1,0)</f>
        <v>1</v>
      </c>
      <c r="BA67" s="5">
        <f ca="1">IF(OR(MatchData[[#This Row],[Challenge Flag]],MatchData[[#This Row],[Climb Flag]]),1,0)</f>
        <v>1</v>
      </c>
      <c r="BB67" s="5">
        <f ca="1">MatchData[Auto High Goals]*10+MatchData[Teleop High Goals]*5</f>
        <v>25</v>
      </c>
      <c r="BC67" s="5">
        <f ca="1">MatchData[Auto Low Goals]*5+MatchData[Teleop Low Goals]*2</f>
        <v>2</v>
      </c>
      <c r="BD67" s="5">
        <f ca="1">MatchData[High Goal Score]+MatchData[Low Goal Score]</f>
        <v>27</v>
      </c>
      <c r="BE67" s="5">
        <f ca="1">MatchData[Teleop High Goals]+MatchData[Teleop Low Goals]</f>
        <v>4</v>
      </c>
      <c r="BF67" s="5">
        <f ca="1">MatchData[[#This Row],[Auto Reach Flag]]*2+SUM(MatchData[[#This Row],[Portcullis Auto Crossings]:[Low Bar Auto Crossings]])*10+MatchData[[#This Row],[Auto Low Goals]]*5+MatchData[Auto High Goals]*10</f>
        <v>10</v>
      </c>
      <c r="BG67" s="5">
        <f ca="1">SUM(MatchData[[#This Row],[Cheval Scored Teleop Crossings]:[Low Bar Scored Teleop Crossings]])</f>
        <v>35</v>
      </c>
      <c r="BH67" s="5">
        <f ca="1">MatchData[Challenge Flag]*5</f>
        <v>5</v>
      </c>
      <c r="BI67" s="5">
        <f ca="1">MatchData[Climb Flag]*15</f>
        <v>0</v>
      </c>
      <c r="BJ67" s="5">
        <f ca="1">SUM(MatchData[[#This Row],[Total Goal Score]],MatchData[[#This Row],[Crossing Score]],MatchData[[#This Row],[Challenge Score]],MatchData[[#This Row],[Climb Score]],MatchData[[#This Row],[Total Auto Score]])</f>
        <v>77</v>
      </c>
      <c r="BK67">
        <v>4</v>
      </c>
      <c r="BL67" s="5">
        <f ca="1">IF(RANDBETWEEN(0,10)&gt;=9,RANDBETWEEN(1,9),0)</f>
        <v>0</v>
      </c>
      <c r="BM67" s="5">
        <f>VLOOKUP(MatchData[[#This Row],[Persona]],Personas!$A$2:$O$5,3)</f>
        <v>1</v>
      </c>
      <c r="BN67" s="13">
        <f>VLOOKUP(MatchData[[#This Row],[Persona]],Personas!$A$2:$P$5,4)</f>
        <v>4</v>
      </c>
      <c r="BO67" s="13">
        <f>VLOOKUP(MatchData[[#This Row],[Persona]],Personas!$A$2:$P$5,5)</f>
        <v>1</v>
      </c>
      <c r="BP67" s="13">
        <f>VLOOKUP(MatchData[[#This Row],[Persona]],Personas!$A$2:$P$5,6)</f>
        <v>4</v>
      </c>
      <c r="BQ67" s="13">
        <f>VLOOKUP(MatchData[[#This Row],[Persona]],Personas!$A$2:$P$5,7)</f>
        <v>3</v>
      </c>
      <c r="BR67" s="13">
        <f>VLOOKUP(MatchData[[#This Row],[Persona]],Personas!$A$2:$P$5,8)</f>
        <v>3</v>
      </c>
      <c r="BS67" s="13">
        <f>VLOOKUP(MatchData[[#This Row],[Persona]],Personas!$A$2:$P$5,9)</f>
        <v>4</v>
      </c>
      <c r="BT67" s="13">
        <f>VLOOKUP(MatchData[[#This Row],[Persona]],Personas!$A$2:$P$5,10)</f>
        <v>4</v>
      </c>
      <c r="BU67" s="13">
        <f>VLOOKUP(MatchData[[#This Row],[Persona]],Personas!$A$2:$P$5,11)</f>
        <v>3</v>
      </c>
      <c r="BV67" s="13">
        <f>VLOOKUP(MatchData[[#This Row],[Persona]],Personas!$A$2:$P$5,12)</f>
        <v>3</v>
      </c>
      <c r="BW67" s="13">
        <f>VLOOKUP(MatchData[[#This Row],[Persona]],Personas!$A$2:$P$5,13)</f>
        <v>4</v>
      </c>
      <c r="BX67" s="13">
        <f>VLOOKUP(MatchData[[#This Row],[Persona]],Personas!$A$2:$P$5,14)</f>
        <v>4</v>
      </c>
      <c r="BY67" s="13">
        <f>VLOOKUP(MatchData[[#This Row],[Persona]],Personas!$A$2:$P$5,15)</f>
        <v>5</v>
      </c>
      <c r="BZ67" s="13">
        <f>VLOOKUP(MatchData[[#This Row],[Persona]],Personas!$A$2:$P$5,16)</f>
        <v>0</v>
      </c>
      <c r="CA67" s="14">
        <f ca="1">ROUND(SUMIF(MatchData[Team],MatchData[[#This Row],[Team]],MatchData[Teleop Low Goals])/COUNTIF(MatchData[Team],MatchData[[#This Row],[Team]]),2)</f>
        <v>1.4</v>
      </c>
      <c r="CB67" s="14">
        <f ca="1">ROUND(SUMIF(MatchData[Team],MatchData[[#This Row],[Team]],MatchData[Teleop High Goals])/COUNTIF(MatchData[Team],MatchData[[#This Row],[Team]]),2)</f>
        <v>3</v>
      </c>
      <c r="CC67" s="14">
        <f>COUNTIF(MatchData[Team],MatchData[[#This Row],[Team]])</f>
        <v>5</v>
      </c>
      <c r="CD67" s="14">
        <f>SUMIF(MatchData[Team],MatchData[[#This Row],[Team]],MatchData[Portcullis Available])</f>
        <v>5</v>
      </c>
      <c r="CE67" s="14">
        <f>SUMIF(MatchData[Team],MatchData[[#This Row],[Team]],MatchData[Cheval Available])</f>
        <v>0</v>
      </c>
      <c r="CF67" s="14">
        <f>SUMIF(MatchData[Team],MatchData[[#This Row],[Team]],MatchData[Moat Available])</f>
        <v>0</v>
      </c>
      <c r="CG67" s="14">
        <f>SUMIF(MatchData[Team],MatchData[[#This Row],[Team]],MatchData[Ramparts Available])</f>
        <v>5</v>
      </c>
      <c r="CH67" s="14">
        <f>SUMIF(MatchData[Team],MatchData[[#This Row],[Team]],MatchData[Drawbridge Available])</f>
        <v>2</v>
      </c>
      <c r="CI67" s="14">
        <f>SUMIF(MatchData[Team],MatchData[[#This Row],[Team]],MatchData[Sally Port Available])</f>
        <v>3</v>
      </c>
      <c r="CJ67" s="14">
        <f>SUMIF(MatchData[Team],MatchData[[#This Row],[Team]],MatchData[Rock Wall Available])</f>
        <v>3</v>
      </c>
      <c r="CK67" s="14">
        <f>SUMIF(MatchData[Team],MatchData[[#This Row],[Team]],MatchData[Rough Terrain Available])</f>
        <v>2</v>
      </c>
      <c r="CL67" s="14">
        <f>SUMIF(MatchData[Team],MatchData[[#This Row],[Team]],MatchData[Low Bar Available])</f>
        <v>5</v>
      </c>
      <c r="CM67" s="14">
        <f ca="1">SUMIF(MatchData[Team],MatchData[[#This Row],[Team]],MatchData[Portcullis Teleop Crossings])</f>
        <v>0</v>
      </c>
      <c r="CN67" s="14">
        <f ca="1">SUMIF(MatchData[Team],MatchData[[#This Row],[Team]],MatchData[Cheval Teleop Crossings])</f>
        <v>0</v>
      </c>
      <c r="CO67" s="14">
        <f ca="1">SUMIF(MatchData[Team],MatchData[[#This Row],[Team]],MatchData[Moat Teleop Crossings])</f>
        <v>0</v>
      </c>
      <c r="CP67" s="14">
        <f ca="1">SUMIF(MatchData[Team],MatchData[[#This Row],[Team]],MatchData[Ramparts Teleop Crossings])</f>
        <v>11</v>
      </c>
      <c r="CQ67" s="14">
        <f ca="1">SUMIF(MatchData[Team],MatchData[[#This Row],[Team]],MatchData[Drawbridge Teleop Crossings])</f>
        <v>1</v>
      </c>
      <c r="CR67" s="14">
        <f ca="1">SUMIF(MatchData[Team],MatchData[[#This Row],[Team]],MatchData[Sally Port Teleop Crossings])</f>
        <v>5</v>
      </c>
      <c r="CS67" s="14">
        <f ca="1">SUMIF(MatchData[Team],MatchData[[#This Row],[Team]],MatchData[Rock Wall Teleop Crossings])</f>
        <v>3</v>
      </c>
      <c r="CT67" s="14">
        <f ca="1">SUMIF(MatchData[Team],MatchData[[#This Row],[Team]],MatchData[Rough Terrain Teleop Crossings])</f>
        <v>2</v>
      </c>
      <c r="CU67" s="14">
        <f ca="1">SUMIF(MatchData[Team],MatchData[[#This Row],[Team]],MatchData[Low Bar Teleop Crossings])</f>
        <v>16</v>
      </c>
      <c r="CV67" s="14">
        <f ca="1">IFERROR(ROUND(MatchData[[#This Row],[Portcullis Sum]]/MatchData[[#This Row],[Portcullis Avail Count]],2),0)</f>
        <v>0</v>
      </c>
      <c r="CW67">
        <f ca="1">IFERROR(ROUND(MatchData[[#This Row],[Cheval Sum]]/MatchData[[#This Row],[Cheval Avail Count]],2),0)</f>
        <v>0</v>
      </c>
      <c r="CX67">
        <f ca="1">IFERROR(ROUND(MatchData[[#This Row],[Moat Sum]]/MatchData[[#This Row],[Moat Avail Count]],2),0)</f>
        <v>0</v>
      </c>
      <c r="CY67">
        <f ca="1">IFERROR(ROUND(MatchData[[#This Row],[Ramparts Sum]]/MatchData[[#This Row],[Ramparts Avail Count]],2),0)</f>
        <v>2.2000000000000002</v>
      </c>
      <c r="CZ67">
        <f ca="1">IFERROR(ROUND(MatchData[[#This Row],[Drawbridge Sum]]/MatchData[[#This Row],[Drawbridge HAvail Countigh6]],2),0)</f>
        <v>0.5</v>
      </c>
      <c r="DA67">
        <f ca="1">IFERROR(ROUND(MatchData[[#This Row],[Sally Port Sum]]/MatchData[[#This Row],[Sally Port Avail Count]],2),0)</f>
        <v>1.67</v>
      </c>
      <c r="DB67">
        <f ca="1">IFERROR(ROUND(MatchData[[#This Row],[Rock Wall Sum]]/MatchData[[#This Row],[Rock Wall Avail Count]],2),0)</f>
        <v>1</v>
      </c>
      <c r="DC67">
        <f ca="1">IFERROR(ROUND(MatchData[[#This Row],[Rough Terrain Sum]]/MatchData[[#This Row],[Rough Terrain Avail Count]],2),0)</f>
        <v>1</v>
      </c>
      <c r="DD67">
        <f ca="1">IFERROR(ROUND(MatchData[[#This Row],[Low Bar Sum]]/MatchData[[#This Row],[Low Bar Avail Count]],2),0)</f>
        <v>3.2</v>
      </c>
      <c r="DE67" s="14">
        <f t="array" aca="1" ref="DE67" ca="1">MAX(IF(C$4:C$75=C67,BE$4:BE$75))</f>
        <v>6</v>
      </c>
      <c r="DF67" s="14">
        <f ca="1">AVERAGEIF(MatchData[Team],MatchData[Team],MatchData[Total Score])</f>
        <v>64.599999999999994</v>
      </c>
      <c r="DG67" s="14">
        <f ca="1">ROUND(AVERAGEIF(MatchData[Team],MatchData[Team],MatchData[Climb or Challenge Flag]),2)</f>
        <v>0.8</v>
      </c>
    </row>
    <row r="68" spans="1:111">
      <c r="A68" t="s">
        <v>54</v>
      </c>
      <c r="B68" s="4">
        <v>9</v>
      </c>
      <c r="C68">
        <v>1013</v>
      </c>
      <c r="D68" t="s">
        <v>56</v>
      </c>
      <c r="E68" t="s">
        <v>60</v>
      </c>
      <c r="F68">
        <f ca="1">IF(MatchData[[#This Row],[Persona]] = 4,RANDBETWEEN(0,1),0)</f>
        <v>1</v>
      </c>
      <c r="G68">
        <f ca="1">IF(MatchData[[#This Row],[Persona]] = 3,RANDBETWEEN(0,1),0)</f>
        <v>0</v>
      </c>
      <c r="H68">
        <f ca="1">RANDBETWEEN(MatchData[[#This Row],[High Goal Low]],MatchData[[#This Row],[High Goal High]])</f>
        <v>3</v>
      </c>
      <c r="I68">
        <f ca="1">RANDBETWEEN(MatchData[[#This Row],[Low Goal Low]],MatchData[[#This Row],[Low Goal High]])</f>
        <v>2</v>
      </c>
      <c r="J68" s="6">
        <v>1</v>
      </c>
      <c r="K68" s="6"/>
      <c r="L68" s="6"/>
      <c r="M68" s="6">
        <v>1</v>
      </c>
      <c r="N68" s="6">
        <v>1</v>
      </c>
      <c r="O68" s="6"/>
      <c r="P68" s="6"/>
      <c r="Q68" s="5">
        <v>1</v>
      </c>
      <c r="R68" s="5">
        <v>1</v>
      </c>
      <c r="S68" s="5">
        <f ca="1">IF(MatchData[[#This Row],[Auto Crossing Test Generator]]=0,RANDBETWEEN(0,1),0)</f>
        <v>1</v>
      </c>
      <c r="T68" s="5">
        <f ca="1">IF(MatchData[Auto Crossing Test Generator]=1,1,0)</f>
        <v>0</v>
      </c>
      <c r="U68" s="5">
        <f ca="1">IF(MatchData[[#This Row],[Auto Crossing Test Generator]]=2,RANDBETWEEN(0,1),0)</f>
        <v>0</v>
      </c>
      <c r="V68" s="5">
        <f ca="1">IF(MatchData[[#This Row],[Auto Crossing Test Generator]]=3,RANDBETWEEN(0,1),0)</f>
        <v>0</v>
      </c>
      <c r="W68" s="5">
        <f ca="1">IF(MatchData[[#This Row],[Auto Crossing Test Generator]]=4,RANDBETWEEN(0,1),0)</f>
        <v>0</v>
      </c>
      <c r="X68" s="5">
        <f ca="1">IF(MatchData[[#This Row],[Auto Crossing Test Generator]]=5,RANDBETWEEN(0,1),0)</f>
        <v>0</v>
      </c>
      <c r="Y68" s="5">
        <f ca="1">IF(MatchData[[#This Row],[Auto Crossing Test Generator]]=6,RANDBETWEEN(0,1),0)</f>
        <v>0</v>
      </c>
      <c r="Z68" s="5">
        <f ca="1">IF(MatchData[[#This Row],[Auto Crossing Test Generator]]=7,RANDBETWEEN(0,1),0)</f>
        <v>0</v>
      </c>
      <c r="AA68" s="5">
        <f ca="1">IF(MatchData[[#This Row],[Auto Crossing Test Generator]]=8,RANDBETWEEN(0,1),0)</f>
        <v>0</v>
      </c>
      <c r="AB68" s="5">
        <f ca="1">IF(MatchData[[#This Row],[Auto Crossing Test Generator]]&gt;8,RANDBETWEEN(0,1),0)</f>
        <v>0</v>
      </c>
      <c r="AC68" s="5">
        <f ca="1">IF(MatchData[[#This Row],[Auto Crossing Test Generator]]=9,RANDBETWEEN(0,1),0)</f>
        <v>0</v>
      </c>
      <c r="AD68" s="5">
        <f ca="1">IF(MatchData[[#This Row],[Cheval Available]]=1,RANDBETWEEN(0,MatchData[[#This Row],[Cheval High]]),0)</f>
        <v>0</v>
      </c>
      <c r="AE68" s="5">
        <f ca="1">IF(MatchData[[#This Row],[Moat Available]]=1,RANDBETWEEN(0,MatchData[[#This Row],[Moat High]]),0)</f>
        <v>0</v>
      </c>
      <c r="AF68" s="5">
        <f ca="1">IF(MatchData[[#This Row],[Ramparts Available]]=1,RANDBETWEEN(0,MatchData[[#This Row],[Ramparts High]]),0)</f>
        <v>0</v>
      </c>
      <c r="AG68" s="5">
        <f ca="1">IF(MatchData[[#This Row],[Drawbridge Available]]=1,RANDBETWEEN(0,MatchData[[#This Row],[Drawbridge High]]),0)</f>
        <v>0</v>
      </c>
      <c r="AH68" s="5">
        <f ca="1">IF(MatchData[[#This Row],[Sally Port Available]]=1,RANDBETWEEN(0,MatchData[[#This Row],[Sally Port High]]),0)</f>
        <v>0</v>
      </c>
      <c r="AI68" s="5">
        <f ca="1">IF(MatchData[[#This Row],[Rock Wall Available]]=1,RANDBETWEEN(0,MatchData[[#This Row],[Rock Wall High]]),0)</f>
        <v>0</v>
      </c>
      <c r="AJ68" s="5">
        <f ca="1">IF(MatchData[[#This Row],[Rough Terrain Available]]=1,RANDBETWEEN(0,MatchData[[#This Row],[Rough Terrain High]]),0)</f>
        <v>1</v>
      </c>
      <c r="AK68" s="5">
        <f ca="1">IF(MatchData[[#This Row],[Low Bar Available]]=1,RANDBETWEEN(0,MatchData[[#This Row],[Low Bar High]]),0)</f>
        <v>5</v>
      </c>
      <c r="AL68" s="5">
        <f ca="1">IF(MatchData[Cheval Teleop Crossings]&gt;3,10, MatchData[Cheval Teleop Crossings]*5)</f>
        <v>0</v>
      </c>
      <c r="AM68" s="5">
        <f ca="1">IF(MatchData[Moat Teleop Crossings]&gt;3,10, MatchData[Moat Teleop Crossings]*5)</f>
        <v>0</v>
      </c>
      <c r="AN68" s="5">
        <f ca="1">IF(MatchData[Ramparts Teleop Crossings]&gt;3,10, MatchData[Ramparts Teleop Crossings]*5)</f>
        <v>0</v>
      </c>
      <c r="AO68" s="5">
        <f ca="1">IF(MatchData[Drawbridge Teleop Crossings]&gt;3,10, MatchData[Drawbridge Teleop Crossings]*5)</f>
        <v>0</v>
      </c>
      <c r="AP68" s="5">
        <f ca="1">IF(MatchData[Sally Port Teleop Crossings]&gt;3,10, MatchData[Sally Port Teleop Crossings]*5)</f>
        <v>0</v>
      </c>
      <c r="AQ68" s="5">
        <f ca="1">IF(MatchData[Rock Wall Teleop Crossings]&gt;3,10, MatchData[Rock Wall Teleop Crossings]*5)</f>
        <v>0</v>
      </c>
      <c r="AR68" s="5">
        <f ca="1">IF(MatchData[Rough Terrain Teleop Crossings]&gt;3,10, MatchData[Rough Terrain Teleop Crossings]*5)</f>
        <v>5</v>
      </c>
      <c r="AS68" s="5">
        <f ca="1">IF(MatchData[Low Bar Teleop Crossings]&gt;3,10, MatchData[Low Bar Teleop Crossings]*5)</f>
        <v>10</v>
      </c>
      <c r="AT68" s="5">
        <f ca="1">SUM(MatchData[[#This Row],[Portcullis Teleop Crossings]:[Low Bar Teleop Crossings]])</f>
        <v>6</v>
      </c>
      <c r="AU68" s="5">
        <f ca="1">IF(RANDBETWEEN(1,4)&gt;1,1,0)</f>
        <v>0</v>
      </c>
      <c r="AV68" s="5">
        <f ca="1">IF(MatchData[[#This Row],[Challenge Flag]]=1,0,IF(MatchData[[#This Row],[Climber]]=1,RANDBETWEEN(0,1),0))</f>
        <v>0</v>
      </c>
      <c r="AW68" s="5">
        <f ca="1">IF(MatchData[[#This Row],[Crossing Score]]&gt;=40,1,0)</f>
        <v>0</v>
      </c>
      <c r="AX68" s="5"/>
      <c r="AY68" s="5">
        <f ca="1">IF(RANDBETWEEN(1,100)&gt;95,1,0)</f>
        <v>0</v>
      </c>
      <c r="AZ68" s="5">
        <f ca="1">IF(RANDBETWEEN(1,100)&gt;80,1,0)</f>
        <v>1</v>
      </c>
      <c r="BA68" s="5">
        <f ca="1">IF(OR(MatchData[[#This Row],[Challenge Flag]],MatchData[[#This Row],[Climb Flag]]),1,0)</f>
        <v>0</v>
      </c>
      <c r="BB68" s="5">
        <f ca="1">MatchData[Auto High Goals]*10+MatchData[Teleop High Goals]*5</f>
        <v>25</v>
      </c>
      <c r="BC68" s="5">
        <f ca="1">MatchData[Auto Low Goals]*5+MatchData[Teleop Low Goals]*2</f>
        <v>4</v>
      </c>
      <c r="BD68" s="5">
        <f ca="1">MatchData[High Goal Score]+MatchData[Low Goal Score]</f>
        <v>29</v>
      </c>
      <c r="BE68" s="5">
        <f ca="1">MatchData[Teleop High Goals]+MatchData[Teleop Low Goals]</f>
        <v>5</v>
      </c>
      <c r="BF68" s="5">
        <f ca="1">MatchData[[#This Row],[Auto Reach Flag]]*2+SUM(MatchData[[#This Row],[Portcullis Auto Crossings]:[Low Bar Auto Crossings]])*10+MatchData[[#This Row],[Auto Low Goals]]*5+MatchData[Auto High Goals]*10</f>
        <v>12</v>
      </c>
      <c r="BG68" s="5">
        <f ca="1">SUM(MatchData[[#This Row],[Cheval Scored Teleop Crossings]:[Low Bar Scored Teleop Crossings]])</f>
        <v>15</v>
      </c>
      <c r="BH68" s="5">
        <f ca="1">MatchData[Challenge Flag]*5</f>
        <v>0</v>
      </c>
      <c r="BI68" s="5">
        <f ca="1">MatchData[Climb Flag]*15</f>
        <v>0</v>
      </c>
      <c r="BJ68" s="5">
        <f ca="1">SUM(MatchData[[#This Row],[Total Goal Score]],MatchData[[#This Row],[Crossing Score]],MatchData[[#This Row],[Challenge Score]],MatchData[[#This Row],[Climb Score]],MatchData[[#This Row],[Total Auto Score]])</f>
        <v>56</v>
      </c>
      <c r="BK68">
        <v>4</v>
      </c>
      <c r="BL68" s="5">
        <f ca="1">IF(RANDBETWEEN(0,10)&gt;=9,RANDBETWEEN(1,9),0)</f>
        <v>0</v>
      </c>
      <c r="BM68" s="5">
        <f>VLOOKUP(MatchData[[#This Row],[Persona]],Personas!$A$2:$O$5,3)</f>
        <v>1</v>
      </c>
      <c r="BN68" s="13">
        <f>VLOOKUP(MatchData[[#This Row],[Persona]],Personas!$A$2:$P$5,4)</f>
        <v>4</v>
      </c>
      <c r="BO68" s="13">
        <f>VLOOKUP(MatchData[[#This Row],[Persona]],Personas!$A$2:$P$5,5)</f>
        <v>1</v>
      </c>
      <c r="BP68" s="13">
        <f>VLOOKUP(MatchData[[#This Row],[Persona]],Personas!$A$2:$P$5,6)</f>
        <v>4</v>
      </c>
      <c r="BQ68" s="13">
        <f>VLOOKUP(MatchData[[#This Row],[Persona]],Personas!$A$2:$P$5,7)</f>
        <v>3</v>
      </c>
      <c r="BR68" s="13">
        <f>VLOOKUP(MatchData[[#This Row],[Persona]],Personas!$A$2:$P$5,8)</f>
        <v>3</v>
      </c>
      <c r="BS68" s="13">
        <f>VLOOKUP(MatchData[[#This Row],[Persona]],Personas!$A$2:$P$5,9)</f>
        <v>4</v>
      </c>
      <c r="BT68" s="13">
        <f>VLOOKUP(MatchData[[#This Row],[Persona]],Personas!$A$2:$P$5,10)</f>
        <v>4</v>
      </c>
      <c r="BU68" s="13">
        <f>VLOOKUP(MatchData[[#This Row],[Persona]],Personas!$A$2:$P$5,11)</f>
        <v>3</v>
      </c>
      <c r="BV68" s="13">
        <f>VLOOKUP(MatchData[[#This Row],[Persona]],Personas!$A$2:$P$5,12)</f>
        <v>3</v>
      </c>
      <c r="BW68" s="13">
        <f>VLOOKUP(MatchData[[#This Row],[Persona]],Personas!$A$2:$P$5,13)</f>
        <v>4</v>
      </c>
      <c r="BX68" s="13">
        <f>VLOOKUP(MatchData[[#This Row],[Persona]],Personas!$A$2:$P$5,14)</f>
        <v>4</v>
      </c>
      <c r="BY68" s="13">
        <f>VLOOKUP(MatchData[[#This Row],[Persona]],Personas!$A$2:$P$5,15)</f>
        <v>5</v>
      </c>
      <c r="BZ68" s="13">
        <f>VLOOKUP(MatchData[[#This Row],[Persona]],Personas!$A$2:$P$5,16)</f>
        <v>0</v>
      </c>
      <c r="CA68" s="14">
        <f ca="1">ROUND(SUMIF(MatchData[Team],MatchData[[#This Row],[Team]],MatchData[Teleop Low Goals])/COUNTIF(MatchData[Team],MatchData[[#This Row],[Team]]),2)</f>
        <v>1.4</v>
      </c>
      <c r="CB68" s="14">
        <f ca="1">ROUND(SUMIF(MatchData[Team],MatchData[[#This Row],[Team]],MatchData[Teleop High Goals])/COUNTIF(MatchData[Team],MatchData[[#This Row],[Team]]),2)</f>
        <v>3</v>
      </c>
      <c r="CC68" s="14">
        <f>COUNTIF(MatchData[Team],MatchData[[#This Row],[Team]])</f>
        <v>5</v>
      </c>
      <c r="CD68" s="14">
        <f>SUMIF(MatchData[Team],MatchData[[#This Row],[Team]],MatchData[Portcullis Available])</f>
        <v>5</v>
      </c>
      <c r="CE68" s="14">
        <f>SUMIF(MatchData[Team],MatchData[[#This Row],[Team]],MatchData[Cheval Available])</f>
        <v>0</v>
      </c>
      <c r="CF68" s="14">
        <f>SUMIF(MatchData[Team],MatchData[[#This Row],[Team]],MatchData[Moat Available])</f>
        <v>0</v>
      </c>
      <c r="CG68" s="14">
        <f>SUMIF(MatchData[Team],MatchData[[#This Row],[Team]],MatchData[Ramparts Available])</f>
        <v>5</v>
      </c>
      <c r="CH68" s="14">
        <f>SUMIF(MatchData[Team],MatchData[[#This Row],[Team]],MatchData[Drawbridge Available])</f>
        <v>2</v>
      </c>
      <c r="CI68" s="14">
        <f>SUMIF(MatchData[Team],MatchData[[#This Row],[Team]],MatchData[Sally Port Available])</f>
        <v>3</v>
      </c>
      <c r="CJ68" s="14">
        <f>SUMIF(MatchData[Team],MatchData[[#This Row],[Team]],MatchData[Rock Wall Available])</f>
        <v>3</v>
      </c>
      <c r="CK68" s="14">
        <f>SUMIF(MatchData[Team],MatchData[[#This Row],[Team]],MatchData[Rough Terrain Available])</f>
        <v>2</v>
      </c>
      <c r="CL68" s="14">
        <f>SUMIF(MatchData[Team],MatchData[[#This Row],[Team]],MatchData[Low Bar Available])</f>
        <v>5</v>
      </c>
      <c r="CM68" s="14">
        <f ca="1">SUMIF(MatchData[Team],MatchData[[#This Row],[Team]],MatchData[Portcullis Teleop Crossings])</f>
        <v>0</v>
      </c>
      <c r="CN68" s="14">
        <f ca="1">SUMIF(MatchData[Team],MatchData[[#This Row],[Team]],MatchData[Cheval Teleop Crossings])</f>
        <v>0</v>
      </c>
      <c r="CO68" s="14">
        <f ca="1">SUMIF(MatchData[Team],MatchData[[#This Row],[Team]],MatchData[Moat Teleop Crossings])</f>
        <v>0</v>
      </c>
      <c r="CP68" s="14">
        <f ca="1">SUMIF(MatchData[Team],MatchData[[#This Row],[Team]],MatchData[Ramparts Teleop Crossings])</f>
        <v>11</v>
      </c>
      <c r="CQ68" s="14">
        <f ca="1">SUMIF(MatchData[Team],MatchData[[#This Row],[Team]],MatchData[Drawbridge Teleop Crossings])</f>
        <v>1</v>
      </c>
      <c r="CR68" s="14">
        <f ca="1">SUMIF(MatchData[Team],MatchData[[#This Row],[Team]],MatchData[Sally Port Teleop Crossings])</f>
        <v>5</v>
      </c>
      <c r="CS68" s="14">
        <f ca="1">SUMIF(MatchData[Team],MatchData[[#This Row],[Team]],MatchData[Rock Wall Teleop Crossings])</f>
        <v>3</v>
      </c>
      <c r="CT68" s="14">
        <f ca="1">SUMIF(MatchData[Team],MatchData[[#This Row],[Team]],MatchData[Rough Terrain Teleop Crossings])</f>
        <v>2</v>
      </c>
      <c r="CU68" s="14">
        <f ca="1">SUMIF(MatchData[Team],MatchData[[#This Row],[Team]],MatchData[Low Bar Teleop Crossings])</f>
        <v>16</v>
      </c>
      <c r="CV68" s="14">
        <f ca="1">IFERROR(ROUND(MatchData[[#This Row],[Portcullis Sum]]/MatchData[[#This Row],[Portcullis Avail Count]],2),0)</f>
        <v>0</v>
      </c>
      <c r="CW68">
        <f ca="1">IFERROR(ROUND(MatchData[[#This Row],[Cheval Sum]]/MatchData[[#This Row],[Cheval Avail Count]],2),0)</f>
        <v>0</v>
      </c>
      <c r="CX68">
        <f ca="1">IFERROR(ROUND(MatchData[[#This Row],[Moat Sum]]/MatchData[[#This Row],[Moat Avail Count]],2),0)</f>
        <v>0</v>
      </c>
      <c r="CY68">
        <f ca="1">IFERROR(ROUND(MatchData[[#This Row],[Ramparts Sum]]/MatchData[[#This Row],[Ramparts Avail Count]],2),0)</f>
        <v>2.2000000000000002</v>
      </c>
      <c r="CZ68">
        <f ca="1">IFERROR(ROUND(MatchData[[#This Row],[Drawbridge Sum]]/MatchData[[#This Row],[Drawbridge HAvail Countigh6]],2),0)</f>
        <v>0.5</v>
      </c>
      <c r="DA68">
        <f ca="1">IFERROR(ROUND(MatchData[[#This Row],[Sally Port Sum]]/MatchData[[#This Row],[Sally Port Avail Count]],2),0)</f>
        <v>1.67</v>
      </c>
      <c r="DB68">
        <f ca="1">IFERROR(ROUND(MatchData[[#This Row],[Rock Wall Sum]]/MatchData[[#This Row],[Rock Wall Avail Count]],2),0)</f>
        <v>1</v>
      </c>
      <c r="DC68">
        <f ca="1">IFERROR(ROUND(MatchData[[#This Row],[Rough Terrain Sum]]/MatchData[[#This Row],[Rough Terrain Avail Count]],2),0)</f>
        <v>1</v>
      </c>
      <c r="DD68">
        <f ca="1">IFERROR(ROUND(MatchData[[#This Row],[Low Bar Sum]]/MatchData[[#This Row],[Low Bar Avail Count]],2),0)</f>
        <v>3.2</v>
      </c>
      <c r="DE68" s="14">
        <f t="array" aca="1" ref="DE68" ca="1">MAX(IF(C$4:C$75=C68,BE$4:BE$75))</f>
        <v>6</v>
      </c>
      <c r="DF68" s="14">
        <f ca="1">AVERAGEIF(MatchData[Team],MatchData[Team],MatchData[Total Score])</f>
        <v>64.599999999999994</v>
      </c>
      <c r="DG68" s="14">
        <f ca="1">ROUND(AVERAGEIF(MatchData[Team],MatchData[Team],MatchData[Climb or Challenge Flag]),2)</f>
        <v>0.8</v>
      </c>
    </row>
    <row r="69" spans="1:111">
      <c r="A69" t="s">
        <v>54</v>
      </c>
      <c r="B69" s="4">
        <v>11</v>
      </c>
      <c r="C69">
        <v>1013</v>
      </c>
      <c r="D69" t="s">
        <v>56</v>
      </c>
      <c r="E69" t="s">
        <v>57</v>
      </c>
      <c r="F69">
        <f ca="1">IF(MatchData[[#This Row],[Persona]] = 4,RANDBETWEEN(0,1),0)</f>
        <v>1</v>
      </c>
      <c r="G69">
        <f ca="1">IF(MatchData[[#This Row],[Persona]] = 3,RANDBETWEEN(0,1),0)</f>
        <v>0</v>
      </c>
      <c r="H69">
        <f ca="1">RANDBETWEEN(MatchData[[#This Row],[High Goal Low]],MatchData[[#This Row],[High Goal High]])</f>
        <v>2</v>
      </c>
      <c r="I69">
        <f ca="1">RANDBETWEEN(MatchData[[#This Row],[Low Goal Low]],MatchData[[#This Row],[Low Goal High]])</f>
        <v>1</v>
      </c>
      <c r="J69" s="6">
        <v>1</v>
      </c>
      <c r="K69" s="6"/>
      <c r="L69" s="6"/>
      <c r="M69" s="6">
        <v>1</v>
      </c>
      <c r="N69" s="6"/>
      <c r="O69" s="6">
        <v>1</v>
      </c>
      <c r="P69" s="6">
        <v>1</v>
      </c>
      <c r="Q69" s="5"/>
      <c r="R69" s="5">
        <v>1</v>
      </c>
      <c r="S69" s="5">
        <f ca="1">IF(MatchData[[#This Row],[Auto Crossing Test Generator]]=0,RANDBETWEEN(0,1),0)</f>
        <v>0</v>
      </c>
      <c r="T69" s="5">
        <f ca="1">IF(MatchData[Auto Crossing Test Generator]=1,1,0)</f>
        <v>0</v>
      </c>
      <c r="U69" s="5">
        <f ca="1">IF(MatchData[[#This Row],[Auto Crossing Test Generator]]=2,RANDBETWEEN(0,1),0)</f>
        <v>0</v>
      </c>
      <c r="V69" s="5">
        <f ca="1">IF(MatchData[[#This Row],[Auto Crossing Test Generator]]=3,RANDBETWEEN(0,1),0)</f>
        <v>0</v>
      </c>
      <c r="W69" s="5">
        <f ca="1">IF(MatchData[[#This Row],[Auto Crossing Test Generator]]=4,RANDBETWEEN(0,1),0)</f>
        <v>0</v>
      </c>
      <c r="X69" s="5">
        <f ca="1">IF(MatchData[[#This Row],[Auto Crossing Test Generator]]=5,RANDBETWEEN(0,1),0)</f>
        <v>0</v>
      </c>
      <c r="Y69" s="5">
        <f ca="1">IF(MatchData[[#This Row],[Auto Crossing Test Generator]]=6,RANDBETWEEN(0,1),0)</f>
        <v>0</v>
      </c>
      <c r="Z69" s="5">
        <f ca="1">IF(MatchData[[#This Row],[Auto Crossing Test Generator]]=7,RANDBETWEEN(0,1),0)</f>
        <v>0</v>
      </c>
      <c r="AA69" s="5">
        <f ca="1">IF(MatchData[[#This Row],[Auto Crossing Test Generator]]=8,RANDBETWEEN(0,1),0)</f>
        <v>0</v>
      </c>
      <c r="AB69" s="5">
        <f ca="1">IF(MatchData[[#This Row],[Auto Crossing Test Generator]]&gt;8,RANDBETWEEN(0,1),0)</f>
        <v>0</v>
      </c>
      <c r="AC69" s="5">
        <f ca="1">IF(MatchData[[#This Row],[Auto Crossing Test Generator]]=9,RANDBETWEEN(0,1),0)</f>
        <v>0</v>
      </c>
      <c r="AD69" s="5">
        <f ca="1">IF(MatchData[[#This Row],[Cheval Available]]=1,RANDBETWEEN(0,MatchData[[#This Row],[Cheval High]]),0)</f>
        <v>0</v>
      </c>
      <c r="AE69" s="5">
        <f ca="1">IF(MatchData[[#This Row],[Moat Available]]=1,RANDBETWEEN(0,MatchData[[#This Row],[Moat High]]),0)</f>
        <v>0</v>
      </c>
      <c r="AF69" s="5">
        <f ca="1">IF(MatchData[[#This Row],[Ramparts Available]]=1,RANDBETWEEN(0,MatchData[[#This Row],[Ramparts High]]),0)</f>
        <v>4</v>
      </c>
      <c r="AG69" s="5">
        <f ca="1">IF(MatchData[[#This Row],[Drawbridge Available]]=1,RANDBETWEEN(0,MatchData[[#This Row],[Drawbridge High]]),0)</f>
        <v>0</v>
      </c>
      <c r="AH69" s="5">
        <f ca="1">IF(MatchData[[#This Row],[Sally Port Available]]=1,RANDBETWEEN(0,MatchData[[#This Row],[Sally Port High]]),0)</f>
        <v>2</v>
      </c>
      <c r="AI69" s="5">
        <f ca="1">IF(MatchData[[#This Row],[Rock Wall Available]]=1,RANDBETWEEN(0,MatchData[[#This Row],[Rock Wall High]]),0)</f>
        <v>0</v>
      </c>
      <c r="AJ69" s="5">
        <f ca="1">IF(MatchData[[#This Row],[Rough Terrain Available]]=1,RANDBETWEEN(0,MatchData[[#This Row],[Rough Terrain High]]),0)</f>
        <v>0</v>
      </c>
      <c r="AK69" s="5">
        <f ca="1">IF(MatchData[[#This Row],[Low Bar Available]]=1,RANDBETWEEN(0,MatchData[[#This Row],[Low Bar High]]),0)</f>
        <v>5</v>
      </c>
      <c r="AL69" s="5">
        <f ca="1">IF(MatchData[Cheval Teleop Crossings]&gt;3,10, MatchData[Cheval Teleop Crossings]*5)</f>
        <v>0</v>
      </c>
      <c r="AM69" s="5">
        <f ca="1">IF(MatchData[Moat Teleop Crossings]&gt;3,10, MatchData[Moat Teleop Crossings]*5)</f>
        <v>0</v>
      </c>
      <c r="AN69" s="5">
        <f ca="1">IF(MatchData[Ramparts Teleop Crossings]&gt;3,10, MatchData[Ramparts Teleop Crossings]*5)</f>
        <v>10</v>
      </c>
      <c r="AO69" s="5">
        <f ca="1">IF(MatchData[Drawbridge Teleop Crossings]&gt;3,10, MatchData[Drawbridge Teleop Crossings]*5)</f>
        <v>0</v>
      </c>
      <c r="AP69" s="5">
        <f ca="1">IF(MatchData[Sally Port Teleop Crossings]&gt;3,10, MatchData[Sally Port Teleop Crossings]*5)</f>
        <v>10</v>
      </c>
      <c r="AQ69" s="5">
        <f ca="1">IF(MatchData[Rock Wall Teleop Crossings]&gt;3,10, MatchData[Rock Wall Teleop Crossings]*5)</f>
        <v>0</v>
      </c>
      <c r="AR69" s="5">
        <f ca="1">IF(MatchData[Rough Terrain Teleop Crossings]&gt;3,10, MatchData[Rough Terrain Teleop Crossings]*5)</f>
        <v>0</v>
      </c>
      <c r="AS69" s="5">
        <f ca="1">IF(MatchData[Low Bar Teleop Crossings]&gt;3,10, MatchData[Low Bar Teleop Crossings]*5)</f>
        <v>10</v>
      </c>
      <c r="AT69" s="5">
        <f ca="1">SUM(MatchData[[#This Row],[Portcullis Teleop Crossings]:[Low Bar Teleop Crossings]])</f>
        <v>11</v>
      </c>
      <c r="AU69" s="5">
        <f ca="1">IF(RANDBETWEEN(1,4)&gt;1,1,0)</f>
        <v>1</v>
      </c>
      <c r="AV69" s="5">
        <f ca="1">IF(MatchData[[#This Row],[Challenge Flag]]=1,0,IF(MatchData[[#This Row],[Climber]]=1,RANDBETWEEN(0,1),0))</f>
        <v>0</v>
      </c>
      <c r="AW69" s="5">
        <f ca="1">IF(MatchData[[#This Row],[Crossing Score]]&gt;=40,1,0)</f>
        <v>0</v>
      </c>
      <c r="AX69" s="5"/>
      <c r="AY69" s="5">
        <f ca="1">IF(RANDBETWEEN(1,100)&gt;95,1,0)</f>
        <v>0</v>
      </c>
      <c r="AZ69" s="5">
        <f ca="1">IF(RANDBETWEEN(1,100)&gt;80,1,0)</f>
        <v>0</v>
      </c>
      <c r="BA69" s="5">
        <f ca="1">IF(OR(MatchData[[#This Row],[Challenge Flag]],MatchData[[#This Row],[Climb Flag]]),1,0)</f>
        <v>1</v>
      </c>
      <c r="BB69" s="5">
        <f ca="1">MatchData[Auto High Goals]*10+MatchData[Teleop High Goals]*5</f>
        <v>20</v>
      </c>
      <c r="BC69" s="5">
        <f ca="1">MatchData[Auto Low Goals]*5+MatchData[Teleop Low Goals]*2</f>
        <v>2</v>
      </c>
      <c r="BD69" s="5">
        <f ca="1">MatchData[High Goal Score]+MatchData[Low Goal Score]</f>
        <v>22</v>
      </c>
      <c r="BE69" s="5">
        <f ca="1">MatchData[Teleop High Goals]+MatchData[Teleop Low Goals]</f>
        <v>3</v>
      </c>
      <c r="BF69" s="5">
        <f ca="1">MatchData[[#This Row],[Auto Reach Flag]]*2+SUM(MatchData[[#This Row],[Portcullis Auto Crossings]:[Low Bar Auto Crossings]])*10+MatchData[[#This Row],[Auto Low Goals]]*5+MatchData[Auto High Goals]*10</f>
        <v>10</v>
      </c>
      <c r="BG69" s="5">
        <f ca="1">SUM(MatchData[[#This Row],[Cheval Scored Teleop Crossings]:[Low Bar Scored Teleop Crossings]])</f>
        <v>30</v>
      </c>
      <c r="BH69" s="5">
        <f ca="1">MatchData[Challenge Flag]*5</f>
        <v>5</v>
      </c>
      <c r="BI69" s="5">
        <f ca="1">MatchData[Climb Flag]*15</f>
        <v>0</v>
      </c>
      <c r="BJ69" s="5">
        <f ca="1">SUM(MatchData[[#This Row],[Total Goal Score]],MatchData[[#This Row],[Crossing Score]],MatchData[[#This Row],[Challenge Score]],MatchData[[#This Row],[Climb Score]],MatchData[[#This Row],[Total Auto Score]])</f>
        <v>67</v>
      </c>
      <c r="BK69">
        <v>4</v>
      </c>
      <c r="BL69" s="5">
        <f ca="1">IF(RANDBETWEEN(0,10)&gt;=9,RANDBETWEEN(1,9),0)</f>
        <v>0</v>
      </c>
      <c r="BM69" s="5">
        <f>VLOOKUP(MatchData[[#This Row],[Persona]],Personas!$A$2:$O$5,3)</f>
        <v>1</v>
      </c>
      <c r="BN69" s="13">
        <f>VLOOKUP(MatchData[[#This Row],[Persona]],Personas!$A$2:$P$5,4)</f>
        <v>4</v>
      </c>
      <c r="BO69" s="13">
        <f>VLOOKUP(MatchData[[#This Row],[Persona]],Personas!$A$2:$P$5,5)</f>
        <v>1</v>
      </c>
      <c r="BP69" s="13">
        <f>VLOOKUP(MatchData[[#This Row],[Persona]],Personas!$A$2:$P$5,6)</f>
        <v>4</v>
      </c>
      <c r="BQ69" s="13">
        <f>VLOOKUP(MatchData[[#This Row],[Persona]],Personas!$A$2:$P$5,7)</f>
        <v>3</v>
      </c>
      <c r="BR69" s="13">
        <f>VLOOKUP(MatchData[[#This Row],[Persona]],Personas!$A$2:$P$5,8)</f>
        <v>3</v>
      </c>
      <c r="BS69" s="13">
        <f>VLOOKUP(MatchData[[#This Row],[Persona]],Personas!$A$2:$P$5,9)</f>
        <v>4</v>
      </c>
      <c r="BT69" s="13">
        <f>VLOOKUP(MatchData[[#This Row],[Persona]],Personas!$A$2:$P$5,10)</f>
        <v>4</v>
      </c>
      <c r="BU69" s="13">
        <f>VLOOKUP(MatchData[[#This Row],[Persona]],Personas!$A$2:$P$5,11)</f>
        <v>3</v>
      </c>
      <c r="BV69" s="13">
        <f>VLOOKUP(MatchData[[#This Row],[Persona]],Personas!$A$2:$P$5,12)</f>
        <v>3</v>
      </c>
      <c r="BW69" s="13">
        <f>VLOOKUP(MatchData[[#This Row],[Persona]],Personas!$A$2:$P$5,13)</f>
        <v>4</v>
      </c>
      <c r="BX69" s="13">
        <f>VLOOKUP(MatchData[[#This Row],[Persona]],Personas!$A$2:$P$5,14)</f>
        <v>4</v>
      </c>
      <c r="BY69" s="13">
        <f>VLOOKUP(MatchData[[#This Row],[Persona]],Personas!$A$2:$P$5,15)</f>
        <v>5</v>
      </c>
      <c r="BZ69" s="13">
        <f>VLOOKUP(MatchData[[#This Row],[Persona]],Personas!$A$2:$P$5,16)</f>
        <v>0</v>
      </c>
      <c r="CA69" s="14">
        <f ca="1">ROUND(SUMIF(MatchData[Team],MatchData[[#This Row],[Team]],MatchData[Teleop Low Goals])/COUNTIF(MatchData[Team],MatchData[[#This Row],[Team]]),2)</f>
        <v>1.4</v>
      </c>
      <c r="CB69" s="14">
        <f ca="1">ROUND(SUMIF(MatchData[Team],MatchData[[#This Row],[Team]],MatchData[Teleop High Goals])/COUNTIF(MatchData[Team],MatchData[[#This Row],[Team]]),2)</f>
        <v>3</v>
      </c>
      <c r="CC69" s="14">
        <f>COUNTIF(MatchData[Team],MatchData[[#This Row],[Team]])</f>
        <v>5</v>
      </c>
      <c r="CD69" s="14">
        <f>SUMIF(MatchData[Team],MatchData[[#This Row],[Team]],MatchData[Portcullis Available])</f>
        <v>5</v>
      </c>
      <c r="CE69" s="14">
        <f>SUMIF(MatchData[Team],MatchData[[#This Row],[Team]],MatchData[Cheval Available])</f>
        <v>0</v>
      </c>
      <c r="CF69" s="14">
        <f>SUMIF(MatchData[Team],MatchData[[#This Row],[Team]],MatchData[Moat Available])</f>
        <v>0</v>
      </c>
      <c r="CG69" s="14">
        <f>SUMIF(MatchData[Team],MatchData[[#This Row],[Team]],MatchData[Ramparts Available])</f>
        <v>5</v>
      </c>
      <c r="CH69" s="14">
        <f>SUMIF(MatchData[Team],MatchData[[#This Row],[Team]],MatchData[Drawbridge Available])</f>
        <v>2</v>
      </c>
      <c r="CI69" s="14">
        <f>SUMIF(MatchData[Team],MatchData[[#This Row],[Team]],MatchData[Sally Port Available])</f>
        <v>3</v>
      </c>
      <c r="CJ69" s="14">
        <f>SUMIF(MatchData[Team],MatchData[[#This Row],[Team]],MatchData[Rock Wall Available])</f>
        <v>3</v>
      </c>
      <c r="CK69" s="14">
        <f>SUMIF(MatchData[Team],MatchData[[#This Row],[Team]],MatchData[Rough Terrain Available])</f>
        <v>2</v>
      </c>
      <c r="CL69" s="14">
        <f>SUMIF(MatchData[Team],MatchData[[#This Row],[Team]],MatchData[Low Bar Available])</f>
        <v>5</v>
      </c>
      <c r="CM69" s="14">
        <f ca="1">SUMIF(MatchData[Team],MatchData[[#This Row],[Team]],MatchData[Portcullis Teleop Crossings])</f>
        <v>0</v>
      </c>
      <c r="CN69" s="14">
        <f ca="1">SUMIF(MatchData[Team],MatchData[[#This Row],[Team]],MatchData[Cheval Teleop Crossings])</f>
        <v>0</v>
      </c>
      <c r="CO69" s="14">
        <f ca="1">SUMIF(MatchData[Team],MatchData[[#This Row],[Team]],MatchData[Moat Teleop Crossings])</f>
        <v>0</v>
      </c>
      <c r="CP69" s="14">
        <f ca="1">SUMIF(MatchData[Team],MatchData[[#This Row],[Team]],MatchData[Ramparts Teleop Crossings])</f>
        <v>11</v>
      </c>
      <c r="CQ69" s="14">
        <f ca="1">SUMIF(MatchData[Team],MatchData[[#This Row],[Team]],MatchData[Drawbridge Teleop Crossings])</f>
        <v>1</v>
      </c>
      <c r="CR69" s="14">
        <f ca="1">SUMIF(MatchData[Team],MatchData[[#This Row],[Team]],MatchData[Sally Port Teleop Crossings])</f>
        <v>5</v>
      </c>
      <c r="CS69" s="14">
        <f ca="1">SUMIF(MatchData[Team],MatchData[[#This Row],[Team]],MatchData[Rock Wall Teleop Crossings])</f>
        <v>3</v>
      </c>
      <c r="CT69" s="14">
        <f ca="1">SUMIF(MatchData[Team],MatchData[[#This Row],[Team]],MatchData[Rough Terrain Teleop Crossings])</f>
        <v>2</v>
      </c>
      <c r="CU69" s="14">
        <f ca="1">SUMIF(MatchData[Team],MatchData[[#This Row],[Team]],MatchData[Low Bar Teleop Crossings])</f>
        <v>16</v>
      </c>
      <c r="CV69" s="14">
        <f ca="1">IFERROR(ROUND(MatchData[[#This Row],[Portcullis Sum]]/MatchData[[#This Row],[Portcullis Avail Count]],2),0)</f>
        <v>0</v>
      </c>
      <c r="CW69">
        <f ca="1">IFERROR(ROUND(MatchData[[#This Row],[Cheval Sum]]/MatchData[[#This Row],[Cheval Avail Count]],2),0)</f>
        <v>0</v>
      </c>
      <c r="CX69">
        <f ca="1">IFERROR(ROUND(MatchData[[#This Row],[Moat Sum]]/MatchData[[#This Row],[Moat Avail Count]],2),0)</f>
        <v>0</v>
      </c>
      <c r="CY69">
        <f ca="1">IFERROR(ROUND(MatchData[[#This Row],[Ramparts Sum]]/MatchData[[#This Row],[Ramparts Avail Count]],2),0)</f>
        <v>2.2000000000000002</v>
      </c>
      <c r="CZ69">
        <f ca="1">IFERROR(ROUND(MatchData[[#This Row],[Drawbridge Sum]]/MatchData[[#This Row],[Drawbridge HAvail Countigh6]],2),0)</f>
        <v>0.5</v>
      </c>
      <c r="DA69">
        <f ca="1">IFERROR(ROUND(MatchData[[#This Row],[Sally Port Sum]]/MatchData[[#This Row],[Sally Port Avail Count]],2),0)</f>
        <v>1.67</v>
      </c>
      <c r="DB69">
        <f ca="1">IFERROR(ROUND(MatchData[[#This Row],[Rock Wall Sum]]/MatchData[[#This Row],[Rock Wall Avail Count]],2),0)</f>
        <v>1</v>
      </c>
      <c r="DC69">
        <f ca="1">IFERROR(ROUND(MatchData[[#This Row],[Rough Terrain Sum]]/MatchData[[#This Row],[Rough Terrain Avail Count]],2),0)</f>
        <v>1</v>
      </c>
      <c r="DD69">
        <f ca="1">IFERROR(ROUND(MatchData[[#This Row],[Low Bar Sum]]/MatchData[[#This Row],[Low Bar Avail Count]],2),0)</f>
        <v>3.2</v>
      </c>
      <c r="DE69" s="14">
        <f t="array" aca="1" ref="DE69" ca="1">MAX(IF(C$4:C$75=C69,BE$4:BE$75))</f>
        <v>6</v>
      </c>
      <c r="DF69" s="14">
        <f ca="1">AVERAGEIF(MatchData[Team],MatchData[Team],MatchData[Total Score])</f>
        <v>64.599999999999994</v>
      </c>
      <c r="DG69" s="14">
        <f ca="1">ROUND(AVERAGEIF(MatchData[Team],MatchData[Team],MatchData[Climb or Challenge Flag]),2)</f>
        <v>0.8</v>
      </c>
    </row>
    <row r="70" spans="1:111">
      <c r="A70" t="s">
        <v>54</v>
      </c>
      <c r="B70" s="4">
        <v>2</v>
      </c>
      <c r="C70">
        <v>1425</v>
      </c>
      <c r="D70" t="s">
        <v>55</v>
      </c>
      <c r="E70" t="s">
        <v>63</v>
      </c>
      <c r="F70">
        <f ca="1">IF(MatchData[[#This Row],[Persona]] = 4,RANDBETWEEN(0,1),0)</f>
        <v>0</v>
      </c>
      <c r="G70">
        <f ca="1">IF(MatchData[[#This Row],[Persona]] = 3,RANDBETWEEN(0,1),0)</f>
        <v>1</v>
      </c>
      <c r="H70">
        <f ca="1">RANDBETWEEN(MatchData[[#This Row],[High Goal Low]],MatchData[[#This Row],[High Goal High]])</f>
        <v>0</v>
      </c>
      <c r="I70">
        <f ca="1">RANDBETWEEN(MatchData[[#This Row],[Low Goal Low]],MatchData[[#This Row],[Low Goal High]])</f>
        <v>3</v>
      </c>
      <c r="J70" s="6"/>
      <c r="K70" s="6">
        <v>1</v>
      </c>
      <c r="L70" s="6">
        <v>1</v>
      </c>
      <c r="M70" s="6"/>
      <c r="N70" s="6">
        <v>1</v>
      </c>
      <c r="O70" s="6"/>
      <c r="P70" s="6"/>
      <c r="Q70" s="5">
        <v>1</v>
      </c>
      <c r="R70" s="5">
        <v>1</v>
      </c>
      <c r="S70" s="5">
        <f ca="1">IF(MatchData[[#This Row],[Auto Crossing Test Generator]]=0,RANDBETWEEN(0,1),0)</f>
        <v>1</v>
      </c>
      <c r="T70" s="5">
        <f ca="1">IF(MatchData[Auto Crossing Test Generator]=1,1,0)</f>
        <v>0</v>
      </c>
      <c r="U70" s="5">
        <f ca="1">IF(MatchData[[#This Row],[Auto Crossing Test Generator]]=2,RANDBETWEEN(0,1),0)</f>
        <v>0</v>
      </c>
      <c r="V70" s="5">
        <f ca="1">IF(MatchData[[#This Row],[Auto Crossing Test Generator]]=3,RANDBETWEEN(0,1),0)</f>
        <v>0</v>
      </c>
      <c r="W70" s="5">
        <f ca="1">IF(MatchData[[#This Row],[Auto Crossing Test Generator]]=4,RANDBETWEEN(0,1),0)</f>
        <v>0</v>
      </c>
      <c r="X70" s="5">
        <f ca="1">IF(MatchData[[#This Row],[Auto Crossing Test Generator]]=5,RANDBETWEEN(0,1),0)</f>
        <v>0</v>
      </c>
      <c r="Y70" s="5">
        <f ca="1">IF(MatchData[[#This Row],[Auto Crossing Test Generator]]=6,RANDBETWEEN(0,1),0)</f>
        <v>0</v>
      </c>
      <c r="Z70" s="5">
        <f ca="1">IF(MatchData[[#This Row],[Auto Crossing Test Generator]]=7,RANDBETWEEN(0,1),0)</f>
        <v>0</v>
      </c>
      <c r="AA70" s="5">
        <f ca="1">IF(MatchData[[#This Row],[Auto Crossing Test Generator]]=8,RANDBETWEEN(0,1),0)</f>
        <v>0</v>
      </c>
      <c r="AB70" s="5">
        <f ca="1">IF(MatchData[[#This Row],[Auto Crossing Test Generator]]&gt;8,RANDBETWEEN(0,1),0)</f>
        <v>0</v>
      </c>
      <c r="AC70" s="5">
        <f ca="1">IF(MatchData[[#This Row],[Auto Crossing Test Generator]]=9,RANDBETWEEN(0,1),0)</f>
        <v>0</v>
      </c>
      <c r="AD70" s="5">
        <f ca="1">IF(MatchData[[#This Row],[Cheval Available]]=1,RANDBETWEEN(0,MatchData[[#This Row],[Cheval High]]),0)</f>
        <v>2</v>
      </c>
      <c r="AE70" s="5">
        <f ca="1">IF(MatchData[[#This Row],[Moat Available]]=1,RANDBETWEEN(0,MatchData[[#This Row],[Moat High]]),0)</f>
        <v>3</v>
      </c>
      <c r="AF70" s="5">
        <f ca="1">IF(MatchData[[#This Row],[Ramparts Available]]=1,RANDBETWEEN(0,MatchData[[#This Row],[Ramparts High]]),0)</f>
        <v>0</v>
      </c>
      <c r="AG70" s="5">
        <f ca="1">IF(MatchData[[#This Row],[Drawbridge Available]]=1,RANDBETWEEN(0,MatchData[[#This Row],[Drawbridge High]]),0)</f>
        <v>1</v>
      </c>
      <c r="AH70" s="5">
        <f ca="1">IF(MatchData[[#This Row],[Sally Port Available]]=1,RANDBETWEEN(0,MatchData[[#This Row],[Sally Port High]]),0)</f>
        <v>0</v>
      </c>
      <c r="AI70" s="5">
        <f ca="1">IF(MatchData[[#This Row],[Rock Wall Available]]=1,RANDBETWEEN(0,MatchData[[#This Row],[Rock Wall High]]),0)</f>
        <v>0</v>
      </c>
      <c r="AJ70" s="5">
        <f ca="1">IF(MatchData[[#This Row],[Rough Terrain Available]]=1,RANDBETWEEN(0,MatchData[[#This Row],[Rough Terrain High]]),0)</f>
        <v>1</v>
      </c>
      <c r="AK70" s="5">
        <f ca="1">IF(MatchData[[#This Row],[Low Bar Available]]=1,RANDBETWEEN(0,MatchData[[#This Row],[Low Bar High]]),0)</f>
        <v>2</v>
      </c>
      <c r="AL70" s="5">
        <f ca="1">IF(MatchData[Cheval Teleop Crossings]&gt;3,10, MatchData[Cheval Teleop Crossings]*5)</f>
        <v>10</v>
      </c>
      <c r="AM70" s="5">
        <f ca="1">IF(MatchData[Moat Teleop Crossings]&gt;3,10, MatchData[Moat Teleop Crossings]*5)</f>
        <v>15</v>
      </c>
      <c r="AN70" s="5">
        <f ca="1">IF(MatchData[Ramparts Teleop Crossings]&gt;3,10, MatchData[Ramparts Teleop Crossings]*5)</f>
        <v>0</v>
      </c>
      <c r="AO70" s="5">
        <f ca="1">IF(MatchData[Drawbridge Teleop Crossings]&gt;3,10, MatchData[Drawbridge Teleop Crossings]*5)</f>
        <v>5</v>
      </c>
      <c r="AP70" s="5">
        <f ca="1">IF(MatchData[Sally Port Teleop Crossings]&gt;3,10, MatchData[Sally Port Teleop Crossings]*5)</f>
        <v>0</v>
      </c>
      <c r="AQ70" s="5">
        <f ca="1">IF(MatchData[Rock Wall Teleop Crossings]&gt;3,10, MatchData[Rock Wall Teleop Crossings]*5)</f>
        <v>0</v>
      </c>
      <c r="AR70" s="5">
        <f ca="1">IF(MatchData[Rough Terrain Teleop Crossings]&gt;3,10, MatchData[Rough Terrain Teleop Crossings]*5)</f>
        <v>5</v>
      </c>
      <c r="AS70" s="5">
        <f ca="1">IF(MatchData[Low Bar Teleop Crossings]&gt;3,10, MatchData[Low Bar Teleop Crossings]*5)</f>
        <v>10</v>
      </c>
      <c r="AT70" s="5">
        <f ca="1">SUM(MatchData[[#This Row],[Portcullis Teleop Crossings]:[Low Bar Teleop Crossings]])</f>
        <v>9</v>
      </c>
      <c r="AU70" s="5">
        <f ca="1">IF(RANDBETWEEN(1,4)&gt;1,1,0)</f>
        <v>0</v>
      </c>
      <c r="AV70" s="5">
        <f ca="1">IF(MatchData[[#This Row],[Challenge Flag]]=1,0,IF(MatchData[[#This Row],[Climber]]=1,RANDBETWEEN(0,1),0))</f>
        <v>1</v>
      </c>
      <c r="AW70" s="5">
        <f ca="1">IF(MatchData[[#This Row],[Crossing Score]]&gt;=40,1,0)</f>
        <v>1</v>
      </c>
      <c r="AX70" s="5"/>
      <c r="AY70" s="5">
        <f ca="1">IF(RANDBETWEEN(1,100)&gt;95,1,0)</f>
        <v>0</v>
      </c>
      <c r="AZ70" s="5">
        <f ca="1">IF(RANDBETWEEN(1,100)&gt;80,1,0)</f>
        <v>0</v>
      </c>
      <c r="BA70" s="5">
        <f ca="1">IF(OR(MatchData[[#This Row],[Challenge Flag]],MatchData[[#This Row],[Climb Flag]]),1,0)</f>
        <v>1</v>
      </c>
      <c r="BB70" s="5">
        <f ca="1">MatchData[Auto High Goals]*10+MatchData[Teleop High Goals]*5</f>
        <v>0</v>
      </c>
      <c r="BC70" s="5">
        <f ca="1">MatchData[Auto Low Goals]*5+MatchData[Teleop Low Goals]*2</f>
        <v>11</v>
      </c>
      <c r="BD70" s="5">
        <f ca="1">MatchData[High Goal Score]+MatchData[Low Goal Score]</f>
        <v>11</v>
      </c>
      <c r="BE70" s="5">
        <f ca="1">MatchData[Teleop High Goals]+MatchData[Teleop Low Goals]</f>
        <v>3</v>
      </c>
      <c r="BF70" s="5">
        <f ca="1">MatchData[[#This Row],[Auto Reach Flag]]*2+SUM(MatchData[[#This Row],[Portcullis Auto Crossings]:[Low Bar Auto Crossings]])*10+MatchData[[#This Row],[Auto Low Goals]]*5+MatchData[Auto High Goals]*10</f>
        <v>7</v>
      </c>
      <c r="BG70" s="5">
        <f ca="1">SUM(MatchData[[#This Row],[Cheval Scored Teleop Crossings]:[Low Bar Scored Teleop Crossings]])</f>
        <v>45</v>
      </c>
      <c r="BH70" s="5">
        <f ca="1">MatchData[Challenge Flag]*5</f>
        <v>0</v>
      </c>
      <c r="BI70" s="5">
        <f ca="1">MatchData[Climb Flag]*15</f>
        <v>15</v>
      </c>
      <c r="BJ70" s="5">
        <f ca="1">SUM(MatchData[[#This Row],[Total Goal Score]],MatchData[[#This Row],[Crossing Score]],MatchData[[#This Row],[Challenge Score]],MatchData[[#This Row],[Climb Score]],MatchData[[#This Row],[Total Auto Score]])</f>
        <v>78</v>
      </c>
      <c r="BK70">
        <v>3</v>
      </c>
      <c r="BL70" s="5">
        <f ca="1">IF(RANDBETWEEN(0,10)&gt;=9,RANDBETWEEN(1,9),0)</f>
        <v>0</v>
      </c>
      <c r="BM70" s="5">
        <f>VLOOKUP(MatchData[[#This Row],[Persona]],Personas!$A$2:$O$5,3)</f>
        <v>2</v>
      </c>
      <c r="BN70" s="13">
        <f>VLOOKUP(MatchData[[#This Row],[Persona]],Personas!$A$2:$P$5,4)</f>
        <v>6</v>
      </c>
      <c r="BO70" s="13">
        <f>VLOOKUP(MatchData[[#This Row],[Persona]],Personas!$A$2:$P$5,5)</f>
        <v>0</v>
      </c>
      <c r="BP70" s="13">
        <f>VLOOKUP(MatchData[[#This Row],[Persona]],Personas!$A$2:$P$5,6)</f>
        <v>0</v>
      </c>
      <c r="BQ70" s="13">
        <f>VLOOKUP(MatchData[[#This Row],[Persona]],Personas!$A$2:$P$5,7)</f>
        <v>2</v>
      </c>
      <c r="BR70" s="13">
        <f>VLOOKUP(MatchData[[#This Row],[Persona]],Personas!$A$2:$P$5,8)</f>
        <v>2</v>
      </c>
      <c r="BS70" s="13">
        <f>VLOOKUP(MatchData[[#This Row],[Persona]],Personas!$A$2:$P$5,9)</f>
        <v>3</v>
      </c>
      <c r="BT70" s="13">
        <f>VLOOKUP(MatchData[[#This Row],[Persona]],Personas!$A$2:$P$5,10)</f>
        <v>3</v>
      </c>
      <c r="BU70" s="13">
        <f>VLOOKUP(MatchData[[#This Row],[Persona]],Personas!$A$2:$P$5,11)</f>
        <v>2</v>
      </c>
      <c r="BV70" s="13">
        <f>VLOOKUP(MatchData[[#This Row],[Persona]],Personas!$A$2:$P$5,12)</f>
        <v>2</v>
      </c>
      <c r="BW70" s="13">
        <f>VLOOKUP(MatchData[[#This Row],[Persona]],Personas!$A$2:$P$5,13)</f>
        <v>3</v>
      </c>
      <c r="BX70" s="13">
        <f>VLOOKUP(MatchData[[#This Row],[Persona]],Personas!$A$2:$P$5,14)</f>
        <v>3</v>
      </c>
      <c r="BY70" s="13">
        <f>VLOOKUP(MatchData[[#This Row],[Persona]],Personas!$A$2:$P$5,15)</f>
        <v>4</v>
      </c>
      <c r="BZ70" s="13">
        <f>VLOOKUP(MatchData[[#This Row],[Persona]],Personas!$A$2:$P$5,16)</f>
        <v>1</v>
      </c>
      <c r="CA70" s="14">
        <f ca="1">ROUND(SUMIF(MatchData[Team],MatchData[[#This Row],[Team]],MatchData[Teleop Low Goals])/COUNTIF(MatchData[Team],MatchData[[#This Row],[Team]]),2)</f>
        <v>3.5</v>
      </c>
      <c r="CB70" s="14">
        <f ca="1">ROUND(SUMIF(MatchData[Team],MatchData[[#This Row],[Team]],MatchData[Teleop High Goals])/COUNTIF(MatchData[Team],MatchData[[#This Row],[Team]]),2)</f>
        <v>0</v>
      </c>
      <c r="CC70" s="14">
        <f>COUNTIF(MatchData[Team],MatchData[[#This Row],[Team]])</f>
        <v>6</v>
      </c>
      <c r="CD70" s="14">
        <f>SUMIF(MatchData[Team],MatchData[[#This Row],[Team]],MatchData[Portcullis Available])</f>
        <v>0</v>
      </c>
      <c r="CE70" s="14">
        <f>SUMIF(MatchData[Team],MatchData[[#This Row],[Team]],MatchData[Cheval Available])</f>
        <v>6</v>
      </c>
      <c r="CF70" s="14">
        <f>SUMIF(MatchData[Team],MatchData[[#This Row],[Team]],MatchData[Moat Available])</f>
        <v>6</v>
      </c>
      <c r="CG70" s="14">
        <f>SUMIF(MatchData[Team],MatchData[[#This Row],[Team]],MatchData[Ramparts Available])</f>
        <v>0</v>
      </c>
      <c r="CH70" s="14">
        <f>SUMIF(MatchData[Team],MatchData[[#This Row],[Team]],MatchData[Drawbridge Available])</f>
        <v>3</v>
      </c>
      <c r="CI70" s="14">
        <f>SUMIF(MatchData[Team],MatchData[[#This Row],[Team]],MatchData[Sally Port Available])</f>
        <v>3</v>
      </c>
      <c r="CJ70" s="14">
        <f>SUMIF(MatchData[Team],MatchData[[#This Row],[Team]],MatchData[Rock Wall Available])</f>
        <v>3</v>
      </c>
      <c r="CK70" s="14">
        <f>SUMIF(MatchData[Team],MatchData[[#This Row],[Team]],MatchData[Rough Terrain Available])</f>
        <v>3</v>
      </c>
      <c r="CL70" s="14">
        <f>SUMIF(MatchData[Team],MatchData[[#This Row],[Team]],MatchData[Low Bar Available])</f>
        <v>6</v>
      </c>
      <c r="CM70" s="14">
        <f ca="1">SUMIF(MatchData[Team],MatchData[[#This Row],[Team]],MatchData[Portcullis Teleop Crossings])</f>
        <v>0</v>
      </c>
      <c r="CN70" s="14">
        <f ca="1">SUMIF(MatchData[Team],MatchData[[#This Row],[Team]],MatchData[Cheval Teleop Crossings])</f>
        <v>6</v>
      </c>
      <c r="CO70" s="14">
        <f ca="1">SUMIF(MatchData[Team],MatchData[[#This Row],[Team]],MatchData[Moat Teleop Crossings])</f>
        <v>11</v>
      </c>
      <c r="CP70" s="14">
        <f ca="1">SUMIF(MatchData[Team],MatchData[[#This Row],[Team]],MatchData[Ramparts Teleop Crossings])</f>
        <v>0</v>
      </c>
      <c r="CQ70" s="14">
        <f ca="1">SUMIF(MatchData[Team],MatchData[[#This Row],[Team]],MatchData[Drawbridge Teleop Crossings])</f>
        <v>4</v>
      </c>
      <c r="CR70" s="14">
        <f ca="1">SUMIF(MatchData[Team],MatchData[[#This Row],[Team]],MatchData[Sally Port Teleop Crossings])</f>
        <v>2</v>
      </c>
      <c r="CS70" s="14">
        <f ca="1">SUMIF(MatchData[Team],MatchData[[#This Row],[Team]],MatchData[Rock Wall Teleop Crossings])</f>
        <v>6</v>
      </c>
      <c r="CT70" s="14">
        <f ca="1">SUMIF(MatchData[Team],MatchData[[#This Row],[Team]],MatchData[Rough Terrain Teleop Crossings])</f>
        <v>5</v>
      </c>
      <c r="CU70" s="14">
        <f ca="1">SUMIF(MatchData[Team],MatchData[[#This Row],[Team]],MatchData[Low Bar Teleop Crossings])</f>
        <v>9</v>
      </c>
      <c r="CV70" s="14">
        <f ca="1">IFERROR(ROUND(MatchData[[#This Row],[Portcullis Sum]]/MatchData[[#This Row],[Portcullis Avail Count]],2),0)</f>
        <v>0</v>
      </c>
      <c r="CW70">
        <f ca="1">IFERROR(ROUND(MatchData[[#This Row],[Cheval Sum]]/MatchData[[#This Row],[Cheval Avail Count]],2),0)</f>
        <v>1</v>
      </c>
      <c r="CX70">
        <f ca="1">IFERROR(ROUND(MatchData[[#This Row],[Moat Sum]]/MatchData[[#This Row],[Moat Avail Count]],2),0)</f>
        <v>1.83</v>
      </c>
      <c r="CY70">
        <f ca="1">IFERROR(ROUND(MatchData[[#This Row],[Ramparts Sum]]/MatchData[[#This Row],[Ramparts Avail Count]],2),0)</f>
        <v>0</v>
      </c>
      <c r="CZ70">
        <f ca="1">IFERROR(ROUND(MatchData[[#This Row],[Drawbridge Sum]]/MatchData[[#This Row],[Drawbridge HAvail Countigh6]],2),0)</f>
        <v>1.33</v>
      </c>
      <c r="DA70">
        <f ca="1">IFERROR(ROUND(MatchData[[#This Row],[Sally Port Sum]]/MatchData[[#This Row],[Sally Port Avail Count]],2),0)</f>
        <v>0.67</v>
      </c>
      <c r="DB70">
        <f ca="1">IFERROR(ROUND(MatchData[[#This Row],[Rock Wall Sum]]/MatchData[[#This Row],[Rock Wall Avail Count]],2),0)</f>
        <v>2</v>
      </c>
      <c r="DC70">
        <f ca="1">IFERROR(ROUND(MatchData[[#This Row],[Rough Terrain Sum]]/MatchData[[#This Row],[Rough Terrain Avail Count]],2),0)</f>
        <v>1.67</v>
      </c>
      <c r="DD70">
        <f ca="1">IFERROR(ROUND(MatchData[[#This Row],[Low Bar Sum]]/MatchData[[#This Row],[Low Bar Avail Count]],2),0)</f>
        <v>1.5</v>
      </c>
      <c r="DE70" s="14">
        <f t="array" aca="1" ref="DE70" ca="1">MAX(IF(C$4:C$75=C70,BE$4:BE$75))</f>
        <v>6</v>
      </c>
      <c r="DF70" s="14">
        <f ca="1">AVERAGEIF(MatchData[Team],MatchData[Team],MatchData[Total Score])</f>
        <v>51.166666666666664</v>
      </c>
      <c r="DG70" s="14">
        <f ca="1">ROUND(AVERAGEIF(MatchData[Team],MatchData[Team],MatchData[Climb or Challenge Flag]),2)</f>
        <v>0.67</v>
      </c>
    </row>
    <row r="71" spans="1:111">
      <c r="A71" t="s">
        <v>54</v>
      </c>
      <c r="B71" s="4">
        <v>4</v>
      </c>
      <c r="C71">
        <v>1425</v>
      </c>
      <c r="D71" t="s">
        <v>55</v>
      </c>
      <c r="E71" t="s">
        <v>60</v>
      </c>
      <c r="F71">
        <f ca="1">IF(MatchData[[#This Row],[Persona]] = 4,RANDBETWEEN(0,1),0)</f>
        <v>0</v>
      </c>
      <c r="G71">
        <f ca="1">IF(MatchData[[#This Row],[Persona]] = 3,RANDBETWEEN(0,1),0)</f>
        <v>0</v>
      </c>
      <c r="H71">
        <f ca="1">RANDBETWEEN(MatchData[[#This Row],[High Goal Low]],MatchData[[#This Row],[High Goal High]])</f>
        <v>0</v>
      </c>
      <c r="I71">
        <f ca="1">RANDBETWEEN(MatchData[[#This Row],[Low Goal Low]],MatchData[[#This Row],[Low Goal High]])</f>
        <v>2</v>
      </c>
      <c r="J71" s="6"/>
      <c r="K71" s="6">
        <v>1</v>
      </c>
      <c r="L71" s="6">
        <v>1</v>
      </c>
      <c r="M71" s="6"/>
      <c r="N71" s="6"/>
      <c r="O71" s="6">
        <v>1</v>
      </c>
      <c r="P71" s="6">
        <v>1</v>
      </c>
      <c r="Q71" s="5"/>
      <c r="R71" s="5">
        <v>1</v>
      </c>
      <c r="S71" s="5">
        <f ca="1">IF(MatchData[[#This Row],[Auto Crossing Test Generator]]=0,RANDBETWEEN(0,1),0)</f>
        <v>1</v>
      </c>
      <c r="T71" s="5">
        <f ca="1">IF(MatchData[Auto Crossing Test Generator]=1,1,0)</f>
        <v>0</v>
      </c>
      <c r="U71" s="5">
        <f ca="1">IF(MatchData[[#This Row],[Auto Crossing Test Generator]]=2,RANDBETWEEN(0,1),0)</f>
        <v>0</v>
      </c>
      <c r="V71" s="5">
        <f ca="1">IF(MatchData[[#This Row],[Auto Crossing Test Generator]]=3,RANDBETWEEN(0,1),0)</f>
        <v>0</v>
      </c>
      <c r="W71" s="5">
        <f ca="1">IF(MatchData[[#This Row],[Auto Crossing Test Generator]]=4,RANDBETWEEN(0,1),0)</f>
        <v>0</v>
      </c>
      <c r="X71" s="5">
        <f ca="1">IF(MatchData[[#This Row],[Auto Crossing Test Generator]]=5,RANDBETWEEN(0,1),0)</f>
        <v>0</v>
      </c>
      <c r="Y71" s="5">
        <f ca="1">IF(MatchData[[#This Row],[Auto Crossing Test Generator]]=6,RANDBETWEEN(0,1),0)</f>
        <v>0</v>
      </c>
      <c r="Z71" s="5">
        <f ca="1">IF(MatchData[[#This Row],[Auto Crossing Test Generator]]=7,RANDBETWEEN(0,1),0)</f>
        <v>0</v>
      </c>
      <c r="AA71" s="5">
        <f ca="1">IF(MatchData[[#This Row],[Auto Crossing Test Generator]]=8,RANDBETWEEN(0,1),0)</f>
        <v>0</v>
      </c>
      <c r="AB71" s="5">
        <f ca="1">IF(MatchData[[#This Row],[Auto Crossing Test Generator]]&gt;8,RANDBETWEEN(0,1),0)</f>
        <v>0</v>
      </c>
      <c r="AC71" s="5">
        <f ca="1">IF(MatchData[[#This Row],[Auto Crossing Test Generator]]=9,RANDBETWEEN(0,1),0)</f>
        <v>0</v>
      </c>
      <c r="AD71" s="5">
        <f ca="1">IF(MatchData[[#This Row],[Cheval Available]]=1,RANDBETWEEN(0,MatchData[[#This Row],[Cheval High]]),0)</f>
        <v>2</v>
      </c>
      <c r="AE71" s="5">
        <f ca="1">IF(MatchData[[#This Row],[Moat Available]]=1,RANDBETWEEN(0,MatchData[[#This Row],[Moat High]]),0)</f>
        <v>1</v>
      </c>
      <c r="AF71" s="5">
        <f ca="1">IF(MatchData[[#This Row],[Ramparts Available]]=1,RANDBETWEEN(0,MatchData[[#This Row],[Ramparts High]]),0)</f>
        <v>0</v>
      </c>
      <c r="AG71" s="5">
        <f ca="1">IF(MatchData[[#This Row],[Drawbridge Available]]=1,RANDBETWEEN(0,MatchData[[#This Row],[Drawbridge High]]),0)</f>
        <v>0</v>
      </c>
      <c r="AH71" s="5">
        <f ca="1">IF(MatchData[[#This Row],[Sally Port Available]]=1,RANDBETWEEN(0,MatchData[[#This Row],[Sally Port High]]),0)</f>
        <v>1</v>
      </c>
      <c r="AI71" s="5">
        <f ca="1">IF(MatchData[[#This Row],[Rock Wall Available]]=1,RANDBETWEEN(0,MatchData[[#This Row],[Rock Wall High]]),0)</f>
        <v>1</v>
      </c>
      <c r="AJ71" s="5">
        <f ca="1">IF(MatchData[[#This Row],[Rough Terrain Available]]=1,RANDBETWEEN(0,MatchData[[#This Row],[Rough Terrain High]]),0)</f>
        <v>0</v>
      </c>
      <c r="AK71" s="5">
        <f ca="1">IF(MatchData[[#This Row],[Low Bar Available]]=1,RANDBETWEEN(0,MatchData[[#This Row],[Low Bar High]]),0)</f>
        <v>2</v>
      </c>
      <c r="AL71" s="5">
        <f ca="1">IF(MatchData[Cheval Teleop Crossings]&gt;3,10, MatchData[Cheval Teleop Crossings]*5)</f>
        <v>10</v>
      </c>
      <c r="AM71" s="5">
        <f ca="1">IF(MatchData[Moat Teleop Crossings]&gt;3,10, MatchData[Moat Teleop Crossings]*5)</f>
        <v>5</v>
      </c>
      <c r="AN71" s="5">
        <f ca="1">IF(MatchData[Ramparts Teleop Crossings]&gt;3,10, MatchData[Ramparts Teleop Crossings]*5)</f>
        <v>0</v>
      </c>
      <c r="AO71" s="5">
        <f ca="1">IF(MatchData[Drawbridge Teleop Crossings]&gt;3,10, MatchData[Drawbridge Teleop Crossings]*5)</f>
        <v>0</v>
      </c>
      <c r="AP71" s="5">
        <f ca="1">IF(MatchData[Sally Port Teleop Crossings]&gt;3,10, MatchData[Sally Port Teleop Crossings]*5)</f>
        <v>5</v>
      </c>
      <c r="AQ71" s="5">
        <f ca="1">IF(MatchData[Rock Wall Teleop Crossings]&gt;3,10, MatchData[Rock Wall Teleop Crossings]*5)</f>
        <v>5</v>
      </c>
      <c r="AR71" s="5">
        <f ca="1">IF(MatchData[Rough Terrain Teleop Crossings]&gt;3,10, MatchData[Rough Terrain Teleop Crossings]*5)</f>
        <v>0</v>
      </c>
      <c r="AS71" s="5">
        <f ca="1">IF(MatchData[Low Bar Teleop Crossings]&gt;3,10, MatchData[Low Bar Teleop Crossings]*5)</f>
        <v>10</v>
      </c>
      <c r="AT71" s="5">
        <f ca="1">SUM(MatchData[[#This Row],[Portcullis Teleop Crossings]:[Low Bar Teleop Crossings]])</f>
        <v>7</v>
      </c>
      <c r="AU71" s="5">
        <f ca="1">IF(RANDBETWEEN(1,4)&gt;1,1,0)</f>
        <v>1</v>
      </c>
      <c r="AV71" s="5">
        <f ca="1">IF(MatchData[[#This Row],[Challenge Flag]]=1,0,IF(MatchData[[#This Row],[Climber]]=1,RANDBETWEEN(0,1),0))</f>
        <v>0</v>
      </c>
      <c r="AW71" s="5">
        <f ca="1">IF(MatchData[[#This Row],[Crossing Score]]&gt;=40,1,0)</f>
        <v>0</v>
      </c>
      <c r="AX71" s="5"/>
      <c r="AY71" s="5">
        <f ca="1">IF(RANDBETWEEN(1,100)&gt;95,1,0)</f>
        <v>0</v>
      </c>
      <c r="AZ71" s="5">
        <f ca="1">IF(RANDBETWEEN(1,100)&gt;80,1,0)</f>
        <v>0</v>
      </c>
      <c r="BA71" s="5">
        <f ca="1">IF(OR(MatchData[[#This Row],[Challenge Flag]],MatchData[[#This Row],[Climb Flag]]),1,0)</f>
        <v>1</v>
      </c>
      <c r="BB71" s="5">
        <f ca="1">MatchData[Auto High Goals]*10+MatchData[Teleop High Goals]*5</f>
        <v>0</v>
      </c>
      <c r="BC71" s="5">
        <f ca="1">MatchData[Auto Low Goals]*5+MatchData[Teleop Low Goals]*2</f>
        <v>4</v>
      </c>
      <c r="BD71" s="5">
        <f ca="1">MatchData[High Goal Score]+MatchData[Low Goal Score]</f>
        <v>4</v>
      </c>
      <c r="BE71" s="5">
        <f ca="1">MatchData[Teleop High Goals]+MatchData[Teleop Low Goals]</f>
        <v>2</v>
      </c>
      <c r="BF71" s="5">
        <f ca="1">MatchData[[#This Row],[Auto Reach Flag]]*2+SUM(MatchData[[#This Row],[Portcullis Auto Crossings]:[Low Bar Auto Crossings]])*10+MatchData[[#This Row],[Auto Low Goals]]*5+MatchData[Auto High Goals]*10</f>
        <v>2</v>
      </c>
      <c r="BG71" s="5">
        <f ca="1">SUM(MatchData[[#This Row],[Cheval Scored Teleop Crossings]:[Low Bar Scored Teleop Crossings]])</f>
        <v>35</v>
      </c>
      <c r="BH71" s="5">
        <f ca="1">MatchData[Challenge Flag]*5</f>
        <v>5</v>
      </c>
      <c r="BI71" s="5">
        <f ca="1">MatchData[Climb Flag]*15</f>
        <v>0</v>
      </c>
      <c r="BJ71" s="5">
        <f ca="1">SUM(MatchData[[#This Row],[Total Goal Score]],MatchData[[#This Row],[Crossing Score]],MatchData[[#This Row],[Challenge Score]],MatchData[[#This Row],[Climb Score]],MatchData[[#This Row],[Total Auto Score]])</f>
        <v>46</v>
      </c>
      <c r="BK71">
        <v>3</v>
      </c>
      <c r="BL71" s="5">
        <f ca="1">IF(RANDBETWEEN(0,10)&gt;=9,RANDBETWEEN(1,9),0)</f>
        <v>0</v>
      </c>
      <c r="BM71" s="5">
        <f>VLOOKUP(MatchData[[#This Row],[Persona]],Personas!$A$2:$O$5,3)</f>
        <v>2</v>
      </c>
      <c r="BN71" s="13">
        <f>VLOOKUP(MatchData[[#This Row],[Persona]],Personas!$A$2:$P$5,4)</f>
        <v>6</v>
      </c>
      <c r="BO71" s="13">
        <f>VLOOKUP(MatchData[[#This Row],[Persona]],Personas!$A$2:$P$5,5)</f>
        <v>0</v>
      </c>
      <c r="BP71" s="13">
        <f>VLOOKUP(MatchData[[#This Row],[Persona]],Personas!$A$2:$P$5,6)</f>
        <v>0</v>
      </c>
      <c r="BQ71" s="13">
        <f>VLOOKUP(MatchData[[#This Row],[Persona]],Personas!$A$2:$P$5,7)</f>
        <v>2</v>
      </c>
      <c r="BR71" s="13">
        <f>VLOOKUP(MatchData[[#This Row],[Persona]],Personas!$A$2:$P$5,8)</f>
        <v>2</v>
      </c>
      <c r="BS71" s="13">
        <f>VLOOKUP(MatchData[[#This Row],[Persona]],Personas!$A$2:$P$5,9)</f>
        <v>3</v>
      </c>
      <c r="BT71" s="13">
        <f>VLOOKUP(MatchData[[#This Row],[Persona]],Personas!$A$2:$P$5,10)</f>
        <v>3</v>
      </c>
      <c r="BU71" s="13">
        <f>VLOOKUP(MatchData[[#This Row],[Persona]],Personas!$A$2:$P$5,11)</f>
        <v>2</v>
      </c>
      <c r="BV71" s="13">
        <f>VLOOKUP(MatchData[[#This Row],[Persona]],Personas!$A$2:$P$5,12)</f>
        <v>2</v>
      </c>
      <c r="BW71" s="13">
        <f>VLOOKUP(MatchData[[#This Row],[Persona]],Personas!$A$2:$P$5,13)</f>
        <v>3</v>
      </c>
      <c r="BX71" s="13">
        <f>VLOOKUP(MatchData[[#This Row],[Persona]],Personas!$A$2:$P$5,14)</f>
        <v>3</v>
      </c>
      <c r="BY71" s="13">
        <f>VLOOKUP(MatchData[[#This Row],[Persona]],Personas!$A$2:$P$5,15)</f>
        <v>4</v>
      </c>
      <c r="BZ71" s="13">
        <f>VLOOKUP(MatchData[[#This Row],[Persona]],Personas!$A$2:$P$5,16)</f>
        <v>1</v>
      </c>
      <c r="CA71" s="14">
        <f ca="1">ROUND(SUMIF(MatchData[Team],MatchData[[#This Row],[Team]],MatchData[Teleop Low Goals])/COUNTIF(MatchData[Team],MatchData[[#This Row],[Team]]),2)</f>
        <v>3.5</v>
      </c>
      <c r="CB71" s="14">
        <f ca="1">ROUND(SUMIF(MatchData[Team],MatchData[[#This Row],[Team]],MatchData[Teleop High Goals])/COUNTIF(MatchData[Team],MatchData[[#This Row],[Team]]),2)</f>
        <v>0</v>
      </c>
      <c r="CC71" s="14">
        <f>COUNTIF(MatchData[Team],MatchData[[#This Row],[Team]])</f>
        <v>6</v>
      </c>
      <c r="CD71" s="14">
        <f>SUMIF(MatchData[Team],MatchData[[#This Row],[Team]],MatchData[Portcullis Available])</f>
        <v>0</v>
      </c>
      <c r="CE71" s="14">
        <f>SUMIF(MatchData[Team],MatchData[[#This Row],[Team]],MatchData[Cheval Available])</f>
        <v>6</v>
      </c>
      <c r="CF71" s="14">
        <f>SUMIF(MatchData[Team],MatchData[[#This Row],[Team]],MatchData[Moat Available])</f>
        <v>6</v>
      </c>
      <c r="CG71" s="14">
        <f>SUMIF(MatchData[Team],MatchData[[#This Row],[Team]],MatchData[Ramparts Available])</f>
        <v>0</v>
      </c>
      <c r="CH71" s="14">
        <f>SUMIF(MatchData[Team],MatchData[[#This Row],[Team]],MatchData[Drawbridge Available])</f>
        <v>3</v>
      </c>
      <c r="CI71" s="14">
        <f>SUMIF(MatchData[Team],MatchData[[#This Row],[Team]],MatchData[Sally Port Available])</f>
        <v>3</v>
      </c>
      <c r="CJ71" s="14">
        <f>SUMIF(MatchData[Team],MatchData[[#This Row],[Team]],MatchData[Rock Wall Available])</f>
        <v>3</v>
      </c>
      <c r="CK71" s="14">
        <f>SUMIF(MatchData[Team],MatchData[[#This Row],[Team]],MatchData[Rough Terrain Available])</f>
        <v>3</v>
      </c>
      <c r="CL71" s="14">
        <f>SUMIF(MatchData[Team],MatchData[[#This Row],[Team]],MatchData[Low Bar Available])</f>
        <v>6</v>
      </c>
      <c r="CM71" s="14">
        <f ca="1">SUMIF(MatchData[Team],MatchData[[#This Row],[Team]],MatchData[Portcullis Teleop Crossings])</f>
        <v>0</v>
      </c>
      <c r="CN71" s="14">
        <f ca="1">SUMIF(MatchData[Team],MatchData[[#This Row],[Team]],MatchData[Cheval Teleop Crossings])</f>
        <v>6</v>
      </c>
      <c r="CO71" s="14">
        <f ca="1">SUMIF(MatchData[Team],MatchData[[#This Row],[Team]],MatchData[Moat Teleop Crossings])</f>
        <v>11</v>
      </c>
      <c r="CP71" s="14">
        <f ca="1">SUMIF(MatchData[Team],MatchData[[#This Row],[Team]],MatchData[Ramparts Teleop Crossings])</f>
        <v>0</v>
      </c>
      <c r="CQ71" s="14">
        <f ca="1">SUMIF(MatchData[Team],MatchData[[#This Row],[Team]],MatchData[Drawbridge Teleop Crossings])</f>
        <v>4</v>
      </c>
      <c r="CR71" s="14">
        <f ca="1">SUMIF(MatchData[Team],MatchData[[#This Row],[Team]],MatchData[Sally Port Teleop Crossings])</f>
        <v>2</v>
      </c>
      <c r="CS71" s="14">
        <f ca="1">SUMIF(MatchData[Team],MatchData[[#This Row],[Team]],MatchData[Rock Wall Teleop Crossings])</f>
        <v>6</v>
      </c>
      <c r="CT71" s="14">
        <f ca="1">SUMIF(MatchData[Team],MatchData[[#This Row],[Team]],MatchData[Rough Terrain Teleop Crossings])</f>
        <v>5</v>
      </c>
      <c r="CU71" s="14">
        <f ca="1">SUMIF(MatchData[Team],MatchData[[#This Row],[Team]],MatchData[Low Bar Teleop Crossings])</f>
        <v>9</v>
      </c>
      <c r="CV71" s="14">
        <f ca="1">IFERROR(ROUND(MatchData[[#This Row],[Portcullis Sum]]/MatchData[[#This Row],[Portcullis Avail Count]],2),0)</f>
        <v>0</v>
      </c>
      <c r="CW71">
        <f ca="1">IFERROR(ROUND(MatchData[[#This Row],[Cheval Sum]]/MatchData[[#This Row],[Cheval Avail Count]],2),0)</f>
        <v>1</v>
      </c>
      <c r="CX71">
        <f ca="1">IFERROR(ROUND(MatchData[[#This Row],[Moat Sum]]/MatchData[[#This Row],[Moat Avail Count]],2),0)</f>
        <v>1.83</v>
      </c>
      <c r="CY71">
        <f ca="1">IFERROR(ROUND(MatchData[[#This Row],[Ramparts Sum]]/MatchData[[#This Row],[Ramparts Avail Count]],2),0)</f>
        <v>0</v>
      </c>
      <c r="CZ71">
        <f ca="1">IFERROR(ROUND(MatchData[[#This Row],[Drawbridge Sum]]/MatchData[[#This Row],[Drawbridge HAvail Countigh6]],2),0)</f>
        <v>1.33</v>
      </c>
      <c r="DA71">
        <f ca="1">IFERROR(ROUND(MatchData[[#This Row],[Sally Port Sum]]/MatchData[[#This Row],[Sally Port Avail Count]],2),0)</f>
        <v>0.67</v>
      </c>
      <c r="DB71">
        <f ca="1">IFERROR(ROUND(MatchData[[#This Row],[Rock Wall Sum]]/MatchData[[#This Row],[Rock Wall Avail Count]],2),0)</f>
        <v>2</v>
      </c>
      <c r="DC71">
        <f ca="1">IFERROR(ROUND(MatchData[[#This Row],[Rough Terrain Sum]]/MatchData[[#This Row],[Rough Terrain Avail Count]],2),0)</f>
        <v>1.67</v>
      </c>
      <c r="DD71">
        <f ca="1">IFERROR(ROUND(MatchData[[#This Row],[Low Bar Sum]]/MatchData[[#This Row],[Low Bar Avail Count]],2),0)</f>
        <v>1.5</v>
      </c>
      <c r="DE71" s="14">
        <f t="array" aca="1" ref="DE71" ca="1">MAX(IF(C$4:C$75=C71,BE$4:BE$75))</f>
        <v>6</v>
      </c>
      <c r="DF71" s="14">
        <f ca="1">AVERAGEIF(MatchData[Team],MatchData[Team],MatchData[Total Score])</f>
        <v>51.166666666666664</v>
      </c>
      <c r="DG71" s="14">
        <f ca="1">ROUND(AVERAGEIF(MatchData[Team],MatchData[Team],MatchData[Climb or Challenge Flag]),2)</f>
        <v>0.67</v>
      </c>
    </row>
    <row r="72" spans="1:111">
      <c r="A72" t="s">
        <v>54</v>
      </c>
      <c r="B72" s="4">
        <v>6</v>
      </c>
      <c r="C72">
        <v>1425</v>
      </c>
      <c r="D72" t="s">
        <v>55</v>
      </c>
      <c r="E72" t="s">
        <v>57</v>
      </c>
      <c r="F72">
        <f ca="1">IF(MatchData[[#This Row],[Persona]] = 4,RANDBETWEEN(0,1),0)</f>
        <v>0</v>
      </c>
      <c r="G72">
        <f ca="1">IF(MatchData[[#This Row],[Persona]] = 3,RANDBETWEEN(0,1),0)</f>
        <v>0</v>
      </c>
      <c r="H72">
        <f ca="1">RANDBETWEEN(MatchData[[#This Row],[High Goal Low]],MatchData[[#This Row],[High Goal High]])</f>
        <v>0</v>
      </c>
      <c r="I72">
        <f ca="1">RANDBETWEEN(MatchData[[#This Row],[Low Goal Low]],MatchData[[#This Row],[Low Goal High]])</f>
        <v>6</v>
      </c>
      <c r="J72" s="6"/>
      <c r="K72" s="6">
        <v>1</v>
      </c>
      <c r="L72" s="6">
        <v>1</v>
      </c>
      <c r="M72" s="6"/>
      <c r="N72" s="6">
        <v>1</v>
      </c>
      <c r="O72" s="6"/>
      <c r="P72" s="6"/>
      <c r="Q72" s="5">
        <v>1</v>
      </c>
      <c r="R72" s="5">
        <v>1</v>
      </c>
      <c r="S72" s="5">
        <f ca="1">IF(MatchData[[#This Row],[Auto Crossing Test Generator]]=0,RANDBETWEEN(0,1),0)</f>
        <v>0</v>
      </c>
      <c r="T72" s="5">
        <f ca="1">IF(MatchData[Auto Crossing Test Generator]=1,1,0)</f>
        <v>0</v>
      </c>
      <c r="U72" s="5">
        <f ca="1">IF(MatchData[[#This Row],[Auto Crossing Test Generator]]=2,RANDBETWEEN(0,1),0)</f>
        <v>0</v>
      </c>
      <c r="V72" s="5">
        <f ca="1">IF(MatchData[[#This Row],[Auto Crossing Test Generator]]=3,RANDBETWEEN(0,1),0)</f>
        <v>0</v>
      </c>
      <c r="W72" s="5">
        <f ca="1">IF(MatchData[[#This Row],[Auto Crossing Test Generator]]=4,RANDBETWEEN(0,1),0)</f>
        <v>0</v>
      </c>
      <c r="X72" s="5">
        <f ca="1">IF(MatchData[[#This Row],[Auto Crossing Test Generator]]=5,RANDBETWEEN(0,1),0)</f>
        <v>0</v>
      </c>
      <c r="Y72" s="5">
        <f ca="1">IF(MatchData[[#This Row],[Auto Crossing Test Generator]]=6,RANDBETWEEN(0,1),0)</f>
        <v>0</v>
      </c>
      <c r="Z72" s="5">
        <f ca="1">IF(MatchData[[#This Row],[Auto Crossing Test Generator]]=7,RANDBETWEEN(0,1),0)</f>
        <v>0</v>
      </c>
      <c r="AA72" s="5">
        <f ca="1">IF(MatchData[[#This Row],[Auto Crossing Test Generator]]=8,RANDBETWEEN(0,1),0)</f>
        <v>0</v>
      </c>
      <c r="AB72" s="5">
        <f ca="1">IF(MatchData[[#This Row],[Auto Crossing Test Generator]]&gt;8,RANDBETWEEN(0,1),0)</f>
        <v>0</v>
      </c>
      <c r="AC72" s="5">
        <f ca="1">IF(MatchData[[#This Row],[Auto Crossing Test Generator]]=9,RANDBETWEEN(0,1),0)</f>
        <v>0</v>
      </c>
      <c r="AD72" s="5">
        <f ca="1">IF(MatchData[[#This Row],[Cheval Available]]=1,RANDBETWEEN(0,MatchData[[#This Row],[Cheval High]]),0)</f>
        <v>2</v>
      </c>
      <c r="AE72" s="5">
        <f ca="1">IF(MatchData[[#This Row],[Moat Available]]=1,RANDBETWEEN(0,MatchData[[#This Row],[Moat High]]),0)</f>
        <v>2</v>
      </c>
      <c r="AF72" s="5">
        <f ca="1">IF(MatchData[[#This Row],[Ramparts Available]]=1,RANDBETWEEN(0,MatchData[[#This Row],[Ramparts High]]),0)</f>
        <v>0</v>
      </c>
      <c r="AG72" s="5">
        <f ca="1">IF(MatchData[[#This Row],[Drawbridge Available]]=1,RANDBETWEEN(0,MatchData[[#This Row],[Drawbridge High]]),0)</f>
        <v>1</v>
      </c>
      <c r="AH72" s="5">
        <f ca="1">IF(MatchData[[#This Row],[Sally Port Available]]=1,RANDBETWEEN(0,MatchData[[#This Row],[Sally Port High]]),0)</f>
        <v>0</v>
      </c>
      <c r="AI72" s="5">
        <f ca="1">IF(MatchData[[#This Row],[Rock Wall Available]]=1,RANDBETWEEN(0,MatchData[[#This Row],[Rock Wall High]]),0)</f>
        <v>0</v>
      </c>
      <c r="AJ72" s="5">
        <f ca="1">IF(MatchData[[#This Row],[Rough Terrain Available]]=1,RANDBETWEEN(0,MatchData[[#This Row],[Rough Terrain High]]),0)</f>
        <v>1</v>
      </c>
      <c r="AK72" s="5">
        <f ca="1">IF(MatchData[[#This Row],[Low Bar Available]]=1,RANDBETWEEN(0,MatchData[[#This Row],[Low Bar High]]),0)</f>
        <v>2</v>
      </c>
      <c r="AL72" s="5">
        <f ca="1">IF(MatchData[Cheval Teleop Crossings]&gt;3,10, MatchData[Cheval Teleop Crossings]*5)</f>
        <v>10</v>
      </c>
      <c r="AM72" s="5">
        <f ca="1">IF(MatchData[Moat Teleop Crossings]&gt;3,10, MatchData[Moat Teleop Crossings]*5)</f>
        <v>10</v>
      </c>
      <c r="AN72" s="5">
        <f ca="1">IF(MatchData[Ramparts Teleop Crossings]&gt;3,10, MatchData[Ramparts Teleop Crossings]*5)</f>
        <v>0</v>
      </c>
      <c r="AO72" s="5">
        <f ca="1">IF(MatchData[Drawbridge Teleop Crossings]&gt;3,10, MatchData[Drawbridge Teleop Crossings]*5)</f>
        <v>5</v>
      </c>
      <c r="AP72" s="5">
        <f ca="1">IF(MatchData[Sally Port Teleop Crossings]&gt;3,10, MatchData[Sally Port Teleop Crossings]*5)</f>
        <v>0</v>
      </c>
      <c r="AQ72" s="5">
        <f ca="1">IF(MatchData[Rock Wall Teleop Crossings]&gt;3,10, MatchData[Rock Wall Teleop Crossings]*5)</f>
        <v>0</v>
      </c>
      <c r="AR72" s="5">
        <f ca="1">IF(MatchData[Rough Terrain Teleop Crossings]&gt;3,10, MatchData[Rough Terrain Teleop Crossings]*5)</f>
        <v>5</v>
      </c>
      <c r="AS72" s="5">
        <f ca="1">IF(MatchData[Low Bar Teleop Crossings]&gt;3,10, MatchData[Low Bar Teleop Crossings]*5)</f>
        <v>10</v>
      </c>
      <c r="AT72" s="5">
        <f ca="1">SUM(MatchData[[#This Row],[Portcullis Teleop Crossings]:[Low Bar Teleop Crossings]])</f>
        <v>8</v>
      </c>
      <c r="AU72" s="5">
        <f ca="1">IF(RANDBETWEEN(1,4)&gt;1,1,0)</f>
        <v>0</v>
      </c>
      <c r="AV72" s="5">
        <f ca="1">IF(MatchData[[#This Row],[Challenge Flag]]=1,0,IF(MatchData[[#This Row],[Climber]]=1,RANDBETWEEN(0,1),0))</f>
        <v>0</v>
      </c>
      <c r="AW72" s="5">
        <f ca="1">IF(MatchData[[#This Row],[Crossing Score]]&gt;=40,1,0)</f>
        <v>1</v>
      </c>
      <c r="AX72" s="5"/>
      <c r="AY72" s="5">
        <f ca="1">IF(RANDBETWEEN(1,100)&gt;95,1,0)</f>
        <v>0</v>
      </c>
      <c r="AZ72" s="5">
        <f ca="1">IF(RANDBETWEEN(1,100)&gt;80,1,0)</f>
        <v>0</v>
      </c>
      <c r="BA72" s="5">
        <f ca="1">IF(OR(MatchData[[#This Row],[Challenge Flag]],MatchData[[#This Row],[Climb Flag]]),1,0)</f>
        <v>0</v>
      </c>
      <c r="BB72" s="5">
        <f ca="1">MatchData[Auto High Goals]*10+MatchData[Teleop High Goals]*5</f>
        <v>0</v>
      </c>
      <c r="BC72" s="5">
        <f ca="1">MatchData[Auto Low Goals]*5+MatchData[Teleop Low Goals]*2</f>
        <v>12</v>
      </c>
      <c r="BD72" s="5">
        <f ca="1">MatchData[High Goal Score]+MatchData[Low Goal Score]</f>
        <v>12</v>
      </c>
      <c r="BE72" s="5">
        <f ca="1">MatchData[Teleop High Goals]+MatchData[Teleop Low Goals]</f>
        <v>6</v>
      </c>
      <c r="BF72" s="5">
        <f ca="1">MatchData[[#This Row],[Auto Reach Flag]]*2+SUM(MatchData[[#This Row],[Portcullis Auto Crossings]:[Low Bar Auto Crossings]])*10+MatchData[[#This Row],[Auto Low Goals]]*5+MatchData[Auto High Goals]*10</f>
        <v>0</v>
      </c>
      <c r="BG72" s="5">
        <f ca="1">SUM(MatchData[[#This Row],[Cheval Scored Teleop Crossings]:[Low Bar Scored Teleop Crossings]])</f>
        <v>40</v>
      </c>
      <c r="BH72" s="5">
        <f ca="1">MatchData[Challenge Flag]*5</f>
        <v>0</v>
      </c>
      <c r="BI72" s="5">
        <f ca="1">MatchData[Climb Flag]*15</f>
        <v>0</v>
      </c>
      <c r="BJ72" s="5">
        <f ca="1">SUM(MatchData[[#This Row],[Total Goal Score]],MatchData[[#This Row],[Crossing Score]],MatchData[[#This Row],[Challenge Score]],MatchData[[#This Row],[Climb Score]],MatchData[[#This Row],[Total Auto Score]])</f>
        <v>52</v>
      </c>
      <c r="BK72">
        <v>3</v>
      </c>
      <c r="BL72" s="5">
        <f ca="1">IF(RANDBETWEEN(0,10)&gt;=9,RANDBETWEEN(1,9),0)</f>
        <v>9</v>
      </c>
      <c r="BM72" s="5">
        <f>VLOOKUP(MatchData[[#This Row],[Persona]],Personas!$A$2:$O$5,3)</f>
        <v>2</v>
      </c>
      <c r="BN72" s="13">
        <f>VLOOKUP(MatchData[[#This Row],[Persona]],Personas!$A$2:$P$5,4)</f>
        <v>6</v>
      </c>
      <c r="BO72" s="13">
        <f>VLOOKUP(MatchData[[#This Row],[Persona]],Personas!$A$2:$P$5,5)</f>
        <v>0</v>
      </c>
      <c r="BP72" s="13">
        <f>VLOOKUP(MatchData[[#This Row],[Persona]],Personas!$A$2:$P$5,6)</f>
        <v>0</v>
      </c>
      <c r="BQ72" s="13">
        <f>VLOOKUP(MatchData[[#This Row],[Persona]],Personas!$A$2:$P$5,7)</f>
        <v>2</v>
      </c>
      <c r="BR72" s="13">
        <f>VLOOKUP(MatchData[[#This Row],[Persona]],Personas!$A$2:$P$5,8)</f>
        <v>2</v>
      </c>
      <c r="BS72" s="13">
        <f>VLOOKUP(MatchData[[#This Row],[Persona]],Personas!$A$2:$P$5,9)</f>
        <v>3</v>
      </c>
      <c r="BT72" s="13">
        <f>VLOOKUP(MatchData[[#This Row],[Persona]],Personas!$A$2:$P$5,10)</f>
        <v>3</v>
      </c>
      <c r="BU72" s="13">
        <f>VLOOKUP(MatchData[[#This Row],[Persona]],Personas!$A$2:$P$5,11)</f>
        <v>2</v>
      </c>
      <c r="BV72" s="13">
        <f>VLOOKUP(MatchData[[#This Row],[Persona]],Personas!$A$2:$P$5,12)</f>
        <v>2</v>
      </c>
      <c r="BW72" s="13">
        <f>VLOOKUP(MatchData[[#This Row],[Persona]],Personas!$A$2:$P$5,13)</f>
        <v>3</v>
      </c>
      <c r="BX72" s="13">
        <f>VLOOKUP(MatchData[[#This Row],[Persona]],Personas!$A$2:$P$5,14)</f>
        <v>3</v>
      </c>
      <c r="BY72" s="13">
        <f>VLOOKUP(MatchData[[#This Row],[Persona]],Personas!$A$2:$P$5,15)</f>
        <v>4</v>
      </c>
      <c r="BZ72" s="13">
        <f>VLOOKUP(MatchData[[#This Row],[Persona]],Personas!$A$2:$P$5,16)</f>
        <v>1</v>
      </c>
      <c r="CA72" s="14">
        <f ca="1">ROUND(SUMIF(MatchData[Team],MatchData[[#This Row],[Team]],MatchData[Teleop Low Goals])/COUNTIF(MatchData[Team],MatchData[[#This Row],[Team]]),2)</f>
        <v>3.5</v>
      </c>
      <c r="CB72" s="14">
        <f ca="1">ROUND(SUMIF(MatchData[Team],MatchData[[#This Row],[Team]],MatchData[Teleop High Goals])/COUNTIF(MatchData[Team],MatchData[[#This Row],[Team]]),2)</f>
        <v>0</v>
      </c>
      <c r="CC72" s="14">
        <f>COUNTIF(MatchData[Team],MatchData[[#This Row],[Team]])</f>
        <v>6</v>
      </c>
      <c r="CD72" s="14">
        <f>SUMIF(MatchData[Team],MatchData[[#This Row],[Team]],MatchData[Portcullis Available])</f>
        <v>0</v>
      </c>
      <c r="CE72" s="14">
        <f>SUMIF(MatchData[Team],MatchData[[#This Row],[Team]],MatchData[Cheval Available])</f>
        <v>6</v>
      </c>
      <c r="CF72" s="14">
        <f>SUMIF(MatchData[Team],MatchData[[#This Row],[Team]],MatchData[Moat Available])</f>
        <v>6</v>
      </c>
      <c r="CG72" s="14">
        <f>SUMIF(MatchData[Team],MatchData[[#This Row],[Team]],MatchData[Ramparts Available])</f>
        <v>0</v>
      </c>
      <c r="CH72" s="14">
        <f>SUMIF(MatchData[Team],MatchData[[#This Row],[Team]],MatchData[Drawbridge Available])</f>
        <v>3</v>
      </c>
      <c r="CI72" s="14">
        <f>SUMIF(MatchData[Team],MatchData[[#This Row],[Team]],MatchData[Sally Port Available])</f>
        <v>3</v>
      </c>
      <c r="CJ72" s="14">
        <f>SUMIF(MatchData[Team],MatchData[[#This Row],[Team]],MatchData[Rock Wall Available])</f>
        <v>3</v>
      </c>
      <c r="CK72" s="14">
        <f>SUMIF(MatchData[Team],MatchData[[#This Row],[Team]],MatchData[Rough Terrain Available])</f>
        <v>3</v>
      </c>
      <c r="CL72" s="14">
        <f>SUMIF(MatchData[Team],MatchData[[#This Row],[Team]],MatchData[Low Bar Available])</f>
        <v>6</v>
      </c>
      <c r="CM72" s="14">
        <f ca="1">SUMIF(MatchData[Team],MatchData[[#This Row],[Team]],MatchData[Portcullis Teleop Crossings])</f>
        <v>0</v>
      </c>
      <c r="CN72" s="14">
        <f ca="1">SUMIF(MatchData[Team],MatchData[[#This Row],[Team]],MatchData[Cheval Teleop Crossings])</f>
        <v>6</v>
      </c>
      <c r="CO72" s="14">
        <f ca="1">SUMIF(MatchData[Team],MatchData[[#This Row],[Team]],MatchData[Moat Teleop Crossings])</f>
        <v>11</v>
      </c>
      <c r="CP72" s="14">
        <f ca="1">SUMIF(MatchData[Team],MatchData[[#This Row],[Team]],MatchData[Ramparts Teleop Crossings])</f>
        <v>0</v>
      </c>
      <c r="CQ72" s="14">
        <f ca="1">SUMIF(MatchData[Team],MatchData[[#This Row],[Team]],MatchData[Drawbridge Teleop Crossings])</f>
        <v>4</v>
      </c>
      <c r="CR72" s="14">
        <f ca="1">SUMIF(MatchData[Team],MatchData[[#This Row],[Team]],MatchData[Sally Port Teleop Crossings])</f>
        <v>2</v>
      </c>
      <c r="CS72" s="14">
        <f ca="1">SUMIF(MatchData[Team],MatchData[[#This Row],[Team]],MatchData[Rock Wall Teleop Crossings])</f>
        <v>6</v>
      </c>
      <c r="CT72" s="14">
        <f ca="1">SUMIF(MatchData[Team],MatchData[[#This Row],[Team]],MatchData[Rough Terrain Teleop Crossings])</f>
        <v>5</v>
      </c>
      <c r="CU72" s="14">
        <f ca="1">SUMIF(MatchData[Team],MatchData[[#This Row],[Team]],MatchData[Low Bar Teleop Crossings])</f>
        <v>9</v>
      </c>
      <c r="CV72" s="14">
        <f ca="1">IFERROR(ROUND(MatchData[[#This Row],[Portcullis Sum]]/MatchData[[#This Row],[Portcullis Avail Count]],2),0)</f>
        <v>0</v>
      </c>
      <c r="CW72">
        <f ca="1">IFERROR(ROUND(MatchData[[#This Row],[Cheval Sum]]/MatchData[[#This Row],[Cheval Avail Count]],2),0)</f>
        <v>1</v>
      </c>
      <c r="CX72">
        <f ca="1">IFERROR(ROUND(MatchData[[#This Row],[Moat Sum]]/MatchData[[#This Row],[Moat Avail Count]],2),0)</f>
        <v>1.83</v>
      </c>
      <c r="CY72">
        <f ca="1">IFERROR(ROUND(MatchData[[#This Row],[Ramparts Sum]]/MatchData[[#This Row],[Ramparts Avail Count]],2),0)</f>
        <v>0</v>
      </c>
      <c r="CZ72">
        <f ca="1">IFERROR(ROUND(MatchData[[#This Row],[Drawbridge Sum]]/MatchData[[#This Row],[Drawbridge HAvail Countigh6]],2),0)</f>
        <v>1.33</v>
      </c>
      <c r="DA72">
        <f ca="1">IFERROR(ROUND(MatchData[[#This Row],[Sally Port Sum]]/MatchData[[#This Row],[Sally Port Avail Count]],2),0)</f>
        <v>0.67</v>
      </c>
      <c r="DB72">
        <f ca="1">IFERROR(ROUND(MatchData[[#This Row],[Rock Wall Sum]]/MatchData[[#This Row],[Rock Wall Avail Count]],2),0)</f>
        <v>2</v>
      </c>
      <c r="DC72">
        <f ca="1">IFERROR(ROUND(MatchData[[#This Row],[Rough Terrain Sum]]/MatchData[[#This Row],[Rough Terrain Avail Count]],2),0)</f>
        <v>1.67</v>
      </c>
      <c r="DD72">
        <f ca="1">IFERROR(ROUND(MatchData[[#This Row],[Low Bar Sum]]/MatchData[[#This Row],[Low Bar Avail Count]],2),0)</f>
        <v>1.5</v>
      </c>
      <c r="DE72" s="14">
        <f t="array" aca="1" ref="DE72" ca="1">MAX(IF(C$4:C$75=C72,BE$4:BE$75))</f>
        <v>6</v>
      </c>
      <c r="DF72" s="14">
        <f ca="1">AVERAGEIF(MatchData[Team],MatchData[Team],MatchData[Total Score])</f>
        <v>51.166666666666664</v>
      </c>
      <c r="DG72" s="14">
        <f ca="1">ROUND(AVERAGEIF(MatchData[Team],MatchData[Team],MatchData[Climb or Challenge Flag]),2)</f>
        <v>0.67</v>
      </c>
    </row>
    <row r="73" spans="1:111">
      <c r="A73" t="s">
        <v>54</v>
      </c>
      <c r="B73" s="4">
        <v>8</v>
      </c>
      <c r="C73">
        <v>1425</v>
      </c>
      <c r="D73" t="s">
        <v>56</v>
      </c>
      <c r="E73" t="s">
        <v>62</v>
      </c>
      <c r="F73">
        <f ca="1">IF(MatchData[[#This Row],[Persona]] = 4,RANDBETWEEN(0,1),0)</f>
        <v>0</v>
      </c>
      <c r="G73">
        <f ca="1">IF(MatchData[[#This Row],[Persona]] = 3,RANDBETWEEN(0,1),0)</f>
        <v>0</v>
      </c>
      <c r="H73">
        <f ca="1">RANDBETWEEN(MatchData[[#This Row],[High Goal Low]],MatchData[[#This Row],[High Goal High]])</f>
        <v>0</v>
      </c>
      <c r="I73">
        <f ca="1">RANDBETWEEN(MatchData[[#This Row],[Low Goal Low]],MatchData[[#This Row],[Low Goal High]])</f>
        <v>2</v>
      </c>
      <c r="J73" s="6"/>
      <c r="K73" s="6">
        <v>1</v>
      </c>
      <c r="L73" s="6">
        <v>1</v>
      </c>
      <c r="M73" s="6"/>
      <c r="N73" s="6"/>
      <c r="O73" s="6">
        <v>1</v>
      </c>
      <c r="P73" s="6">
        <v>1</v>
      </c>
      <c r="Q73" s="5"/>
      <c r="R73" s="5">
        <v>1</v>
      </c>
      <c r="S73" s="5">
        <f ca="1">IF(MatchData[[#This Row],[Auto Crossing Test Generator]]=0,RANDBETWEEN(0,1),0)</f>
        <v>1</v>
      </c>
      <c r="T73" s="5">
        <f ca="1">IF(MatchData[Auto Crossing Test Generator]=1,1,0)</f>
        <v>0</v>
      </c>
      <c r="U73" s="5">
        <f ca="1">IF(MatchData[[#This Row],[Auto Crossing Test Generator]]=2,RANDBETWEEN(0,1),0)</f>
        <v>0</v>
      </c>
      <c r="V73" s="5">
        <f ca="1">IF(MatchData[[#This Row],[Auto Crossing Test Generator]]=3,RANDBETWEEN(0,1),0)</f>
        <v>0</v>
      </c>
      <c r="W73" s="5">
        <f ca="1">IF(MatchData[[#This Row],[Auto Crossing Test Generator]]=4,RANDBETWEEN(0,1),0)</f>
        <v>0</v>
      </c>
      <c r="X73" s="5">
        <f ca="1">IF(MatchData[[#This Row],[Auto Crossing Test Generator]]=5,RANDBETWEEN(0,1),0)</f>
        <v>0</v>
      </c>
      <c r="Y73" s="5">
        <f ca="1">IF(MatchData[[#This Row],[Auto Crossing Test Generator]]=6,RANDBETWEEN(0,1),0)</f>
        <v>0</v>
      </c>
      <c r="Z73" s="5">
        <f ca="1">IF(MatchData[[#This Row],[Auto Crossing Test Generator]]=7,RANDBETWEEN(0,1),0)</f>
        <v>0</v>
      </c>
      <c r="AA73" s="5">
        <f ca="1">IF(MatchData[[#This Row],[Auto Crossing Test Generator]]=8,RANDBETWEEN(0,1),0)</f>
        <v>0</v>
      </c>
      <c r="AB73" s="5">
        <f ca="1">IF(MatchData[[#This Row],[Auto Crossing Test Generator]]&gt;8,RANDBETWEEN(0,1),0)</f>
        <v>0</v>
      </c>
      <c r="AC73" s="5">
        <f ca="1">IF(MatchData[[#This Row],[Auto Crossing Test Generator]]=9,RANDBETWEEN(0,1),0)</f>
        <v>0</v>
      </c>
      <c r="AD73" s="5">
        <f ca="1">IF(MatchData[[#This Row],[Cheval Available]]=1,RANDBETWEEN(0,MatchData[[#This Row],[Cheval High]]),0)</f>
        <v>0</v>
      </c>
      <c r="AE73" s="5">
        <f ca="1">IF(MatchData[[#This Row],[Moat Available]]=1,RANDBETWEEN(0,MatchData[[#This Row],[Moat High]]),0)</f>
        <v>3</v>
      </c>
      <c r="AF73" s="5">
        <f ca="1">IF(MatchData[[#This Row],[Ramparts Available]]=1,RANDBETWEEN(0,MatchData[[#This Row],[Ramparts High]]),0)</f>
        <v>0</v>
      </c>
      <c r="AG73" s="5">
        <f ca="1">IF(MatchData[[#This Row],[Drawbridge Available]]=1,RANDBETWEEN(0,MatchData[[#This Row],[Drawbridge High]]),0)</f>
        <v>0</v>
      </c>
      <c r="AH73" s="5">
        <f ca="1">IF(MatchData[[#This Row],[Sally Port Available]]=1,RANDBETWEEN(0,MatchData[[#This Row],[Sally Port High]]),0)</f>
        <v>0</v>
      </c>
      <c r="AI73" s="5">
        <f ca="1">IF(MatchData[[#This Row],[Rock Wall Available]]=1,RANDBETWEEN(0,MatchData[[#This Row],[Rock Wall High]]),0)</f>
        <v>3</v>
      </c>
      <c r="AJ73" s="5">
        <f ca="1">IF(MatchData[[#This Row],[Rough Terrain Available]]=1,RANDBETWEEN(0,MatchData[[#This Row],[Rough Terrain High]]),0)</f>
        <v>0</v>
      </c>
      <c r="AK73" s="5">
        <f ca="1">IF(MatchData[[#This Row],[Low Bar Available]]=1,RANDBETWEEN(0,MatchData[[#This Row],[Low Bar High]]),0)</f>
        <v>0</v>
      </c>
      <c r="AL73" s="5">
        <f ca="1">IF(MatchData[Cheval Teleop Crossings]&gt;3,10, MatchData[Cheval Teleop Crossings]*5)</f>
        <v>0</v>
      </c>
      <c r="AM73" s="5">
        <f ca="1">IF(MatchData[Moat Teleop Crossings]&gt;3,10, MatchData[Moat Teleop Crossings]*5)</f>
        <v>15</v>
      </c>
      <c r="AN73" s="5">
        <f ca="1">IF(MatchData[Ramparts Teleop Crossings]&gt;3,10, MatchData[Ramparts Teleop Crossings]*5)</f>
        <v>0</v>
      </c>
      <c r="AO73" s="5">
        <f ca="1">IF(MatchData[Drawbridge Teleop Crossings]&gt;3,10, MatchData[Drawbridge Teleop Crossings]*5)</f>
        <v>0</v>
      </c>
      <c r="AP73" s="5">
        <f ca="1">IF(MatchData[Sally Port Teleop Crossings]&gt;3,10, MatchData[Sally Port Teleop Crossings]*5)</f>
        <v>0</v>
      </c>
      <c r="AQ73" s="5">
        <f ca="1">IF(MatchData[Rock Wall Teleop Crossings]&gt;3,10, MatchData[Rock Wall Teleop Crossings]*5)</f>
        <v>15</v>
      </c>
      <c r="AR73" s="5">
        <f ca="1">IF(MatchData[Rough Terrain Teleop Crossings]&gt;3,10, MatchData[Rough Terrain Teleop Crossings]*5)</f>
        <v>0</v>
      </c>
      <c r="AS73" s="5">
        <f ca="1">IF(MatchData[Low Bar Teleop Crossings]&gt;3,10, MatchData[Low Bar Teleop Crossings]*5)</f>
        <v>0</v>
      </c>
      <c r="AT73" s="5">
        <f ca="1">SUM(MatchData[[#This Row],[Portcullis Teleop Crossings]:[Low Bar Teleop Crossings]])</f>
        <v>6</v>
      </c>
      <c r="AU73" s="5">
        <f ca="1">IF(RANDBETWEEN(1,4)&gt;1,1,0)</f>
        <v>1</v>
      </c>
      <c r="AV73" s="5">
        <f ca="1">IF(MatchData[[#This Row],[Challenge Flag]]=1,0,IF(MatchData[[#This Row],[Climber]]=1,RANDBETWEEN(0,1),0))</f>
        <v>0</v>
      </c>
      <c r="AW73" s="5">
        <f ca="1">IF(MatchData[[#This Row],[Crossing Score]]&gt;=40,1,0)</f>
        <v>0</v>
      </c>
      <c r="AX73" s="5"/>
      <c r="AY73" s="5">
        <f ca="1">IF(RANDBETWEEN(1,100)&gt;95,1,0)</f>
        <v>0</v>
      </c>
      <c r="AZ73" s="5">
        <f ca="1">IF(RANDBETWEEN(1,100)&gt;80,1,0)</f>
        <v>0</v>
      </c>
      <c r="BA73" s="5">
        <f ca="1">IF(OR(MatchData[[#This Row],[Challenge Flag]],MatchData[[#This Row],[Climb Flag]]),1,0)</f>
        <v>1</v>
      </c>
      <c r="BB73" s="5">
        <f ca="1">MatchData[Auto High Goals]*10+MatchData[Teleop High Goals]*5</f>
        <v>0</v>
      </c>
      <c r="BC73" s="5">
        <f ca="1">MatchData[Auto Low Goals]*5+MatchData[Teleop Low Goals]*2</f>
        <v>4</v>
      </c>
      <c r="BD73" s="5">
        <f ca="1">MatchData[High Goal Score]+MatchData[Low Goal Score]</f>
        <v>4</v>
      </c>
      <c r="BE73" s="5">
        <f ca="1">MatchData[Teleop High Goals]+MatchData[Teleop Low Goals]</f>
        <v>2</v>
      </c>
      <c r="BF73" s="5">
        <f ca="1">MatchData[[#This Row],[Auto Reach Flag]]*2+SUM(MatchData[[#This Row],[Portcullis Auto Crossings]:[Low Bar Auto Crossings]])*10+MatchData[[#This Row],[Auto Low Goals]]*5+MatchData[Auto High Goals]*10</f>
        <v>2</v>
      </c>
      <c r="BG73" s="5">
        <f ca="1">SUM(MatchData[[#This Row],[Cheval Scored Teleop Crossings]:[Low Bar Scored Teleop Crossings]])</f>
        <v>30</v>
      </c>
      <c r="BH73" s="5">
        <f ca="1">MatchData[Challenge Flag]*5</f>
        <v>5</v>
      </c>
      <c r="BI73" s="5">
        <f ca="1">MatchData[Climb Flag]*15</f>
        <v>0</v>
      </c>
      <c r="BJ73" s="5">
        <f ca="1">SUM(MatchData[[#This Row],[Total Goal Score]],MatchData[[#This Row],[Crossing Score]],MatchData[[#This Row],[Challenge Score]],MatchData[[#This Row],[Climb Score]],MatchData[[#This Row],[Total Auto Score]])</f>
        <v>41</v>
      </c>
      <c r="BK73">
        <v>3</v>
      </c>
      <c r="BL73" s="5">
        <f ca="1">IF(RANDBETWEEN(0,10)&gt;=9,RANDBETWEEN(1,9),0)</f>
        <v>0</v>
      </c>
      <c r="BM73" s="5">
        <f>VLOOKUP(MatchData[[#This Row],[Persona]],Personas!$A$2:$O$5,3)</f>
        <v>2</v>
      </c>
      <c r="BN73" s="13">
        <f>VLOOKUP(MatchData[[#This Row],[Persona]],Personas!$A$2:$P$5,4)</f>
        <v>6</v>
      </c>
      <c r="BO73" s="13">
        <f>VLOOKUP(MatchData[[#This Row],[Persona]],Personas!$A$2:$P$5,5)</f>
        <v>0</v>
      </c>
      <c r="BP73" s="13">
        <f>VLOOKUP(MatchData[[#This Row],[Persona]],Personas!$A$2:$P$5,6)</f>
        <v>0</v>
      </c>
      <c r="BQ73" s="13">
        <f>VLOOKUP(MatchData[[#This Row],[Persona]],Personas!$A$2:$P$5,7)</f>
        <v>2</v>
      </c>
      <c r="BR73" s="13">
        <f>VLOOKUP(MatchData[[#This Row],[Persona]],Personas!$A$2:$P$5,8)</f>
        <v>2</v>
      </c>
      <c r="BS73" s="13">
        <f>VLOOKUP(MatchData[[#This Row],[Persona]],Personas!$A$2:$P$5,9)</f>
        <v>3</v>
      </c>
      <c r="BT73" s="13">
        <f>VLOOKUP(MatchData[[#This Row],[Persona]],Personas!$A$2:$P$5,10)</f>
        <v>3</v>
      </c>
      <c r="BU73" s="13">
        <f>VLOOKUP(MatchData[[#This Row],[Persona]],Personas!$A$2:$P$5,11)</f>
        <v>2</v>
      </c>
      <c r="BV73" s="13">
        <f>VLOOKUP(MatchData[[#This Row],[Persona]],Personas!$A$2:$P$5,12)</f>
        <v>2</v>
      </c>
      <c r="BW73" s="13">
        <f>VLOOKUP(MatchData[[#This Row],[Persona]],Personas!$A$2:$P$5,13)</f>
        <v>3</v>
      </c>
      <c r="BX73" s="13">
        <f>VLOOKUP(MatchData[[#This Row],[Persona]],Personas!$A$2:$P$5,14)</f>
        <v>3</v>
      </c>
      <c r="BY73" s="13">
        <f>VLOOKUP(MatchData[[#This Row],[Persona]],Personas!$A$2:$P$5,15)</f>
        <v>4</v>
      </c>
      <c r="BZ73" s="13">
        <f>VLOOKUP(MatchData[[#This Row],[Persona]],Personas!$A$2:$P$5,16)</f>
        <v>1</v>
      </c>
      <c r="CA73" s="14">
        <f ca="1">ROUND(SUMIF(MatchData[Team],MatchData[[#This Row],[Team]],MatchData[Teleop Low Goals])/COUNTIF(MatchData[Team],MatchData[[#This Row],[Team]]),2)</f>
        <v>3.5</v>
      </c>
      <c r="CB73" s="14">
        <f ca="1">ROUND(SUMIF(MatchData[Team],MatchData[[#This Row],[Team]],MatchData[Teleop High Goals])/COUNTIF(MatchData[Team],MatchData[[#This Row],[Team]]),2)</f>
        <v>0</v>
      </c>
      <c r="CC73" s="14">
        <f>COUNTIF(MatchData[Team],MatchData[[#This Row],[Team]])</f>
        <v>6</v>
      </c>
      <c r="CD73" s="14">
        <f>SUMIF(MatchData[Team],MatchData[[#This Row],[Team]],MatchData[Portcullis Available])</f>
        <v>0</v>
      </c>
      <c r="CE73" s="14">
        <f>SUMIF(MatchData[Team],MatchData[[#This Row],[Team]],MatchData[Cheval Available])</f>
        <v>6</v>
      </c>
      <c r="CF73" s="14">
        <f>SUMIF(MatchData[Team],MatchData[[#This Row],[Team]],MatchData[Moat Available])</f>
        <v>6</v>
      </c>
      <c r="CG73" s="14">
        <f>SUMIF(MatchData[Team],MatchData[[#This Row],[Team]],MatchData[Ramparts Available])</f>
        <v>0</v>
      </c>
      <c r="CH73" s="14">
        <f>SUMIF(MatchData[Team],MatchData[[#This Row],[Team]],MatchData[Drawbridge Available])</f>
        <v>3</v>
      </c>
      <c r="CI73" s="14">
        <f>SUMIF(MatchData[Team],MatchData[[#This Row],[Team]],MatchData[Sally Port Available])</f>
        <v>3</v>
      </c>
      <c r="CJ73" s="14">
        <f>SUMIF(MatchData[Team],MatchData[[#This Row],[Team]],MatchData[Rock Wall Available])</f>
        <v>3</v>
      </c>
      <c r="CK73" s="14">
        <f>SUMIF(MatchData[Team],MatchData[[#This Row],[Team]],MatchData[Rough Terrain Available])</f>
        <v>3</v>
      </c>
      <c r="CL73" s="14">
        <f>SUMIF(MatchData[Team],MatchData[[#This Row],[Team]],MatchData[Low Bar Available])</f>
        <v>6</v>
      </c>
      <c r="CM73" s="14">
        <f ca="1">SUMIF(MatchData[Team],MatchData[[#This Row],[Team]],MatchData[Portcullis Teleop Crossings])</f>
        <v>0</v>
      </c>
      <c r="CN73" s="14">
        <f ca="1">SUMIF(MatchData[Team],MatchData[[#This Row],[Team]],MatchData[Cheval Teleop Crossings])</f>
        <v>6</v>
      </c>
      <c r="CO73" s="14">
        <f ca="1">SUMIF(MatchData[Team],MatchData[[#This Row],[Team]],MatchData[Moat Teleop Crossings])</f>
        <v>11</v>
      </c>
      <c r="CP73" s="14">
        <f ca="1">SUMIF(MatchData[Team],MatchData[[#This Row],[Team]],MatchData[Ramparts Teleop Crossings])</f>
        <v>0</v>
      </c>
      <c r="CQ73" s="14">
        <f ca="1">SUMIF(MatchData[Team],MatchData[[#This Row],[Team]],MatchData[Drawbridge Teleop Crossings])</f>
        <v>4</v>
      </c>
      <c r="CR73" s="14">
        <f ca="1">SUMIF(MatchData[Team],MatchData[[#This Row],[Team]],MatchData[Sally Port Teleop Crossings])</f>
        <v>2</v>
      </c>
      <c r="CS73" s="14">
        <f ca="1">SUMIF(MatchData[Team],MatchData[[#This Row],[Team]],MatchData[Rock Wall Teleop Crossings])</f>
        <v>6</v>
      </c>
      <c r="CT73" s="14">
        <f ca="1">SUMIF(MatchData[Team],MatchData[[#This Row],[Team]],MatchData[Rough Terrain Teleop Crossings])</f>
        <v>5</v>
      </c>
      <c r="CU73" s="14">
        <f ca="1">SUMIF(MatchData[Team],MatchData[[#This Row],[Team]],MatchData[Low Bar Teleop Crossings])</f>
        <v>9</v>
      </c>
      <c r="CV73" s="14">
        <f ca="1">IFERROR(ROUND(MatchData[[#This Row],[Portcullis Sum]]/MatchData[[#This Row],[Portcullis Avail Count]],2),0)</f>
        <v>0</v>
      </c>
      <c r="CW73">
        <f ca="1">IFERROR(ROUND(MatchData[[#This Row],[Cheval Sum]]/MatchData[[#This Row],[Cheval Avail Count]],2),0)</f>
        <v>1</v>
      </c>
      <c r="CX73">
        <f ca="1">IFERROR(ROUND(MatchData[[#This Row],[Moat Sum]]/MatchData[[#This Row],[Moat Avail Count]],2),0)</f>
        <v>1.83</v>
      </c>
      <c r="CY73">
        <f ca="1">IFERROR(ROUND(MatchData[[#This Row],[Ramparts Sum]]/MatchData[[#This Row],[Ramparts Avail Count]],2),0)</f>
        <v>0</v>
      </c>
      <c r="CZ73">
        <f ca="1">IFERROR(ROUND(MatchData[[#This Row],[Drawbridge Sum]]/MatchData[[#This Row],[Drawbridge HAvail Countigh6]],2),0)</f>
        <v>1.33</v>
      </c>
      <c r="DA73">
        <f ca="1">IFERROR(ROUND(MatchData[[#This Row],[Sally Port Sum]]/MatchData[[#This Row],[Sally Port Avail Count]],2),0)</f>
        <v>0.67</v>
      </c>
      <c r="DB73">
        <f ca="1">IFERROR(ROUND(MatchData[[#This Row],[Rock Wall Sum]]/MatchData[[#This Row],[Rock Wall Avail Count]],2),0)</f>
        <v>2</v>
      </c>
      <c r="DC73">
        <f ca="1">IFERROR(ROUND(MatchData[[#This Row],[Rough Terrain Sum]]/MatchData[[#This Row],[Rough Terrain Avail Count]],2),0)</f>
        <v>1.67</v>
      </c>
      <c r="DD73">
        <f ca="1">IFERROR(ROUND(MatchData[[#This Row],[Low Bar Sum]]/MatchData[[#This Row],[Low Bar Avail Count]],2),0)</f>
        <v>1.5</v>
      </c>
      <c r="DE73" s="14">
        <f t="array" aca="1" ref="DE73" ca="1">MAX(IF(C$4:C$75=C73,BE$4:BE$75))</f>
        <v>6</v>
      </c>
      <c r="DF73" s="14">
        <f ca="1">AVERAGEIF(MatchData[Team],MatchData[Team],MatchData[Total Score])</f>
        <v>51.166666666666664</v>
      </c>
      <c r="DG73" s="14">
        <f ca="1">ROUND(AVERAGEIF(MatchData[Team],MatchData[Team],MatchData[Climb or Challenge Flag]),2)</f>
        <v>0.67</v>
      </c>
    </row>
    <row r="74" spans="1:111">
      <c r="A74" t="s">
        <v>54</v>
      </c>
      <c r="B74" s="4">
        <v>10</v>
      </c>
      <c r="C74">
        <v>1425</v>
      </c>
      <c r="D74" t="s">
        <v>56</v>
      </c>
      <c r="E74" t="s">
        <v>59</v>
      </c>
      <c r="F74">
        <f ca="1">IF(MatchData[[#This Row],[Persona]] = 4,RANDBETWEEN(0,1),0)</f>
        <v>0</v>
      </c>
      <c r="G74">
        <f ca="1">IF(MatchData[[#This Row],[Persona]] = 3,RANDBETWEEN(0,1),0)</f>
        <v>0</v>
      </c>
      <c r="H74">
        <f ca="1">RANDBETWEEN(MatchData[[#This Row],[High Goal Low]],MatchData[[#This Row],[High Goal High]])</f>
        <v>0</v>
      </c>
      <c r="I74">
        <f ca="1">RANDBETWEEN(MatchData[[#This Row],[Low Goal Low]],MatchData[[#This Row],[Low Goal High]])</f>
        <v>6</v>
      </c>
      <c r="J74" s="6"/>
      <c r="K74" s="6">
        <v>1</v>
      </c>
      <c r="L74" s="6">
        <v>1</v>
      </c>
      <c r="M74" s="6"/>
      <c r="N74" s="6">
        <v>1</v>
      </c>
      <c r="O74" s="6"/>
      <c r="P74" s="6"/>
      <c r="Q74" s="5">
        <v>1</v>
      </c>
      <c r="R74" s="5">
        <v>1</v>
      </c>
      <c r="S74" s="5">
        <f ca="1">IF(MatchData[[#This Row],[Auto Crossing Test Generator]]=0,RANDBETWEEN(0,1),0)</f>
        <v>1</v>
      </c>
      <c r="T74" s="5">
        <f ca="1">IF(MatchData[Auto Crossing Test Generator]=1,1,0)</f>
        <v>0</v>
      </c>
      <c r="U74" s="5">
        <f ca="1">IF(MatchData[[#This Row],[Auto Crossing Test Generator]]=2,RANDBETWEEN(0,1),0)</f>
        <v>0</v>
      </c>
      <c r="V74" s="5">
        <f ca="1">IF(MatchData[[#This Row],[Auto Crossing Test Generator]]=3,RANDBETWEEN(0,1),0)</f>
        <v>0</v>
      </c>
      <c r="W74" s="5">
        <f ca="1">IF(MatchData[[#This Row],[Auto Crossing Test Generator]]=4,RANDBETWEEN(0,1),0)</f>
        <v>0</v>
      </c>
      <c r="X74" s="5">
        <f ca="1">IF(MatchData[[#This Row],[Auto Crossing Test Generator]]=5,RANDBETWEEN(0,1),0)</f>
        <v>0</v>
      </c>
      <c r="Y74" s="5">
        <f ca="1">IF(MatchData[[#This Row],[Auto Crossing Test Generator]]=6,RANDBETWEEN(0,1),0)</f>
        <v>0</v>
      </c>
      <c r="Z74" s="5">
        <f ca="1">IF(MatchData[[#This Row],[Auto Crossing Test Generator]]=7,RANDBETWEEN(0,1),0)</f>
        <v>0</v>
      </c>
      <c r="AA74" s="5">
        <f ca="1">IF(MatchData[[#This Row],[Auto Crossing Test Generator]]=8,RANDBETWEEN(0,1),0)</f>
        <v>0</v>
      </c>
      <c r="AB74" s="5">
        <f ca="1">IF(MatchData[[#This Row],[Auto Crossing Test Generator]]&gt;8,RANDBETWEEN(0,1),0)</f>
        <v>0</v>
      </c>
      <c r="AC74" s="5">
        <f ca="1">IF(MatchData[[#This Row],[Auto Crossing Test Generator]]=9,RANDBETWEEN(0,1),0)</f>
        <v>0</v>
      </c>
      <c r="AD74" s="5">
        <f ca="1">IF(MatchData[[#This Row],[Cheval Available]]=1,RANDBETWEEN(0,MatchData[[#This Row],[Cheval High]]),0)</f>
        <v>0</v>
      </c>
      <c r="AE74" s="5">
        <f ca="1">IF(MatchData[[#This Row],[Moat Available]]=1,RANDBETWEEN(0,MatchData[[#This Row],[Moat High]]),0)</f>
        <v>0</v>
      </c>
      <c r="AF74" s="5">
        <f ca="1">IF(MatchData[[#This Row],[Ramparts Available]]=1,RANDBETWEEN(0,MatchData[[#This Row],[Ramparts High]]),0)</f>
        <v>0</v>
      </c>
      <c r="AG74" s="5">
        <f ca="1">IF(MatchData[[#This Row],[Drawbridge Available]]=1,RANDBETWEEN(0,MatchData[[#This Row],[Drawbridge High]]),0)</f>
        <v>2</v>
      </c>
      <c r="AH74" s="5">
        <f ca="1">IF(MatchData[[#This Row],[Sally Port Available]]=1,RANDBETWEEN(0,MatchData[[#This Row],[Sally Port High]]),0)</f>
        <v>0</v>
      </c>
      <c r="AI74" s="5">
        <f ca="1">IF(MatchData[[#This Row],[Rock Wall Available]]=1,RANDBETWEEN(0,MatchData[[#This Row],[Rock Wall High]]),0)</f>
        <v>0</v>
      </c>
      <c r="AJ74" s="5">
        <f ca="1">IF(MatchData[[#This Row],[Rough Terrain Available]]=1,RANDBETWEEN(0,MatchData[[#This Row],[Rough Terrain High]]),0)</f>
        <v>3</v>
      </c>
      <c r="AK74" s="5">
        <f ca="1">IF(MatchData[[#This Row],[Low Bar Available]]=1,RANDBETWEEN(0,MatchData[[#This Row],[Low Bar High]]),0)</f>
        <v>1</v>
      </c>
      <c r="AL74" s="5">
        <f ca="1">IF(MatchData[Cheval Teleop Crossings]&gt;3,10, MatchData[Cheval Teleop Crossings]*5)</f>
        <v>0</v>
      </c>
      <c r="AM74" s="5">
        <f ca="1">IF(MatchData[Moat Teleop Crossings]&gt;3,10, MatchData[Moat Teleop Crossings]*5)</f>
        <v>0</v>
      </c>
      <c r="AN74" s="5">
        <f ca="1">IF(MatchData[Ramparts Teleop Crossings]&gt;3,10, MatchData[Ramparts Teleop Crossings]*5)</f>
        <v>0</v>
      </c>
      <c r="AO74" s="5">
        <f ca="1">IF(MatchData[Drawbridge Teleop Crossings]&gt;3,10, MatchData[Drawbridge Teleop Crossings]*5)</f>
        <v>10</v>
      </c>
      <c r="AP74" s="5">
        <f ca="1">IF(MatchData[Sally Port Teleop Crossings]&gt;3,10, MatchData[Sally Port Teleop Crossings]*5)</f>
        <v>0</v>
      </c>
      <c r="AQ74" s="5">
        <f ca="1">IF(MatchData[Rock Wall Teleop Crossings]&gt;3,10, MatchData[Rock Wall Teleop Crossings]*5)</f>
        <v>0</v>
      </c>
      <c r="AR74" s="5">
        <f ca="1">IF(MatchData[Rough Terrain Teleop Crossings]&gt;3,10, MatchData[Rough Terrain Teleop Crossings]*5)</f>
        <v>15</v>
      </c>
      <c r="AS74" s="5">
        <f ca="1">IF(MatchData[Low Bar Teleop Crossings]&gt;3,10, MatchData[Low Bar Teleop Crossings]*5)</f>
        <v>5</v>
      </c>
      <c r="AT74" s="5">
        <f ca="1">SUM(MatchData[[#This Row],[Portcullis Teleop Crossings]:[Low Bar Teleop Crossings]])</f>
        <v>6</v>
      </c>
      <c r="AU74" s="5">
        <f ca="1">IF(RANDBETWEEN(1,4)&gt;1,1,0)</f>
        <v>0</v>
      </c>
      <c r="AV74" s="5">
        <f ca="1">IF(MatchData[[#This Row],[Challenge Flag]]=1,0,IF(MatchData[[#This Row],[Climber]]=1,RANDBETWEEN(0,1),0))</f>
        <v>0</v>
      </c>
      <c r="AW74" s="5">
        <f ca="1">IF(MatchData[[#This Row],[Crossing Score]]&gt;=40,1,0)</f>
        <v>0</v>
      </c>
      <c r="AX74" s="5"/>
      <c r="AY74" s="5">
        <f ca="1">IF(RANDBETWEEN(1,100)&gt;95,1,0)</f>
        <v>0</v>
      </c>
      <c r="AZ74" s="5">
        <f ca="1">IF(RANDBETWEEN(1,100)&gt;80,1,0)</f>
        <v>1</v>
      </c>
      <c r="BA74" s="5">
        <f ca="1">IF(OR(MatchData[[#This Row],[Challenge Flag]],MatchData[[#This Row],[Climb Flag]]),1,0)</f>
        <v>0</v>
      </c>
      <c r="BB74" s="5">
        <f ca="1">MatchData[Auto High Goals]*10+MatchData[Teleop High Goals]*5</f>
        <v>0</v>
      </c>
      <c r="BC74" s="5">
        <f ca="1">MatchData[Auto Low Goals]*5+MatchData[Teleop Low Goals]*2</f>
        <v>12</v>
      </c>
      <c r="BD74" s="5">
        <f ca="1">MatchData[High Goal Score]+MatchData[Low Goal Score]</f>
        <v>12</v>
      </c>
      <c r="BE74" s="5">
        <f ca="1">MatchData[Teleop High Goals]+MatchData[Teleop Low Goals]</f>
        <v>6</v>
      </c>
      <c r="BF74" s="5">
        <f ca="1">MatchData[[#This Row],[Auto Reach Flag]]*2+SUM(MatchData[[#This Row],[Portcullis Auto Crossings]:[Low Bar Auto Crossings]])*10+MatchData[[#This Row],[Auto Low Goals]]*5+MatchData[Auto High Goals]*10</f>
        <v>2</v>
      </c>
      <c r="BG74" s="5">
        <f ca="1">SUM(MatchData[[#This Row],[Cheval Scored Teleop Crossings]:[Low Bar Scored Teleop Crossings]])</f>
        <v>30</v>
      </c>
      <c r="BH74" s="5">
        <f ca="1">MatchData[Challenge Flag]*5</f>
        <v>0</v>
      </c>
      <c r="BI74" s="5">
        <f ca="1">MatchData[Climb Flag]*15</f>
        <v>0</v>
      </c>
      <c r="BJ74" s="5">
        <f ca="1">SUM(MatchData[[#This Row],[Total Goal Score]],MatchData[[#This Row],[Crossing Score]],MatchData[[#This Row],[Challenge Score]],MatchData[[#This Row],[Climb Score]],MatchData[[#This Row],[Total Auto Score]])</f>
        <v>44</v>
      </c>
      <c r="BK74">
        <v>3</v>
      </c>
      <c r="BL74" s="5">
        <f ca="1">IF(RANDBETWEEN(0,10)&gt;=9,RANDBETWEEN(1,9),0)</f>
        <v>0</v>
      </c>
      <c r="BM74" s="5">
        <f>VLOOKUP(MatchData[[#This Row],[Persona]],Personas!$A$2:$O$5,3)</f>
        <v>2</v>
      </c>
      <c r="BN74" s="13">
        <f>VLOOKUP(MatchData[[#This Row],[Persona]],Personas!$A$2:$P$5,4)</f>
        <v>6</v>
      </c>
      <c r="BO74" s="13">
        <f>VLOOKUP(MatchData[[#This Row],[Persona]],Personas!$A$2:$P$5,5)</f>
        <v>0</v>
      </c>
      <c r="BP74" s="13">
        <f>VLOOKUP(MatchData[[#This Row],[Persona]],Personas!$A$2:$P$5,6)</f>
        <v>0</v>
      </c>
      <c r="BQ74" s="13">
        <f>VLOOKUP(MatchData[[#This Row],[Persona]],Personas!$A$2:$P$5,7)</f>
        <v>2</v>
      </c>
      <c r="BR74" s="13">
        <f>VLOOKUP(MatchData[[#This Row],[Persona]],Personas!$A$2:$P$5,8)</f>
        <v>2</v>
      </c>
      <c r="BS74" s="13">
        <f>VLOOKUP(MatchData[[#This Row],[Persona]],Personas!$A$2:$P$5,9)</f>
        <v>3</v>
      </c>
      <c r="BT74" s="13">
        <f>VLOOKUP(MatchData[[#This Row],[Persona]],Personas!$A$2:$P$5,10)</f>
        <v>3</v>
      </c>
      <c r="BU74" s="13">
        <f>VLOOKUP(MatchData[[#This Row],[Persona]],Personas!$A$2:$P$5,11)</f>
        <v>2</v>
      </c>
      <c r="BV74" s="13">
        <f>VLOOKUP(MatchData[[#This Row],[Persona]],Personas!$A$2:$P$5,12)</f>
        <v>2</v>
      </c>
      <c r="BW74" s="13">
        <f>VLOOKUP(MatchData[[#This Row],[Persona]],Personas!$A$2:$P$5,13)</f>
        <v>3</v>
      </c>
      <c r="BX74" s="13">
        <f>VLOOKUP(MatchData[[#This Row],[Persona]],Personas!$A$2:$P$5,14)</f>
        <v>3</v>
      </c>
      <c r="BY74" s="13">
        <f>VLOOKUP(MatchData[[#This Row],[Persona]],Personas!$A$2:$P$5,15)</f>
        <v>4</v>
      </c>
      <c r="BZ74" s="13">
        <f>VLOOKUP(MatchData[[#This Row],[Persona]],Personas!$A$2:$P$5,16)</f>
        <v>1</v>
      </c>
      <c r="CA74" s="14">
        <f ca="1">ROUND(SUMIF(MatchData[Team],MatchData[[#This Row],[Team]],MatchData[Teleop Low Goals])/COUNTIF(MatchData[Team],MatchData[[#This Row],[Team]]),2)</f>
        <v>3.5</v>
      </c>
      <c r="CB74" s="14">
        <f ca="1">ROUND(SUMIF(MatchData[Team],MatchData[[#This Row],[Team]],MatchData[Teleop High Goals])/COUNTIF(MatchData[Team],MatchData[[#This Row],[Team]]),2)</f>
        <v>0</v>
      </c>
      <c r="CC74" s="14">
        <f>COUNTIF(MatchData[Team],MatchData[[#This Row],[Team]])</f>
        <v>6</v>
      </c>
      <c r="CD74" s="14">
        <f>SUMIF(MatchData[Team],MatchData[[#This Row],[Team]],MatchData[Portcullis Available])</f>
        <v>0</v>
      </c>
      <c r="CE74" s="14">
        <f>SUMIF(MatchData[Team],MatchData[[#This Row],[Team]],MatchData[Cheval Available])</f>
        <v>6</v>
      </c>
      <c r="CF74" s="14">
        <f>SUMIF(MatchData[Team],MatchData[[#This Row],[Team]],MatchData[Moat Available])</f>
        <v>6</v>
      </c>
      <c r="CG74" s="14">
        <f>SUMIF(MatchData[Team],MatchData[[#This Row],[Team]],MatchData[Ramparts Available])</f>
        <v>0</v>
      </c>
      <c r="CH74" s="14">
        <f>SUMIF(MatchData[Team],MatchData[[#This Row],[Team]],MatchData[Drawbridge Available])</f>
        <v>3</v>
      </c>
      <c r="CI74" s="14">
        <f>SUMIF(MatchData[Team],MatchData[[#This Row],[Team]],MatchData[Sally Port Available])</f>
        <v>3</v>
      </c>
      <c r="CJ74" s="14">
        <f>SUMIF(MatchData[Team],MatchData[[#This Row],[Team]],MatchData[Rock Wall Available])</f>
        <v>3</v>
      </c>
      <c r="CK74" s="14">
        <f>SUMIF(MatchData[Team],MatchData[[#This Row],[Team]],MatchData[Rough Terrain Available])</f>
        <v>3</v>
      </c>
      <c r="CL74" s="14">
        <f>SUMIF(MatchData[Team],MatchData[[#This Row],[Team]],MatchData[Low Bar Available])</f>
        <v>6</v>
      </c>
      <c r="CM74" s="14">
        <f ca="1">SUMIF(MatchData[Team],MatchData[[#This Row],[Team]],MatchData[Portcullis Teleop Crossings])</f>
        <v>0</v>
      </c>
      <c r="CN74" s="14">
        <f ca="1">SUMIF(MatchData[Team],MatchData[[#This Row],[Team]],MatchData[Cheval Teleop Crossings])</f>
        <v>6</v>
      </c>
      <c r="CO74" s="14">
        <f ca="1">SUMIF(MatchData[Team],MatchData[[#This Row],[Team]],MatchData[Moat Teleop Crossings])</f>
        <v>11</v>
      </c>
      <c r="CP74" s="14">
        <f ca="1">SUMIF(MatchData[Team],MatchData[[#This Row],[Team]],MatchData[Ramparts Teleop Crossings])</f>
        <v>0</v>
      </c>
      <c r="CQ74" s="14">
        <f ca="1">SUMIF(MatchData[Team],MatchData[[#This Row],[Team]],MatchData[Drawbridge Teleop Crossings])</f>
        <v>4</v>
      </c>
      <c r="CR74" s="14">
        <f ca="1">SUMIF(MatchData[Team],MatchData[[#This Row],[Team]],MatchData[Sally Port Teleop Crossings])</f>
        <v>2</v>
      </c>
      <c r="CS74" s="14">
        <f ca="1">SUMIF(MatchData[Team],MatchData[[#This Row],[Team]],MatchData[Rock Wall Teleop Crossings])</f>
        <v>6</v>
      </c>
      <c r="CT74" s="14">
        <f ca="1">SUMIF(MatchData[Team],MatchData[[#This Row],[Team]],MatchData[Rough Terrain Teleop Crossings])</f>
        <v>5</v>
      </c>
      <c r="CU74" s="14">
        <f ca="1">SUMIF(MatchData[Team],MatchData[[#This Row],[Team]],MatchData[Low Bar Teleop Crossings])</f>
        <v>9</v>
      </c>
      <c r="CV74" s="14">
        <f ca="1">IFERROR(ROUND(MatchData[[#This Row],[Portcullis Sum]]/MatchData[[#This Row],[Portcullis Avail Count]],2),0)</f>
        <v>0</v>
      </c>
      <c r="CW74">
        <f ca="1">IFERROR(ROUND(MatchData[[#This Row],[Cheval Sum]]/MatchData[[#This Row],[Cheval Avail Count]],2),0)</f>
        <v>1</v>
      </c>
      <c r="CX74">
        <f ca="1">IFERROR(ROUND(MatchData[[#This Row],[Moat Sum]]/MatchData[[#This Row],[Moat Avail Count]],2),0)</f>
        <v>1.83</v>
      </c>
      <c r="CY74">
        <f ca="1">IFERROR(ROUND(MatchData[[#This Row],[Ramparts Sum]]/MatchData[[#This Row],[Ramparts Avail Count]],2),0)</f>
        <v>0</v>
      </c>
      <c r="CZ74">
        <f ca="1">IFERROR(ROUND(MatchData[[#This Row],[Drawbridge Sum]]/MatchData[[#This Row],[Drawbridge HAvail Countigh6]],2),0)</f>
        <v>1.33</v>
      </c>
      <c r="DA74">
        <f ca="1">IFERROR(ROUND(MatchData[[#This Row],[Sally Port Sum]]/MatchData[[#This Row],[Sally Port Avail Count]],2),0)</f>
        <v>0.67</v>
      </c>
      <c r="DB74">
        <f ca="1">IFERROR(ROUND(MatchData[[#This Row],[Rock Wall Sum]]/MatchData[[#This Row],[Rock Wall Avail Count]],2),0)</f>
        <v>2</v>
      </c>
      <c r="DC74">
        <f ca="1">IFERROR(ROUND(MatchData[[#This Row],[Rough Terrain Sum]]/MatchData[[#This Row],[Rough Terrain Avail Count]],2),0)</f>
        <v>1.67</v>
      </c>
      <c r="DD74">
        <f ca="1">IFERROR(ROUND(MatchData[[#This Row],[Low Bar Sum]]/MatchData[[#This Row],[Low Bar Avail Count]],2),0)</f>
        <v>1.5</v>
      </c>
      <c r="DE74" s="14">
        <f t="array" aca="1" ref="DE74" ca="1">MAX(IF(C$4:C$75=C74,BE$4:BE$75))</f>
        <v>6</v>
      </c>
      <c r="DF74" s="14">
        <f ca="1">AVERAGEIF(MatchData[Team],MatchData[Team],MatchData[Total Score])</f>
        <v>51.166666666666664</v>
      </c>
      <c r="DG74" s="14">
        <f ca="1">ROUND(AVERAGEIF(MatchData[Team],MatchData[Team],MatchData[Climb or Challenge Flag]),2)</f>
        <v>0.67</v>
      </c>
    </row>
    <row r="75" spans="1:111">
      <c r="A75" t="s">
        <v>54</v>
      </c>
      <c r="B75" s="4">
        <v>12</v>
      </c>
      <c r="C75">
        <v>1425</v>
      </c>
      <c r="D75" t="s">
        <v>56</v>
      </c>
      <c r="E75" t="s">
        <v>64</v>
      </c>
      <c r="F75">
        <f ca="1">IF(MatchData[[#This Row],[Persona]] = 4,RANDBETWEEN(0,1),0)</f>
        <v>0</v>
      </c>
      <c r="G75">
        <f ca="1">IF(MatchData[[#This Row],[Persona]] = 3,RANDBETWEEN(0,1),0)</f>
        <v>0</v>
      </c>
      <c r="H75">
        <f ca="1">RANDBETWEEN(MatchData[[#This Row],[High Goal Low]],MatchData[[#This Row],[High Goal High]])</f>
        <v>0</v>
      </c>
      <c r="I75">
        <f ca="1">RANDBETWEEN(MatchData[[#This Row],[Low Goal Low]],MatchData[[#This Row],[Low Goal High]])</f>
        <v>2</v>
      </c>
      <c r="J75" s="6"/>
      <c r="K75" s="6">
        <v>1</v>
      </c>
      <c r="L75" s="6">
        <v>1</v>
      </c>
      <c r="M75" s="6"/>
      <c r="N75" s="6"/>
      <c r="O75" s="6">
        <v>1</v>
      </c>
      <c r="P75" s="6">
        <v>1</v>
      </c>
      <c r="Q75" s="5"/>
      <c r="R75" s="5">
        <v>1</v>
      </c>
      <c r="S75" s="5">
        <f ca="1">IF(MatchData[[#This Row],[Auto Crossing Test Generator]]=0,RANDBETWEEN(0,1),0)</f>
        <v>1</v>
      </c>
      <c r="T75" s="5">
        <f ca="1">IF(MatchData[Auto Crossing Test Generator]=1,1,0)</f>
        <v>0</v>
      </c>
      <c r="U75" s="5">
        <f ca="1">IF(MatchData[[#This Row],[Auto Crossing Test Generator]]=2,RANDBETWEEN(0,1),0)</f>
        <v>0</v>
      </c>
      <c r="V75" s="5">
        <f ca="1">IF(MatchData[[#This Row],[Auto Crossing Test Generator]]=3,RANDBETWEEN(0,1),0)</f>
        <v>0</v>
      </c>
      <c r="W75" s="5">
        <f ca="1">IF(MatchData[[#This Row],[Auto Crossing Test Generator]]=4,RANDBETWEEN(0,1),0)</f>
        <v>0</v>
      </c>
      <c r="X75" s="5">
        <f ca="1">IF(MatchData[[#This Row],[Auto Crossing Test Generator]]=5,RANDBETWEEN(0,1),0)</f>
        <v>0</v>
      </c>
      <c r="Y75" s="5">
        <f ca="1">IF(MatchData[[#This Row],[Auto Crossing Test Generator]]=6,RANDBETWEEN(0,1),0)</f>
        <v>0</v>
      </c>
      <c r="Z75" s="5">
        <f ca="1">IF(MatchData[[#This Row],[Auto Crossing Test Generator]]=7,RANDBETWEEN(0,1),0)</f>
        <v>0</v>
      </c>
      <c r="AA75" s="5">
        <f ca="1">IF(MatchData[[#This Row],[Auto Crossing Test Generator]]=8,RANDBETWEEN(0,1),0)</f>
        <v>0</v>
      </c>
      <c r="AB75" s="5">
        <f ca="1">IF(MatchData[[#This Row],[Auto Crossing Test Generator]]&gt;8,RANDBETWEEN(0,1),0)</f>
        <v>0</v>
      </c>
      <c r="AC75" s="5">
        <f ca="1">IF(MatchData[[#This Row],[Auto Crossing Test Generator]]=9,RANDBETWEEN(0,1),0)</f>
        <v>0</v>
      </c>
      <c r="AD75" s="5">
        <f ca="1">IF(MatchData[[#This Row],[Cheval Available]]=1,RANDBETWEEN(0,MatchData[[#This Row],[Cheval High]]),0)</f>
        <v>0</v>
      </c>
      <c r="AE75" s="5">
        <f ca="1">IF(MatchData[[#This Row],[Moat Available]]=1,RANDBETWEEN(0,MatchData[[#This Row],[Moat High]]),0)</f>
        <v>2</v>
      </c>
      <c r="AF75" s="5">
        <f ca="1">IF(MatchData[[#This Row],[Ramparts Available]]=1,RANDBETWEEN(0,MatchData[[#This Row],[Ramparts High]]),0)</f>
        <v>0</v>
      </c>
      <c r="AG75" s="5">
        <f ca="1">IF(MatchData[[#This Row],[Drawbridge Available]]=1,RANDBETWEEN(0,MatchData[[#This Row],[Drawbridge High]]),0)</f>
        <v>0</v>
      </c>
      <c r="AH75" s="5">
        <f ca="1">IF(MatchData[[#This Row],[Sally Port Available]]=1,RANDBETWEEN(0,MatchData[[#This Row],[Sally Port High]]),0)</f>
        <v>1</v>
      </c>
      <c r="AI75" s="5">
        <f ca="1">IF(MatchData[[#This Row],[Rock Wall Available]]=1,RANDBETWEEN(0,MatchData[[#This Row],[Rock Wall High]]),0)</f>
        <v>2</v>
      </c>
      <c r="AJ75" s="5">
        <f ca="1">IF(MatchData[[#This Row],[Rough Terrain Available]]=1,RANDBETWEEN(0,MatchData[[#This Row],[Rough Terrain High]]),0)</f>
        <v>0</v>
      </c>
      <c r="AK75" s="5">
        <f ca="1">IF(MatchData[[#This Row],[Low Bar Available]]=1,RANDBETWEEN(0,MatchData[[#This Row],[Low Bar High]]),0)</f>
        <v>2</v>
      </c>
      <c r="AL75" s="5">
        <f ca="1">IF(MatchData[Cheval Teleop Crossings]&gt;3,10, MatchData[Cheval Teleop Crossings]*5)</f>
        <v>0</v>
      </c>
      <c r="AM75" s="5">
        <f ca="1">IF(MatchData[Moat Teleop Crossings]&gt;3,10, MatchData[Moat Teleop Crossings]*5)</f>
        <v>10</v>
      </c>
      <c r="AN75" s="5">
        <f ca="1">IF(MatchData[Ramparts Teleop Crossings]&gt;3,10, MatchData[Ramparts Teleop Crossings]*5)</f>
        <v>0</v>
      </c>
      <c r="AO75" s="5">
        <f ca="1">IF(MatchData[Drawbridge Teleop Crossings]&gt;3,10, MatchData[Drawbridge Teleop Crossings]*5)</f>
        <v>0</v>
      </c>
      <c r="AP75" s="5">
        <f ca="1">IF(MatchData[Sally Port Teleop Crossings]&gt;3,10, MatchData[Sally Port Teleop Crossings]*5)</f>
        <v>5</v>
      </c>
      <c r="AQ75" s="5">
        <f ca="1">IF(MatchData[Rock Wall Teleop Crossings]&gt;3,10, MatchData[Rock Wall Teleop Crossings]*5)</f>
        <v>10</v>
      </c>
      <c r="AR75" s="5">
        <f ca="1">IF(MatchData[Rough Terrain Teleop Crossings]&gt;3,10, MatchData[Rough Terrain Teleop Crossings]*5)</f>
        <v>0</v>
      </c>
      <c r="AS75" s="5">
        <f ca="1">IF(MatchData[Low Bar Teleop Crossings]&gt;3,10, MatchData[Low Bar Teleop Crossings]*5)</f>
        <v>10</v>
      </c>
      <c r="AT75" s="5">
        <f ca="1">SUM(MatchData[[#This Row],[Portcullis Teleop Crossings]:[Low Bar Teleop Crossings]])</f>
        <v>7</v>
      </c>
      <c r="AU75" s="5">
        <f ca="1">IF(RANDBETWEEN(1,4)&gt;1,1,0)</f>
        <v>1</v>
      </c>
      <c r="AV75" s="5">
        <f ca="1">IF(MatchData[[#This Row],[Challenge Flag]]=1,0,IF(MatchData[[#This Row],[Climber]]=1,RANDBETWEEN(0,1),0))</f>
        <v>0</v>
      </c>
      <c r="AW75" s="5">
        <f ca="1">IF(MatchData[[#This Row],[Crossing Score]]&gt;=40,1,0)</f>
        <v>0</v>
      </c>
      <c r="AX75" s="5"/>
      <c r="AY75" s="5">
        <f ca="1">IF(RANDBETWEEN(1,100)&gt;95,1,0)</f>
        <v>0</v>
      </c>
      <c r="AZ75" s="5">
        <f ca="1">IF(RANDBETWEEN(1,100)&gt;80,1,0)</f>
        <v>1</v>
      </c>
      <c r="BA75" s="5">
        <f ca="1">IF(OR(MatchData[[#This Row],[Challenge Flag]],MatchData[[#This Row],[Climb Flag]]),1,0)</f>
        <v>1</v>
      </c>
      <c r="BB75" s="5">
        <f ca="1">MatchData[Auto High Goals]*10+MatchData[Teleop High Goals]*5</f>
        <v>0</v>
      </c>
      <c r="BC75" s="5">
        <f ca="1">MatchData[Auto Low Goals]*5+MatchData[Teleop Low Goals]*2</f>
        <v>4</v>
      </c>
      <c r="BD75" s="5">
        <f ca="1">MatchData[High Goal Score]+MatchData[Low Goal Score]</f>
        <v>4</v>
      </c>
      <c r="BE75" s="5">
        <f ca="1">MatchData[Teleop High Goals]+MatchData[Teleop Low Goals]</f>
        <v>2</v>
      </c>
      <c r="BF75" s="5">
        <f ca="1">MatchData[[#This Row],[Auto Reach Flag]]*2+SUM(MatchData[[#This Row],[Portcullis Auto Crossings]:[Low Bar Auto Crossings]])*10+MatchData[[#This Row],[Auto Low Goals]]*5+MatchData[Auto High Goals]*10</f>
        <v>2</v>
      </c>
      <c r="BG75" s="5">
        <f ca="1">SUM(MatchData[[#This Row],[Cheval Scored Teleop Crossings]:[Low Bar Scored Teleop Crossings]])</f>
        <v>35</v>
      </c>
      <c r="BH75" s="5">
        <f ca="1">MatchData[Challenge Flag]*5</f>
        <v>5</v>
      </c>
      <c r="BI75" s="5">
        <f ca="1">MatchData[Climb Flag]*15</f>
        <v>0</v>
      </c>
      <c r="BJ75" s="5">
        <f ca="1">SUM(MatchData[[#This Row],[Total Goal Score]],MatchData[[#This Row],[Crossing Score]],MatchData[[#This Row],[Challenge Score]],MatchData[[#This Row],[Climb Score]],MatchData[[#This Row],[Total Auto Score]])</f>
        <v>46</v>
      </c>
      <c r="BK75">
        <v>3</v>
      </c>
      <c r="BL75" s="5">
        <f ca="1">IF(RANDBETWEEN(0,10)&gt;=9,RANDBETWEEN(1,9),0)</f>
        <v>0</v>
      </c>
      <c r="BM75" s="5">
        <f>VLOOKUP(MatchData[[#This Row],[Persona]],Personas!$A$2:$O$5,3)</f>
        <v>2</v>
      </c>
      <c r="BN75" s="13">
        <f>VLOOKUP(MatchData[[#This Row],[Persona]],Personas!$A$2:$P$5,4)</f>
        <v>6</v>
      </c>
      <c r="BO75" s="13">
        <f>VLOOKUP(MatchData[[#This Row],[Persona]],Personas!$A$2:$P$5,5)</f>
        <v>0</v>
      </c>
      <c r="BP75" s="13">
        <f>VLOOKUP(MatchData[[#This Row],[Persona]],Personas!$A$2:$P$5,6)</f>
        <v>0</v>
      </c>
      <c r="BQ75" s="13">
        <f>VLOOKUP(MatchData[[#This Row],[Persona]],Personas!$A$2:$P$5,7)</f>
        <v>2</v>
      </c>
      <c r="BR75" s="13">
        <f>VLOOKUP(MatchData[[#This Row],[Persona]],Personas!$A$2:$P$5,8)</f>
        <v>2</v>
      </c>
      <c r="BS75" s="13">
        <f>VLOOKUP(MatchData[[#This Row],[Persona]],Personas!$A$2:$P$5,9)</f>
        <v>3</v>
      </c>
      <c r="BT75" s="13">
        <f>VLOOKUP(MatchData[[#This Row],[Persona]],Personas!$A$2:$P$5,10)</f>
        <v>3</v>
      </c>
      <c r="BU75" s="13">
        <f>VLOOKUP(MatchData[[#This Row],[Persona]],Personas!$A$2:$P$5,11)</f>
        <v>2</v>
      </c>
      <c r="BV75" s="13">
        <f>VLOOKUP(MatchData[[#This Row],[Persona]],Personas!$A$2:$P$5,12)</f>
        <v>2</v>
      </c>
      <c r="BW75" s="13">
        <f>VLOOKUP(MatchData[[#This Row],[Persona]],Personas!$A$2:$P$5,13)</f>
        <v>3</v>
      </c>
      <c r="BX75" s="13">
        <f>VLOOKUP(MatchData[[#This Row],[Persona]],Personas!$A$2:$P$5,14)</f>
        <v>3</v>
      </c>
      <c r="BY75" s="13">
        <f>VLOOKUP(MatchData[[#This Row],[Persona]],Personas!$A$2:$P$5,15)</f>
        <v>4</v>
      </c>
      <c r="BZ75" s="13">
        <f>VLOOKUP(MatchData[[#This Row],[Persona]],Personas!$A$2:$P$5,16)</f>
        <v>1</v>
      </c>
      <c r="CA75" s="14">
        <f ca="1">ROUND(SUMIF(MatchData[Team],MatchData[[#This Row],[Team]],MatchData[Teleop Low Goals])/COUNTIF(MatchData[Team],MatchData[[#This Row],[Team]]),2)</f>
        <v>3.5</v>
      </c>
      <c r="CB75" s="14">
        <f ca="1">ROUND(SUMIF(MatchData[Team],MatchData[[#This Row],[Team]],MatchData[Teleop High Goals])/COUNTIF(MatchData[Team],MatchData[[#This Row],[Team]]),2)</f>
        <v>0</v>
      </c>
      <c r="CC75" s="14">
        <f>COUNTIF(MatchData[Team],MatchData[[#This Row],[Team]])</f>
        <v>6</v>
      </c>
      <c r="CD75" s="14">
        <f>SUMIF(MatchData[Team],MatchData[[#This Row],[Team]],MatchData[Portcullis Available])</f>
        <v>0</v>
      </c>
      <c r="CE75" s="14">
        <f>SUMIF(MatchData[Team],MatchData[[#This Row],[Team]],MatchData[Cheval Available])</f>
        <v>6</v>
      </c>
      <c r="CF75" s="14">
        <f>SUMIF(MatchData[Team],MatchData[[#This Row],[Team]],MatchData[Moat Available])</f>
        <v>6</v>
      </c>
      <c r="CG75" s="14">
        <f>SUMIF(MatchData[Team],MatchData[[#This Row],[Team]],MatchData[Ramparts Available])</f>
        <v>0</v>
      </c>
      <c r="CH75" s="14">
        <f>SUMIF(MatchData[Team],MatchData[[#This Row],[Team]],MatchData[Drawbridge Available])</f>
        <v>3</v>
      </c>
      <c r="CI75" s="14">
        <f>SUMIF(MatchData[Team],MatchData[[#This Row],[Team]],MatchData[Sally Port Available])</f>
        <v>3</v>
      </c>
      <c r="CJ75" s="14">
        <f>SUMIF(MatchData[Team],MatchData[[#This Row],[Team]],MatchData[Rock Wall Available])</f>
        <v>3</v>
      </c>
      <c r="CK75" s="14">
        <f>SUMIF(MatchData[Team],MatchData[[#This Row],[Team]],MatchData[Rough Terrain Available])</f>
        <v>3</v>
      </c>
      <c r="CL75" s="14">
        <f>SUMIF(MatchData[Team],MatchData[[#This Row],[Team]],MatchData[Low Bar Available])</f>
        <v>6</v>
      </c>
      <c r="CM75" s="14">
        <f ca="1">SUMIF(MatchData[Team],MatchData[[#This Row],[Team]],MatchData[Portcullis Teleop Crossings])</f>
        <v>0</v>
      </c>
      <c r="CN75" s="14">
        <f ca="1">SUMIF(MatchData[Team],MatchData[[#This Row],[Team]],MatchData[Cheval Teleop Crossings])</f>
        <v>6</v>
      </c>
      <c r="CO75" s="14">
        <f ca="1">SUMIF(MatchData[Team],MatchData[[#This Row],[Team]],MatchData[Moat Teleop Crossings])</f>
        <v>11</v>
      </c>
      <c r="CP75" s="14">
        <f ca="1">SUMIF(MatchData[Team],MatchData[[#This Row],[Team]],MatchData[Ramparts Teleop Crossings])</f>
        <v>0</v>
      </c>
      <c r="CQ75" s="14">
        <f ca="1">SUMIF(MatchData[Team],MatchData[[#This Row],[Team]],MatchData[Drawbridge Teleop Crossings])</f>
        <v>4</v>
      </c>
      <c r="CR75" s="14">
        <f ca="1">SUMIF(MatchData[Team],MatchData[[#This Row],[Team]],MatchData[Sally Port Teleop Crossings])</f>
        <v>2</v>
      </c>
      <c r="CS75" s="14">
        <f ca="1">SUMIF(MatchData[Team],MatchData[[#This Row],[Team]],MatchData[Rock Wall Teleop Crossings])</f>
        <v>6</v>
      </c>
      <c r="CT75" s="14">
        <f ca="1">SUMIF(MatchData[Team],MatchData[[#This Row],[Team]],MatchData[Rough Terrain Teleop Crossings])</f>
        <v>5</v>
      </c>
      <c r="CU75" s="14">
        <f ca="1">SUMIF(MatchData[Team],MatchData[[#This Row],[Team]],MatchData[Low Bar Teleop Crossings])</f>
        <v>9</v>
      </c>
      <c r="CV75" s="14">
        <f ca="1">IFERROR(ROUND(MatchData[[#This Row],[Portcullis Sum]]/MatchData[[#This Row],[Portcullis Avail Count]],2),0)</f>
        <v>0</v>
      </c>
      <c r="CW75">
        <f ca="1">IFERROR(ROUND(MatchData[[#This Row],[Cheval Sum]]/MatchData[[#This Row],[Cheval Avail Count]],2),0)</f>
        <v>1</v>
      </c>
      <c r="CX75">
        <f ca="1">IFERROR(ROUND(MatchData[[#This Row],[Moat Sum]]/MatchData[[#This Row],[Moat Avail Count]],2),0)</f>
        <v>1.83</v>
      </c>
      <c r="CY75">
        <f ca="1">IFERROR(ROUND(MatchData[[#This Row],[Ramparts Sum]]/MatchData[[#This Row],[Ramparts Avail Count]],2),0)</f>
        <v>0</v>
      </c>
      <c r="CZ75">
        <f ca="1">IFERROR(ROUND(MatchData[[#This Row],[Drawbridge Sum]]/MatchData[[#This Row],[Drawbridge HAvail Countigh6]],2),0)</f>
        <v>1.33</v>
      </c>
      <c r="DA75">
        <f ca="1">IFERROR(ROUND(MatchData[[#This Row],[Sally Port Sum]]/MatchData[[#This Row],[Sally Port Avail Count]],2),0)</f>
        <v>0.67</v>
      </c>
      <c r="DB75">
        <f ca="1">IFERROR(ROUND(MatchData[[#This Row],[Rock Wall Sum]]/MatchData[[#This Row],[Rock Wall Avail Count]],2),0)</f>
        <v>2</v>
      </c>
      <c r="DC75">
        <f ca="1">IFERROR(ROUND(MatchData[[#This Row],[Rough Terrain Sum]]/MatchData[[#This Row],[Rough Terrain Avail Count]],2),0)</f>
        <v>1.67</v>
      </c>
      <c r="DD75">
        <f ca="1">IFERROR(ROUND(MatchData[[#This Row],[Low Bar Sum]]/MatchData[[#This Row],[Low Bar Avail Count]],2),0)</f>
        <v>1.5</v>
      </c>
      <c r="DE75" s="14">
        <f t="array" aca="1" ref="DE75" ca="1">MAX(IF(C$4:C$75=C75,BE$4:BE$75))</f>
        <v>6</v>
      </c>
      <c r="DF75" s="14">
        <f ca="1">AVERAGEIF(MatchData[Team],MatchData[Team],MatchData[Total Score])</f>
        <v>51.166666666666664</v>
      </c>
      <c r="DG75" s="14">
        <f ca="1">ROUND(AVERAGEIF(MatchData[Team],MatchData[Team],MatchData[Climb or Challenge Flag]),2)</f>
        <v>0.67</v>
      </c>
    </row>
  </sheetData>
  <mergeCells count="1">
    <mergeCell ref="BB1:BI1"/>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K13" sqref="K13"/>
    </sheetView>
  </sheetViews>
  <sheetFormatPr defaultRowHeight="14.5"/>
  <cols>
    <col min="1" max="1" width="9.6328125" customWidth="1"/>
    <col min="2" max="2" width="7.08984375" bestFit="1" customWidth="1"/>
    <col min="3" max="6" width="6.81640625" bestFit="1" customWidth="1"/>
  </cols>
  <sheetData>
    <row r="1" spans="1:7" ht="97" customHeight="1">
      <c r="A1" t="s">
        <v>1</v>
      </c>
      <c r="B1" s="36" t="s">
        <v>138</v>
      </c>
      <c r="C1" s="36" t="s">
        <v>146</v>
      </c>
      <c r="D1" s="36" t="s">
        <v>148</v>
      </c>
      <c r="E1" s="36" t="s">
        <v>147</v>
      </c>
      <c r="F1" s="36" t="s">
        <v>65</v>
      </c>
      <c r="G1" s="19" t="s">
        <v>180</v>
      </c>
    </row>
    <row r="2" spans="1:7">
      <c r="A2" s="2">
        <v>1001</v>
      </c>
      <c r="B2" t="s">
        <v>149</v>
      </c>
      <c r="C2">
        <v>6</v>
      </c>
      <c r="D2">
        <v>0</v>
      </c>
      <c r="E2">
        <v>0</v>
      </c>
      <c r="F2" s="15">
        <v>1</v>
      </c>
    </row>
    <row r="3" spans="1:7">
      <c r="A3" s="3">
        <v>1002</v>
      </c>
      <c r="B3" t="s">
        <v>149</v>
      </c>
      <c r="C3">
        <v>6</v>
      </c>
      <c r="D3">
        <v>0</v>
      </c>
      <c r="E3">
        <v>1</v>
      </c>
      <c r="F3" s="3">
        <v>2</v>
      </c>
    </row>
    <row r="4" spans="1:7">
      <c r="A4" s="2">
        <v>1003</v>
      </c>
      <c r="B4" t="s">
        <v>150</v>
      </c>
      <c r="C4">
        <v>10</v>
      </c>
      <c r="D4">
        <v>0</v>
      </c>
      <c r="E4">
        <v>1</v>
      </c>
      <c r="F4" s="2">
        <v>3</v>
      </c>
    </row>
    <row r="5" spans="1:7">
      <c r="A5" s="3">
        <v>1004</v>
      </c>
      <c r="B5" t="s">
        <v>151</v>
      </c>
      <c r="C5">
        <v>6</v>
      </c>
      <c r="D5">
        <v>1</v>
      </c>
      <c r="E5">
        <v>0</v>
      </c>
      <c r="F5" s="3">
        <v>4</v>
      </c>
      <c r="G5">
        <v>1</v>
      </c>
    </row>
    <row r="6" spans="1:7">
      <c r="A6" s="2">
        <v>1005</v>
      </c>
      <c r="B6" t="s">
        <v>149</v>
      </c>
      <c r="C6">
        <v>7</v>
      </c>
      <c r="D6">
        <v>0</v>
      </c>
      <c r="E6">
        <v>0</v>
      </c>
      <c r="F6" s="2">
        <v>1</v>
      </c>
    </row>
    <row r="7" spans="1:7">
      <c r="A7" s="3">
        <v>1006</v>
      </c>
      <c r="B7" t="s">
        <v>151</v>
      </c>
      <c r="C7">
        <v>10</v>
      </c>
      <c r="D7">
        <v>0</v>
      </c>
      <c r="E7">
        <v>1</v>
      </c>
      <c r="F7" s="3">
        <v>2</v>
      </c>
    </row>
    <row r="8" spans="1:7">
      <c r="A8" s="2">
        <v>1425</v>
      </c>
      <c r="B8" t="s">
        <v>151</v>
      </c>
      <c r="C8">
        <v>6</v>
      </c>
      <c r="D8">
        <v>0</v>
      </c>
      <c r="E8">
        <v>1</v>
      </c>
      <c r="F8" s="2">
        <v>3</v>
      </c>
    </row>
    <row r="9" spans="1:7">
      <c r="A9" s="3">
        <v>1008</v>
      </c>
      <c r="B9" t="s">
        <v>152</v>
      </c>
      <c r="C9">
        <v>7</v>
      </c>
      <c r="D9">
        <v>1</v>
      </c>
      <c r="E9">
        <v>0</v>
      </c>
      <c r="F9" s="3">
        <v>4</v>
      </c>
    </row>
    <row r="10" spans="1:7">
      <c r="A10" s="2">
        <v>1009</v>
      </c>
      <c r="B10" t="s">
        <v>152</v>
      </c>
      <c r="C10">
        <v>9</v>
      </c>
      <c r="D10">
        <v>0</v>
      </c>
      <c r="E10">
        <v>0</v>
      </c>
      <c r="F10" s="2">
        <v>1</v>
      </c>
      <c r="G10">
        <v>3</v>
      </c>
    </row>
    <row r="11" spans="1:7">
      <c r="A11" s="3">
        <v>1010</v>
      </c>
      <c r="B11" t="s">
        <v>149</v>
      </c>
      <c r="C11">
        <v>6</v>
      </c>
      <c r="D11">
        <v>0</v>
      </c>
      <c r="E11">
        <v>1</v>
      </c>
      <c r="F11" s="3">
        <v>2</v>
      </c>
    </row>
    <row r="12" spans="1:7">
      <c r="A12" s="2">
        <v>1011</v>
      </c>
      <c r="B12" t="s">
        <v>151</v>
      </c>
      <c r="C12">
        <v>9</v>
      </c>
      <c r="D12">
        <v>0</v>
      </c>
      <c r="E12">
        <v>1</v>
      </c>
      <c r="F12" s="2">
        <v>3</v>
      </c>
    </row>
    <row r="13" spans="1:7">
      <c r="A13" s="3">
        <v>1012</v>
      </c>
      <c r="B13" t="s">
        <v>150</v>
      </c>
      <c r="C13">
        <v>10</v>
      </c>
      <c r="D13">
        <v>1</v>
      </c>
      <c r="E13">
        <v>0</v>
      </c>
      <c r="F13" s="3">
        <v>4</v>
      </c>
      <c r="G13">
        <v>4</v>
      </c>
    </row>
    <row r="14" spans="1:7">
      <c r="A14" s="2">
        <v>1013</v>
      </c>
      <c r="B14" t="s">
        <v>149</v>
      </c>
      <c r="C14">
        <v>7</v>
      </c>
      <c r="D14">
        <v>0</v>
      </c>
      <c r="E14">
        <v>0</v>
      </c>
      <c r="F14" s="2">
        <v>1</v>
      </c>
      <c r="G14">
        <v>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showGridLines="0" workbookViewId="0">
      <selection activeCell="D9" sqref="D9"/>
    </sheetView>
  </sheetViews>
  <sheetFormatPr defaultRowHeight="14.5"/>
  <cols>
    <col min="1" max="1" width="16.26953125" style="25" customWidth="1"/>
    <col min="2" max="2" width="28" style="25" bestFit="1" customWidth="1"/>
    <col min="3" max="3" width="8.54296875" style="25" customWidth="1"/>
    <col min="4" max="4" width="5.36328125" style="25" customWidth="1"/>
    <col min="5" max="5" width="5.36328125" style="25" bestFit="1" customWidth="1"/>
    <col min="6" max="6" width="9.1796875" style="25" customWidth="1"/>
    <col min="7" max="7" width="5.81640625" style="25" customWidth="1"/>
    <col min="8" max="9" width="5.36328125" style="25" customWidth="1"/>
    <col min="10" max="10" width="8.7265625" style="25" customWidth="1"/>
    <col min="11" max="11" width="10.7265625" style="25" customWidth="1"/>
    <col min="12" max="15" width="4.81640625" style="25" customWidth="1"/>
    <col min="16" max="16" width="9.1796875" style="25" customWidth="1"/>
    <col min="17" max="17" width="5.81640625" style="25" customWidth="1"/>
    <col min="18" max="29" width="4.81640625" style="25" customWidth="1"/>
    <col min="30" max="30" width="8.7265625" style="25" customWidth="1"/>
    <col min="31" max="31" width="10.7265625" style="25" customWidth="1"/>
    <col min="32" max="40" width="34" style="25" bestFit="1" customWidth="1"/>
    <col min="41" max="43" width="34" style="25" customWidth="1"/>
    <col min="44" max="53" width="34" style="25" bestFit="1" customWidth="1"/>
    <col min="54" max="59" width="34" style="25" customWidth="1"/>
    <col min="60" max="66" width="34" style="25" bestFit="1" customWidth="1"/>
    <col min="67" max="71" width="34" style="25" customWidth="1"/>
    <col min="72" max="79" width="34" style="25" bestFit="1" customWidth="1"/>
    <col min="80" max="87" width="34" style="25" customWidth="1"/>
    <col min="88" max="92" width="34" style="25" bestFit="1" customWidth="1"/>
    <col min="93" max="99" width="34" style="25" customWidth="1"/>
    <col min="100" max="105" width="34" style="25" bestFit="1" customWidth="1"/>
    <col min="106" max="115" width="34" style="25" customWidth="1"/>
    <col min="116" max="118" width="34" style="25" bestFit="1" customWidth="1"/>
    <col min="119" max="127" width="34" style="25" customWidth="1"/>
    <col min="128" max="133" width="34" style="25" bestFit="1" customWidth="1"/>
    <col min="134" max="138" width="34" style="25" customWidth="1"/>
    <col min="139" max="139" width="34" style="25" bestFit="1" customWidth="1"/>
    <col min="140" max="143" width="34" style="25" customWidth="1"/>
    <col min="144" max="146" width="34" style="25" bestFit="1" customWidth="1"/>
    <col min="147" max="151" width="34" style="25" customWidth="1"/>
    <col min="152" max="152" width="34" style="25" bestFit="1" customWidth="1"/>
    <col min="153" max="155" width="34" style="25" customWidth="1"/>
    <col min="156" max="157" width="34" style="25" bestFit="1" customWidth="1"/>
    <col min="158" max="158" width="31.54296875" style="25" customWidth="1"/>
    <col min="159" max="159" width="31.90625" style="25" customWidth="1"/>
    <col min="160" max="160" width="24.36328125" style="25" customWidth="1"/>
    <col min="161" max="161" width="26.453125" style="25" customWidth="1"/>
    <col min="162" max="162" width="24.1796875" style="25" customWidth="1"/>
    <col min="163" max="163" width="23.1796875" style="25" customWidth="1"/>
    <col min="164" max="164" width="26.81640625" style="25" customWidth="1"/>
    <col min="165" max="165" width="28.453125" style="25" customWidth="1"/>
    <col min="166" max="166" width="26.54296875" style="25" customWidth="1"/>
    <col min="167" max="167" width="26.90625" style="25" customWidth="1"/>
    <col min="168" max="168" width="38.1796875" style="25" bestFit="1" customWidth="1"/>
    <col min="169" max="169" width="25.36328125" style="25" customWidth="1"/>
    <col min="170" max="171" width="34" style="25" customWidth="1"/>
    <col min="172" max="190" width="34" style="25" bestFit="1" customWidth="1"/>
    <col min="191" max="192" width="34" style="25" customWidth="1"/>
    <col min="193" max="197" width="34" style="25" bestFit="1" customWidth="1"/>
    <col min="198" max="199" width="34" style="25" customWidth="1"/>
    <col min="200" max="217" width="34" style="25" bestFit="1" customWidth="1"/>
    <col min="218" max="219" width="34" style="25" customWidth="1"/>
    <col min="220" max="224" width="34" style="25" bestFit="1" customWidth="1"/>
    <col min="225" max="227" width="34" style="25" customWidth="1"/>
    <col min="228" max="232" width="34" style="25" bestFit="1" customWidth="1"/>
    <col min="233" max="233" width="34" style="25" customWidth="1"/>
    <col min="234" max="244" width="34" style="25" bestFit="1" customWidth="1"/>
    <col min="245" max="246" width="34" style="25" customWidth="1"/>
    <col min="247" max="251" width="34" style="25" bestFit="1" customWidth="1"/>
    <col min="252" max="252" width="34" style="25" customWidth="1"/>
    <col min="253" max="253" width="34" style="25" bestFit="1" customWidth="1"/>
    <col min="254" max="255" width="34" style="25" customWidth="1"/>
    <col min="256" max="260" width="34" style="25" bestFit="1" customWidth="1"/>
    <col min="261" max="261" width="34" style="25" customWidth="1"/>
    <col min="262" max="308" width="34" style="25" bestFit="1" customWidth="1"/>
    <col min="309" max="309" width="34" style="25" customWidth="1"/>
    <col min="310" max="319" width="34" style="25" bestFit="1" customWidth="1"/>
    <col min="320" max="320" width="34" style="25" customWidth="1"/>
    <col min="321" max="325" width="34" style="25" bestFit="1" customWidth="1"/>
    <col min="326" max="326" width="31.08984375" style="25" bestFit="1" customWidth="1"/>
    <col min="327" max="327" width="31.453125" style="25" bestFit="1" customWidth="1"/>
    <col min="328" max="328" width="23.90625" style="25" bestFit="1" customWidth="1"/>
    <col min="329" max="329" width="26" style="25" bestFit="1" customWidth="1"/>
    <col min="330" max="330" width="23.7265625" style="25" bestFit="1" customWidth="1"/>
    <col min="331" max="331" width="22.7265625" style="25" bestFit="1" customWidth="1"/>
    <col min="332" max="332" width="26.36328125" style="25" bestFit="1" customWidth="1"/>
    <col min="333" max="333" width="28" style="25" bestFit="1" customWidth="1"/>
    <col min="334" max="334" width="26.08984375" style="25" bestFit="1" customWidth="1"/>
    <col min="335" max="335" width="26.453125" style="25" bestFit="1" customWidth="1"/>
    <col min="336" max="336" width="37.7265625" style="25" bestFit="1" customWidth="1"/>
    <col min="337" max="337" width="24.81640625" style="25" bestFit="1" customWidth="1"/>
    <col min="338" max="338" width="32.1796875" style="25" bestFit="1" customWidth="1"/>
    <col min="339" max="339" width="32.54296875" style="25" bestFit="1" customWidth="1"/>
    <col min="340" max="340" width="25" style="25" bestFit="1" customWidth="1"/>
    <col min="341" max="341" width="27.08984375" style="25" bestFit="1" customWidth="1"/>
    <col min="342" max="342" width="24.81640625" style="25" bestFit="1" customWidth="1"/>
    <col min="343" max="343" width="23.81640625" style="25" bestFit="1" customWidth="1"/>
    <col min="344" max="344" width="27.453125" style="25" bestFit="1" customWidth="1"/>
    <col min="345" max="345" width="29.08984375" style="25" bestFit="1" customWidth="1"/>
    <col min="346" max="346" width="27.1796875" style="25" bestFit="1" customWidth="1"/>
    <col min="347" max="347" width="27.54296875" style="25" bestFit="1" customWidth="1"/>
    <col min="348" max="348" width="38.81640625" style="25" bestFit="1" customWidth="1"/>
    <col min="349" max="349" width="26" style="25" bestFit="1" customWidth="1"/>
    <col min="350" max="16384" width="8.7265625" style="25"/>
  </cols>
  <sheetData>
    <row r="1" spans="1:11" ht="28.5" customHeight="1">
      <c r="A1" s="26"/>
      <c r="C1" s="46" t="s">
        <v>173</v>
      </c>
    </row>
    <row r="2" spans="1:11">
      <c r="A2" s="26"/>
      <c r="B2" s="20" t="s">
        <v>0</v>
      </c>
      <c r="C2" s="28">
        <v>6</v>
      </c>
      <c r="K2" s="33"/>
    </row>
    <row r="3" spans="1:11">
      <c r="A3" s="26"/>
    </row>
    <row r="4" spans="1:11">
      <c r="A4" s="26"/>
      <c r="B4" s="20"/>
      <c r="C4" s="20" t="s">
        <v>56</v>
      </c>
      <c r="D4" s="20"/>
      <c r="E4" s="20"/>
      <c r="F4" s="20" t="s">
        <v>85</v>
      </c>
      <c r="G4" s="20" t="s">
        <v>55</v>
      </c>
      <c r="H4" s="20"/>
      <c r="I4" s="20"/>
      <c r="J4" s="20" t="s">
        <v>86</v>
      </c>
    </row>
    <row r="5" spans="1:11">
      <c r="A5" s="26"/>
      <c r="B5" s="20"/>
      <c r="C5" s="20">
        <v>1008</v>
      </c>
      <c r="D5" s="20">
        <v>1009</v>
      </c>
      <c r="E5" s="20">
        <v>1010</v>
      </c>
      <c r="F5" s="20"/>
      <c r="G5" s="20">
        <v>1005</v>
      </c>
      <c r="H5" s="20">
        <v>1006</v>
      </c>
      <c r="I5" s="20">
        <v>1425</v>
      </c>
      <c r="J5" s="20"/>
    </row>
    <row r="6" spans="1:11">
      <c r="B6" s="28" t="s">
        <v>169</v>
      </c>
      <c r="C6" s="23">
        <v>48.6</v>
      </c>
      <c r="D6" s="23">
        <v>70.8</v>
      </c>
      <c r="E6" s="23">
        <v>28.8</v>
      </c>
      <c r="F6" s="23">
        <v>148.20000000000002</v>
      </c>
      <c r="G6" s="23">
        <v>21.333333333333332</v>
      </c>
      <c r="H6" s="23">
        <v>26</v>
      </c>
      <c r="I6" s="23">
        <v>53.833333333333336</v>
      </c>
      <c r="J6" s="23">
        <v>101.16666666666666</v>
      </c>
    </row>
    <row r="7" spans="1:11">
      <c r="B7" s="28" t="s">
        <v>179</v>
      </c>
      <c r="C7" s="23">
        <v>7</v>
      </c>
      <c r="D7" s="23">
        <v>10</v>
      </c>
      <c r="E7" s="23">
        <v>2</v>
      </c>
      <c r="F7" s="23">
        <v>19</v>
      </c>
      <c r="G7" s="23">
        <v>2</v>
      </c>
      <c r="H7" s="23">
        <v>0</v>
      </c>
      <c r="I7" s="23">
        <v>5</v>
      </c>
      <c r="J7" s="23">
        <v>7</v>
      </c>
    </row>
    <row r="8" spans="1:11">
      <c r="B8" s="28" t="s">
        <v>162</v>
      </c>
      <c r="C8" s="21">
        <v>2.4</v>
      </c>
      <c r="D8" s="21">
        <v>3.2</v>
      </c>
      <c r="E8" s="21">
        <v>0</v>
      </c>
      <c r="F8" s="21">
        <v>5.6</v>
      </c>
      <c r="G8" s="21">
        <v>0</v>
      </c>
      <c r="H8" s="21">
        <v>2.67</v>
      </c>
      <c r="I8" s="21">
        <v>3.83</v>
      </c>
      <c r="J8" s="21">
        <v>6.5</v>
      </c>
    </row>
    <row r="9" spans="1:11">
      <c r="B9" s="28" t="s">
        <v>163</v>
      </c>
      <c r="C9" s="21">
        <v>0</v>
      </c>
      <c r="D9" s="21">
        <v>2</v>
      </c>
      <c r="E9" s="21">
        <v>0</v>
      </c>
      <c r="F9" s="21">
        <v>2</v>
      </c>
      <c r="G9" s="21">
        <v>0</v>
      </c>
      <c r="H9" s="21">
        <v>0</v>
      </c>
      <c r="I9" s="21">
        <v>0</v>
      </c>
      <c r="J9" s="21">
        <v>0</v>
      </c>
    </row>
    <row r="10" spans="1:11">
      <c r="B10" s="28" t="s">
        <v>167</v>
      </c>
      <c r="C10" s="23">
        <v>7</v>
      </c>
      <c r="D10" s="23">
        <v>10</v>
      </c>
      <c r="E10" s="23">
        <v>4</v>
      </c>
      <c r="F10" s="23">
        <v>7</v>
      </c>
      <c r="G10" s="23">
        <v>5</v>
      </c>
      <c r="H10" s="23">
        <v>1</v>
      </c>
      <c r="I10" s="23">
        <v>6</v>
      </c>
      <c r="J10" s="23">
        <v>4</v>
      </c>
    </row>
    <row r="11" spans="1:11">
      <c r="B11" s="28" t="s">
        <v>164</v>
      </c>
      <c r="C11" s="21">
        <v>3</v>
      </c>
      <c r="D11" s="21">
        <v>6</v>
      </c>
      <c r="E11" s="21">
        <v>0</v>
      </c>
      <c r="F11" s="21">
        <v>9</v>
      </c>
      <c r="G11" s="21">
        <v>0</v>
      </c>
      <c r="H11" s="21">
        <v>4</v>
      </c>
      <c r="I11" s="21">
        <v>6</v>
      </c>
      <c r="J11" s="21">
        <v>10</v>
      </c>
    </row>
    <row r="12" spans="1:11">
      <c r="B12" s="28" t="s">
        <v>172</v>
      </c>
      <c r="C12" s="24">
        <v>0.8</v>
      </c>
      <c r="D12" s="24">
        <v>0.8</v>
      </c>
      <c r="E12" s="24">
        <v>0.8</v>
      </c>
      <c r="F12" s="24">
        <v>0.80000000000000016</v>
      </c>
      <c r="G12" s="24">
        <v>0.67</v>
      </c>
      <c r="H12" s="24">
        <v>0.83</v>
      </c>
      <c r="I12" s="24">
        <v>0.67</v>
      </c>
      <c r="J12" s="24">
        <v>0.72333333333333327</v>
      </c>
    </row>
    <row r="13" spans="1:11">
      <c r="A13" s="34" t="s">
        <v>57</v>
      </c>
      <c r="B13" s="28" t="s">
        <v>165</v>
      </c>
      <c r="C13" s="21">
        <v>0</v>
      </c>
      <c r="D13" s="21">
        <v>0</v>
      </c>
      <c r="E13" s="21">
        <v>0.5</v>
      </c>
      <c r="F13" s="21">
        <v>0.5</v>
      </c>
      <c r="G13" s="21">
        <v>0</v>
      </c>
      <c r="H13" s="21">
        <v>0</v>
      </c>
      <c r="I13" s="21">
        <v>0</v>
      </c>
      <c r="J13" s="21">
        <v>0</v>
      </c>
    </row>
    <row r="14" spans="1:11">
      <c r="A14" s="34"/>
      <c r="B14" s="28" t="s">
        <v>166</v>
      </c>
      <c r="C14" s="21">
        <v>0.4</v>
      </c>
      <c r="D14" s="21">
        <v>2</v>
      </c>
      <c r="E14" s="21">
        <v>0</v>
      </c>
      <c r="F14" s="21">
        <v>2.4</v>
      </c>
      <c r="G14" s="21">
        <v>0</v>
      </c>
      <c r="H14" s="21">
        <v>0</v>
      </c>
      <c r="I14" s="21">
        <v>1.33</v>
      </c>
      <c r="J14" s="21">
        <v>1.33</v>
      </c>
    </row>
    <row r="15" spans="1:11">
      <c r="A15" s="27" t="s">
        <v>58</v>
      </c>
      <c r="B15" s="28" t="s">
        <v>139</v>
      </c>
      <c r="C15" s="21">
        <v>1</v>
      </c>
      <c r="D15" s="21">
        <v>2.25</v>
      </c>
      <c r="E15" s="21">
        <v>2</v>
      </c>
      <c r="F15" s="21">
        <v>5.25</v>
      </c>
      <c r="G15" s="21">
        <v>1.25</v>
      </c>
      <c r="H15" s="21">
        <v>1</v>
      </c>
      <c r="I15" s="21">
        <v>1</v>
      </c>
      <c r="J15" s="21">
        <v>3.25</v>
      </c>
    </row>
    <row r="16" spans="1:11">
      <c r="A16" s="27"/>
      <c r="B16" s="28" t="s">
        <v>140</v>
      </c>
      <c r="C16" s="21">
        <v>0</v>
      </c>
      <c r="D16" s="21">
        <v>1</v>
      </c>
      <c r="E16" s="21">
        <v>1</v>
      </c>
      <c r="F16" s="21">
        <v>2</v>
      </c>
      <c r="G16" s="21">
        <v>0</v>
      </c>
      <c r="H16" s="21">
        <v>0</v>
      </c>
      <c r="I16" s="21">
        <v>0</v>
      </c>
      <c r="J16" s="21">
        <v>0</v>
      </c>
    </row>
    <row r="17" spans="1:10">
      <c r="A17" s="34" t="s">
        <v>59</v>
      </c>
      <c r="B17" s="28" t="s">
        <v>141</v>
      </c>
      <c r="C17" s="21">
        <v>0</v>
      </c>
      <c r="D17" s="21">
        <v>2</v>
      </c>
      <c r="E17" s="21">
        <v>0</v>
      </c>
      <c r="F17" s="21">
        <v>2</v>
      </c>
      <c r="G17" s="21">
        <v>0</v>
      </c>
      <c r="H17" s="21">
        <v>0</v>
      </c>
      <c r="I17" s="21">
        <v>1</v>
      </c>
      <c r="J17" s="21">
        <v>1</v>
      </c>
    </row>
    <row r="18" spans="1:10">
      <c r="A18" s="34"/>
      <c r="B18" s="28" t="s">
        <v>142</v>
      </c>
      <c r="C18" s="21">
        <v>1.5</v>
      </c>
      <c r="D18" s="21">
        <v>2</v>
      </c>
      <c r="E18" s="21">
        <v>0</v>
      </c>
      <c r="F18" s="21">
        <v>3.5</v>
      </c>
      <c r="G18" s="21">
        <v>0</v>
      </c>
      <c r="H18" s="21">
        <v>0</v>
      </c>
      <c r="I18" s="21">
        <v>2</v>
      </c>
      <c r="J18" s="21">
        <v>2</v>
      </c>
    </row>
    <row r="19" spans="1:10">
      <c r="A19" s="27" t="s">
        <v>60</v>
      </c>
      <c r="B19" s="28" t="s">
        <v>143</v>
      </c>
      <c r="C19" s="21">
        <v>1.5</v>
      </c>
      <c r="D19" s="21">
        <v>0.67</v>
      </c>
      <c r="E19" s="21">
        <v>0.5</v>
      </c>
      <c r="F19" s="21">
        <v>2.67</v>
      </c>
      <c r="G19" s="21">
        <v>1.33</v>
      </c>
      <c r="H19" s="21">
        <v>0.33</v>
      </c>
      <c r="I19" s="21">
        <v>1.33</v>
      </c>
      <c r="J19" s="21">
        <v>2.99</v>
      </c>
    </row>
    <row r="20" spans="1:10">
      <c r="A20" s="35"/>
      <c r="B20" s="28" t="s">
        <v>144</v>
      </c>
      <c r="C20" s="21">
        <v>2</v>
      </c>
      <c r="D20" s="21">
        <v>1.5</v>
      </c>
      <c r="E20" s="21">
        <v>1</v>
      </c>
      <c r="F20" s="21">
        <v>4.5</v>
      </c>
      <c r="G20" s="21">
        <v>1.67</v>
      </c>
      <c r="H20" s="21">
        <v>1</v>
      </c>
      <c r="I20" s="21">
        <v>1</v>
      </c>
      <c r="J20" s="21">
        <v>3.67</v>
      </c>
    </row>
    <row r="21" spans="1:10">
      <c r="B21" s="28" t="s">
        <v>145</v>
      </c>
      <c r="C21" s="21">
        <v>2.8</v>
      </c>
      <c r="D21" s="21">
        <v>1.8</v>
      </c>
      <c r="E21" s="21">
        <v>1.6</v>
      </c>
      <c r="F21" s="21">
        <v>6.1999999999999993</v>
      </c>
      <c r="G21" s="21">
        <v>1</v>
      </c>
      <c r="H21" s="21">
        <v>1</v>
      </c>
      <c r="I21" s="21">
        <v>2.5</v>
      </c>
      <c r="J21" s="21">
        <v>4.5</v>
      </c>
    </row>
  </sheetData>
  <conditionalFormatting pivot="1" sqref="F13:F14">
    <cfRule type="colorScale" priority="11">
      <colorScale>
        <cfvo type="min"/>
        <cfvo type="percentile" val="50"/>
        <cfvo type="max"/>
        <color rgb="FF63BE7B"/>
        <color rgb="FFFCFCFF"/>
        <color rgb="FFF8696B"/>
      </colorScale>
    </cfRule>
  </conditionalFormatting>
  <conditionalFormatting pivot="1" sqref="F15:F16">
    <cfRule type="colorScale" priority="10">
      <colorScale>
        <cfvo type="min"/>
        <cfvo type="percentile" val="50"/>
        <cfvo type="max"/>
        <color rgb="FF63BE7B"/>
        <color rgb="FFFCFCFF"/>
        <color rgb="FFF8696B"/>
      </colorScale>
    </cfRule>
  </conditionalFormatting>
  <conditionalFormatting pivot="1" sqref="F17:F18">
    <cfRule type="colorScale" priority="9">
      <colorScale>
        <cfvo type="min"/>
        <cfvo type="percentile" val="50"/>
        <cfvo type="max"/>
        <color rgb="FF63BE7B"/>
        <color rgb="FFFCFCFF"/>
        <color rgb="FFF8696B"/>
      </colorScale>
    </cfRule>
  </conditionalFormatting>
  <conditionalFormatting pivot="1" sqref="F19:F20">
    <cfRule type="colorScale" priority="8">
      <colorScale>
        <cfvo type="min"/>
        <cfvo type="percentile" val="50"/>
        <cfvo type="max"/>
        <color rgb="FF63BE7B"/>
        <color rgb="FFFCFCFF"/>
        <color rgb="FFF8696B"/>
      </colorScale>
    </cfRule>
  </conditionalFormatting>
  <conditionalFormatting pivot="1" sqref="J13:J14">
    <cfRule type="colorScale" priority="7">
      <colorScale>
        <cfvo type="min"/>
        <cfvo type="percentile" val="50"/>
        <cfvo type="max"/>
        <color rgb="FF63BE7B"/>
        <color rgb="FFFCFCFF"/>
        <color rgb="FFF8696B"/>
      </colorScale>
    </cfRule>
  </conditionalFormatting>
  <conditionalFormatting pivot="1" sqref="J15:J16">
    <cfRule type="colorScale" priority="6">
      <colorScale>
        <cfvo type="min"/>
        <cfvo type="percentile" val="50"/>
        <cfvo type="max"/>
        <color rgb="FF63BE7B"/>
        <color rgb="FFFCFCFF"/>
        <color rgb="FFF8696B"/>
      </colorScale>
    </cfRule>
  </conditionalFormatting>
  <conditionalFormatting pivot="1" sqref="J17:J18">
    <cfRule type="colorScale" priority="5">
      <colorScale>
        <cfvo type="min"/>
        <cfvo type="percentile" val="50"/>
        <cfvo type="max"/>
        <color rgb="FF63BE7B"/>
        <color rgb="FFFCFCFF"/>
        <color rgb="FFF8696B"/>
      </colorScale>
    </cfRule>
  </conditionalFormatting>
  <conditionalFormatting pivot="1" sqref="J19:J20">
    <cfRule type="colorScale" priority="4">
      <colorScale>
        <cfvo type="min"/>
        <cfvo type="percentile" val="50"/>
        <cfvo type="max"/>
        <color rgb="FF63BE7B"/>
        <color rgb="FFFCFCFF"/>
        <color rgb="FFF8696B"/>
      </colorScale>
    </cfRule>
  </conditionalFormatting>
  <conditionalFormatting sqref="C5:I5">
    <cfRule type="cellIs" dxfId="2" priority="1" operator="equal">
      <formula>1425</formula>
    </cfRule>
  </conditionalFormatting>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5"/>
  <sheetViews>
    <sheetView showGridLines="0" tabSelected="1" topLeftCell="A2" workbookViewId="0">
      <selection activeCell="A8" sqref="A8"/>
    </sheetView>
  </sheetViews>
  <sheetFormatPr defaultRowHeight="14.5"/>
  <cols>
    <col min="1" max="1" width="16.453125" style="20" customWidth="1"/>
    <col min="2" max="2" width="12.36328125" style="20" bestFit="1" customWidth="1"/>
    <col min="3" max="3" width="4.54296875" style="20" bestFit="1" customWidth="1"/>
    <col min="4" max="5" width="5.36328125" style="20" customWidth="1"/>
    <col min="6" max="6" width="5.36328125" style="20" bestFit="1" customWidth="1"/>
    <col min="7" max="7" width="5.36328125" style="20" customWidth="1"/>
    <col min="8" max="8" width="4.36328125" style="20" bestFit="1" customWidth="1"/>
    <col min="9" max="9" width="4.36328125" style="20" customWidth="1"/>
    <col min="10" max="10" width="5.453125" style="20" customWidth="1"/>
    <col min="11" max="11" width="4.26953125" style="20" customWidth="1"/>
    <col min="12" max="12" width="4.90625" style="20" customWidth="1"/>
    <col min="13" max="13" width="4.36328125" style="20" customWidth="1"/>
    <col min="14" max="19" width="4.36328125" style="20" bestFit="1" customWidth="1"/>
    <col min="20" max="21" width="4.36328125" style="20" customWidth="1"/>
    <col min="22" max="22" width="4.36328125" style="48" bestFit="1" customWidth="1"/>
    <col min="23" max="16384" width="8.7265625" style="20"/>
  </cols>
  <sheetData>
    <row r="1" spans="1:22" ht="27" customHeight="1">
      <c r="B1" s="31"/>
      <c r="C1" s="31"/>
      <c r="D1" s="31"/>
      <c r="E1" s="31"/>
      <c r="F1" s="31"/>
      <c r="G1" s="31"/>
      <c r="H1" s="32" t="s">
        <v>174</v>
      </c>
      <c r="I1" s="31"/>
      <c r="J1" s="31"/>
      <c r="K1" s="31"/>
      <c r="L1" s="31"/>
      <c r="M1" s="31"/>
      <c r="N1" s="31"/>
      <c r="O1" s="31"/>
      <c r="P1" s="31"/>
      <c r="Q1" s="31"/>
      <c r="R1" s="31"/>
      <c r="S1" s="31"/>
      <c r="T1" s="31"/>
      <c r="U1" s="31"/>
    </row>
    <row r="2" spans="1:22" ht="125">
      <c r="A2" s="22"/>
      <c r="B2" s="20" t="s">
        <v>124</v>
      </c>
      <c r="C2" s="40" t="s">
        <v>181</v>
      </c>
      <c r="D2" s="30" t="s">
        <v>137</v>
      </c>
      <c r="E2" s="30" t="s">
        <v>136</v>
      </c>
      <c r="F2" s="30" t="s">
        <v>132</v>
      </c>
      <c r="G2" s="30" t="s">
        <v>131</v>
      </c>
      <c r="H2" s="30" t="s">
        <v>133</v>
      </c>
      <c r="I2" s="30" t="s">
        <v>134</v>
      </c>
      <c r="J2" s="51" t="s">
        <v>182</v>
      </c>
      <c r="K2" s="49" t="s">
        <v>178</v>
      </c>
      <c r="L2" s="30" t="s">
        <v>146</v>
      </c>
      <c r="M2" s="30" t="s">
        <v>153</v>
      </c>
      <c r="N2" s="30" t="s">
        <v>154</v>
      </c>
      <c r="O2" s="30" t="s">
        <v>161</v>
      </c>
      <c r="P2" s="30" t="s">
        <v>160</v>
      </c>
      <c r="Q2" s="30" t="s">
        <v>159</v>
      </c>
      <c r="R2" s="30" t="s">
        <v>158</v>
      </c>
      <c r="S2" s="30" t="s">
        <v>157</v>
      </c>
      <c r="T2" s="30" t="s">
        <v>156</v>
      </c>
      <c r="U2" s="30" t="s">
        <v>155</v>
      </c>
      <c r="V2"/>
    </row>
    <row r="3" spans="1:22">
      <c r="B3" s="28">
        <v>1009</v>
      </c>
      <c r="C3" s="21">
        <v>3</v>
      </c>
      <c r="D3" s="23">
        <v>70.8</v>
      </c>
      <c r="E3" s="23">
        <v>98</v>
      </c>
      <c r="F3" s="23">
        <v>40</v>
      </c>
      <c r="G3" s="23">
        <v>20.399999999999999</v>
      </c>
      <c r="H3" s="23">
        <v>4</v>
      </c>
      <c r="I3" s="23">
        <v>0</v>
      </c>
      <c r="J3" s="50">
        <v>2</v>
      </c>
      <c r="K3" s="24">
        <v>0</v>
      </c>
      <c r="L3" s="29">
        <v>9</v>
      </c>
      <c r="M3" s="23">
        <v>0</v>
      </c>
      <c r="N3" s="23">
        <v>1.6</v>
      </c>
      <c r="O3" s="23">
        <v>1.8</v>
      </c>
      <c r="P3" s="23">
        <v>0.2</v>
      </c>
      <c r="Q3" s="23">
        <v>0.8</v>
      </c>
      <c r="R3" s="23">
        <v>1.2</v>
      </c>
      <c r="S3" s="23">
        <v>0.4</v>
      </c>
      <c r="T3" s="23">
        <v>0.6</v>
      </c>
      <c r="U3" s="23">
        <v>1.8</v>
      </c>
      <c r="V3"/>
    </row>
    <row r="4" spans="1:22">
      <c r="B4" s="28">
        <v>1012</v>
      </c>
      <c r="C4" s="21">
        <v>4</v>
      </c>
      <c r="D4" s="23">
        <v>59.2</v>
      </c>
      <c r="E4" s="23">
        <v>77</v>
      </c>
      <c r="F4" s="23">
        <v>39</v>
      </c>
      <c r="G4" s="23">
        <v>10.8</v>
      </c>
      <c r="H4" s="23">
        <v>4</v>
      </c>
      <c r="I4" s="23">
        <v>3</v>
      </c>
      <c r="J4" s="50">
        <v>0</v>
      </c>
      <c r="K4" s="24">
        <v>0.2</v>
      </c>
      <c r="L4" s="29">
        <v>10</v>
      </c>
      <c r="M4" s="23">
        <v>0</v>
      </c>
      <c r="N4" s="23">
        <v>0.4</v>
      </c>
      <c r="O4" s="23">
        <v>0.4</v>
      </c>
      <c r="P4" s="23">
        <v>1.6</v>
      </c>
      <c r="Q4" s="23">
        <v>0.8</v>
      </c>
      <c r="R4" s="23">
        <v>0.8</v>
      </c>
      <c r="S4" s="23">
        <v>0.8</v>
      </c>
      <c r="T4" s="23">
        <v>0.8</v>
      </c>
      <c r="U4" s="23">
        <v>2.2000000000000002</v>
      </c>
      <c r="V4"/>
    </row>
    <row r="5" spans="1:22">
      <c r="B5" s="28">
        <v>1004</v>
      </c>
      <c r="C5" s="21">
        <v>1</v>
      </c>
      <c r="D5" s="23">
        <v>58.666666666666664</v>
      </c>
      <c r="E5" s="23">
        <v>73</v>
      </c>
      <c r="F5" s="23">
        <v>32.5</v>
      </c>
      <c r="G5" s="23">
        <v>19.833333333333332</v>
      </c>
      <c r="H5" s="23">
        <v>3.3333333333333335</v>
      </c>
      <c r="I5" s="23">
        <v>0</v>
      </c>
      <c r="J5" s="50">
        <v>2.1666666666666665</v>
      </c>
      <c r="K5" s="24">
        <v>0</v>
      </c>
      <c r="L5" s="29">
        <v>6</v>
      </c>
      <c r="M5" s="23">
        <v>0</v>
      </c>
      <c r="N5" s="23">
        <v>0.16666666666666666</v>
      </c>
      <c r="O5" s="23">
        <v>1</v>
      </c>
      <c r="P5" s="23">
        <v>1.8333333333333333</v>
      </c>
      <c r="Q5" s="23">
        <v>0.33333333333333331</v>
      </c>
      <c r="R5" s="23">
        <v>1</v>
      </c>
      <c r="S5" s="23">
        <v>0.83333333333333337</v>
      </c>
      <c r="T5" s="23">
        <v>0.5</v>
      </c>
      <c r="U5" s="23">
        <v>3.3333333333333335</v>
      </c>
      <c r="V5"/>
    </row>
    <row r="6" spans="1:22">
      <c r="B6" s="28">
        <v>1013</v>
      </c>
      <c r="C6" s="21">
        <v>2</v>
      </c>
      <c r="D6" s="23">
        <v>57.6</v>
      </c>
      <c r="E6" s="23">
        <v>76</v>
      </c>
      <c r="F6" s="23">
        <v>32</v>
      </c>
      <c r="G6" s="23">
        <v>19.2</v>
      </c>
      <c r="H6" s="23">
        <v>4</v>
      </c>
      <c r="I6" s="23">
        <v>0</v>
      </c>
      <c r="J6" s="50">
        <v>2.8</v>
      </c>
      <c r="K6" s="24">
        <v>0</v>
      </c>
      <c r="L6" s="29">
        <v>7</v>
      </c>
      <c r="M6" s="23">
        <v>0</v>
      </c>
      <c r="N6" s="23">
        <v>0</v>
      </c>
      <c r="O6" s="23">
        <v>0</v>
      </c>
      <c r="P6" s="23">
        <v>1.2</v>
      </c>
      <c r="Q6" s="23">
        <v>0.6</v>
      </c>
      <c r="R6" s="23">
        <v>1.8</v>
      </c>
      <c r="S6" s="23">
        <v>1.4</v>
      </c>
      <c r="T6" s="23">
        <v>0.8</v>
      </c>
      <c r="U6" s="23">
        <v>2.4</v>
      </c>
      <c r="V6"/>
    </row>
    <row r="7" spans="1:22">
      <c r="B7" s="28">
        <v>1425</v>
      </c>
      <c r="C7" s="21"/>
      <c r="D7" s="23">
        <v>53.833333333333336</v>
      </c>
      <c r="E7" s="23">
        <v>74</v>
      </c>
      <c r="F7" s="23">
        <v>34.166666666666664</v>
      </c>
      <c r="G7" s="23">
        <v>11.833333333333334</v>
      </c>
      <c r="H7" s="23">
        <v>3.3333333333333335</v>
      </c>
      <c r="I7" s="23">
        <v>0</v>
      </c>
      <c r="J7" s="50">
        <v>0</v>
      </c>
      <c r="K7" s="24">
        <v>0</v>
      </c>
      <c r="L7" s="29">
        <v>6</v>
      </c>
      <c r="M7" s="23">
        <v>0</v>
      </c>
      <c r="N7" s="23">
        <v>1.3333333333333333</v>
      </c>
      <c r="O7" s="23">
        <v>1</v>
      </c>
      <c r="P7" s="23">
        <v>0</v>
      </c>
      <c r="Q7" s="23">
        <v>0.5</v>
      </c>
      <c r="R7" s="23">
        <v>1</v>
      </c>
      <c r="S7" s="23">
        <v>0.66666666666666663</v>
      </c>
      <c r="T7" s="23">
        <v>0.5</v>
      </c>
      <c r="U7" s="23">
        <v>2.5</v>
      </c>
      <c r="V7"/>
    </row>
    <row r="8" spans="1:22">
      <c r="B8" s="28">
        <v>1008</v>
      </c>
      <c r="C8" s="21"/>
      <c r="D8" s="23">
        <v>48.6</v>
      </c>
      <c r="E8" s="23">
        <v>63</v>
      </c>
      <c r="F8" s="23">
        <v>31</v>
      </c>
      <c r="G8" s="23">
        <v>8.8000000000000007</v>
      </c>
      <c r="H8" s="23">
        <v>4</v>
      </c>
      <c r="I8" s="23">
        <v>0</v>
      </c>
      <c r="J8" s="50">
        <v>0</v>
      </c>
      <c r="K8" s="24">
        <v>0</v>
      </c>
      <c r="L8" s="29">
        <v>7</v>
      </c>
      <c r="M8" s="23">
        <v>0</v>
      </c>
      <c r="N8" s="23">
        <v>0.4</v>
      </c>
      <c r="O8" s="23">
        <v>1</v>
      </c>
      <c r="P8" s="23">
        <v>0</v>
      </c>
      <c r="Q8" s="23">
        <v>0</v>
      </c>
      <c r="R8" s="23">
        <v>0.6</v>
      </c>
      <c r="S8" s="23">
        <v>0.6</v>
      </c>
      <c r="T8" s="23">
        <v>1.2</v>
      </c>
      <c r="U8" s="23">
        <v>2.8</v>
      </c>
      <c r="V8"/>
    </row>
    <row r="9" spans="1:22">
      <c r="B9" s="28">
        <v>1003</v>
      </c>
      <c r="C9" s="21"/>
      <c r="D9" s="23">
        <v>45.833333333333336</v>
      </c>
      <c r="E9" s="23">
        <v>73</v>
      </c>
      <c r="F9" s="23">
        <v>25.833333333333332</v>
      </c>
      <c r="G9" s="23">
        <v>9.8333333333333339</v>
      </c>
      <c r="H9" s="23">
        <v>5</v>
      </c>
      <c r="I9" s="23">
        <v>0</v>
      </c>
      <c r="J9" s="50">
        <v>0</v>
      </c>
      <c r="K9" s="24">
        <v>0</v>
      </c>
      <c r="L9" s="29">
        <v>10</v>
      </c>
      <c r="M9" s="23">
        <v>0</v>
      </c>
      <c r="N9" s="23">
        <v>0.33333333333333331</v>
      </c>
      <c r="O9" s="23">
        <v>0.83333333333333337</v>
      </c>
      <c r="P9" s="23">
        <v>0.66666666666666663</v>
      </c>
      <c r="Q9" s="23">
        <v>0.33333333333333331</v>
      </c>
      <c r="R9" s="23">
        <v>0.83333333333333337</v>
      </c>
      <c r="S9" s="23">
        <v>0.66666666666666663</v>
      </c>
      <c r="T9" s="23">
        <v>0.5</v>
      </c>
      <c r="U9" s="23">
        <v>1</v>
      </c>
      <c r="V9"/>
    </row>
    <row r="10" spans="1:22">
      <c r="B10" s="28">
        <v>1002</v>
      </c>
      <c r="C10" s="21"/>
      <c r="D10" s="23">
        <v>30.5</v>
      </c>
      <c r="E10" s="23">
        <v>38</v>
      </c>
      <c r="F10" s="23">
        <v>15.833333333333334</v>
      </c>
      <c r="G10" s="23">
        <v>5.666666666666667</v>
      </c>
      <c r="H10" s="23">
        <v>4.166666666666667</v>
      </c>
      <c r="I10" s="23">
        <v>2.5</v>
      </c>
      <c r="J10" s="50">
        <v>0</v>
      </c>
      <c r="K10" s="24">
        <v>0.16666666666666666</v>
      </c>
      <c r="L10" s="29">
        <v>6</v>
      </c>
      <c r="M10" s="23">
        <v>0</v>
      </c>
      <c r="N10" s="23">
        <v>0</v>
      </c>
      <c r="O10" s="23">
        <v>0.16666666666666666</v>
      </c>
      <c r="P10" s="23">
        <v>1.1666666666666667</v>
      </c>
      <c r="Q10" s="23">
        <v>0</v>
      </c>
      <c r="R10" s="23">
        <v>0</v>
      </c>
      <c r="S10" s="23">
        <v>1</v>
      </c>
      <c r="T10" s="23">
        <v>0</v>
      </c>
      <c r="U10" s="23">
        <v>0.83333333333333337</v>
      </c>
      <c r="V10"/>
    </row>
    <row r="11" spans="1:22">
      <c r="B11" s="28">
        <v>1010</v>
      </c>
      <c r="C11" s="21"/>
      <c r="D11" s="23">
        <v>28.8</v>
      </c>
      <c r="E11" s="23">
        <v>45</v>
      </c>
      <c r="F11" s="23">
        <v>20</v>
      </c>
      <c r="G11" s="23">
        <v>0</v>
      </c>
      <c r="H11" s="23">
        <v>4</v>
      </c>
      <c r="I11" s="23">
        <v>0</v>
      </c>
      <c r="J11" s="50">
        <v>0</v>
      </c>
      <c r="K11" s="24">
        <v>0</v>
      </c>
      <c r="L11" s="29">
        <v>6</v>
      </c>
      <c r="M11" s="23">
        <v>0.2</v>
      </c>
      <c r="N11" s="23">
        <v>0</v>
      </c>
      <c r="O11" s="23">
        <v>1.2</v>
      </c>
      <c r="P11" s="23">
        <v>0.4</v>
      </c>
      <c r="Q11" s="23">
        <v>0</v>
      </c>
      <c r="R11" s="23">
        <v>0</v>
      </c>
      <c r="S11" s="23">
        <v>0.2</v>
      </c>
      <c r="T11" s="23">
        <v>0.6</v>
      </c>
      <c r="U11" s="23">
        <v>1.6</v>
      </c>
      <c r="V11"/>
    </row>
    <row r="12" spans="1:22">
      <c r="B12" s="28">
        <v>1011</v>
      </c>
      <c r="C12" s="21"/>
      <c r="D12" s="23">
        <v>27.2</v>
      </c>
      <c r="E12" s="23">
        <v>48</v>
      </c>
      <c r="F12" s="23">
        <v>14</v>
      </c>
      <c r="G12" s="23">
        <v>5.2</v>
      </c>
      <c r="H12" s="23">
        <v>3</v>
      </c>
      <c r="I12" s="23">
        <v>3</v>
      </c>
      <c r="J12" s="50">
        <v>0</v>
      </c>
      <c r="K12" s="24">
        <v>0.2</v>
      </c>
      <c r="L12" s="29">
        <v>9</v>
      </c>
      <c r="M12" s="23">
        <v>0</v>
      </c>
      <c r="N12" s="23">
        <v>0</v>
      </c>
      <c r="O12" s="23">
        <v>0.4</v>
      </c>
      <c r="P12" s="23">
        <v>0.6</v>
      </c>
      <c r="Q12" s="23">
        <v>0</v>
      </c>
      <c r="R12" s="23">
        <v>0</v>
      </c>
      <c r="S12" s="23">
        <v>0.6</v>
      </c>
      <c r="T12" s="23">
        <v>0.6</v>
      </c>
      <c r="U12" s="23">
        <v>0.6</v>
      </c>
      <c r="V12"/>
    </row>
    <row r="13" spans="1:22">
      <c r="B13" s="28">
        <v>1006</v>
      </c>
      <c r="C13" s="21"/>
      <c r="D13" s="23">
        <v>26</v>
      </c>
      <c r="E13" s="23">
        <v>38</v>
      </c>
      <c r="F13" s="23">
        <v>12.5</v>
      </c>
      <c r="G13" s="23">
        <v>5.333333333333333</v>
      </c>
      <c r="H13" s="23">
        <v>3.3333333333333335</v>
      </c>
      <c r="I13" s="23">
        <v>2.5</v>
      </c>
      <c r="J13" s="50">
        <v>0</v>
      </c>
      <c r="K13" s="24">
        <v>0.16666666666666666</v>
      </c>
      <c r="L13" s="29">
        <v>10</v>
      </c>
      <c r="M13" s="23">
        <v>0</v>
      </c>
      <c r="N13" s="23">
        <v>0</v>
      </c>
      <c r="O13" s="23">
        <v>0.83333333333333337</v>
      </c>
      <c r="P13" s="23">
        <v>0</v>
      </c>
      <c r="Q13" s="23">
        <v>0</v>
      </c>
      <c r="R13" s="23">
        <v>0</v>
      </c>
      <c r="S13" s="23">
        <v>0.16666666666666666</v>
      </c>
      <c r="T13" s="23">
        <v>0.5</v>
      </c>
      <c r="U13" s="23">
        <v>1</v>
      </c>
      <c r="V13"/>
    </row>
    <row r="14" spans="1:22">
      <c r="B14" s="28">
        <v>1005</v>
      </c>
      <c r="C14" s="21"/>
      <c r="D14" s="23">
        <v>21.333333333333332</v>
      </c>
      <c r="E14" s="23">
        <v>32</v>
      </c>
      <c r="F14" s="23">
        <v>16.666666666666668</v>
      </c>
      <c r="G14" s="23">
        <v>0</v>
      </c>
      <c r="H14" s="23">
        <v>3.3333333333333335</v>
      </c>
      <c r="I14" s="23">
        <v>0</v>
      </c>
      <c r="J14" s="50">
        <v>0</v>
      </c>
      <c r="K14" s="24">
        <v>0</v>
      </c>
      <c r="L14" s="29">
        <v>7</v>
      </c>
      <c r="M14" s="23">
        <v>0</v>
      </c>
      <c r="N14" s="23">
        <v>0</v>
      </c>
      <c r="O14" s="23">
        <v>0.83333333333333337</v>
      </c>
      <c r="P14" s="23">
        <v>0</v>
      </c>
      <c r="Q14" s="23">
        <v>0</v>
      </c>
      <c r="R14" s="23">
        <v>0</v>
      </c>
      <c r="S14" s="23">
        <v>0.66666666666666663</v>
      </c>
      <c r="T14" s="23">
        <v>0.83333333333333337</v>
      </c>
      <c r="U14" s="23">
        <v>1</v>
      </c>
      <c r="V14"/>
    </row>
    <row r="15" spans="1:22">
      <c r="B15" s="28">
        <v>1001</v>
      </c>
      <c r="C15" s="21"/>
      <c r="D15" s="23">
        <v>19.5</v>
      </c>
      <c r="E15" s="23">
        <v>40</v>
      </c>
      <c r="F15" s="23">
        <v>12.5</v>
      </c>
      <c r="G15" s="23">
        <v>0</v>
      </c>
      <c r="H15" s="23">
        <v>3.3333333333333335</v>
      </c>
      <c r="I15" s="23">
        <v>0</v>
      </c>
      <c r="J15" s="50">
        <v>0</v>
      </c>
      <c r="K15" s="24">
        <v>0</v>
      </c>
      <c r="L15" s="29">
        <v>6</v>
      </c>
      <c r="M15" s="23">
        <v>0</v>
      </c>
      <c r="N15" s="23">
        <v>0</v>
      </c>
      <c r="O15" s="23">
        <v>0</v>
      </c>
      <c r="P15" s="23">
        <v>0.83333333333333337</v>
      </c>
      <c r="Q15" s="23">
        <v>0</v>
      </c>
      <c r="R15" s="23">
        <v>0</v>
      </c>
      <c r="S15" s="23">
        <v>0.66666666666666663</v>
      </c>
      <c r="T15" s="23">
        <v>0</v>
      </c>
      <c r="U15" s="23">
        <v>1</v>
      </c>
      <c r="V15"/>
    </row>
  </sheetData>
  <conditionalFormatting pivot="1" sqref="D3:D15">
    <cfRule type="colorScale" priority="39">
      <colorScale>
        <cfvo type="min"/>
        <cfvo type="max"/>
        <color theme="0" tint="-0.34998626667073579"/>
        <color theme="9" tint="0.79998168889431442"/>
      </colorScale>
    </cfRule>
  </conditionalFormatting>
  <conditionalFormatting pivot="1" sqref="E3:E15">
    <cfRule type="colorScale" priority="38">
      <colorScale>
        <cfvo type="min"/>
        <cfvo type="max"/>
        <color theme="0" tint="-0.34998626667073579"/>
        <color theme="9" tint="0.79998168889431442"/>
      </colorScale>
    </cfRule>
  </conditionalFormatting>
  <conditionalFormatting pivot="1" sqref="F3:F15">
    <cfRule type="colorScale" priority="35">
      <colorScale>
        <cfvo type="min"/>
        <cfvo type="max"/>
        <color theme="0" tint="-0.34998626667073579"/>
        <color theme="9" tint="0.79998168889431442"/>
      </colorScale>
    </cfRule>
  </conditionalFormatting>
  <conditionalFormatting pivot="1" sqref="G3:G15">
    <cfRule type="colorScale" priority="34">
      <colorScale>
        <cfvo type="min"/>
        <cfvo type="max"/>
        <color theme="0" tint="-0.34998626667073579"/>
        <color theme="9" tint="0.79998168889431442"/>
      </colorScale>
    </cfRule>
  </conditionalFormatting>
  <conditionalFormatting pivot="1" sqref="H3:H15">
    <cfRule type="colorScale" priority="33">
      <colorScale>
        <cfvo type="min"/>
        <cfvo type="max"/>
        <color theme="0" tint="-0.34998626667073579"/>
        <color theme="9" tint="0.79998168889431442"/>
      </colorScale>
    </cfRule>
  </conditionalFormatting>
  <conditionalFormatting pivot="1" sqref="I3:I15">
    <cfRule type="colorScale" priority="32">
      <colorScale>
        <cfvo type="min"/>
        <cfvo type="max"/>
        <color theme="0" tint="-0.34998626667073579"/>
        <color theme="9" tint="0.79998168889431442"/>
      </colorScale>
    </cfRule>
  </conditionalFormatting>
  <conditionalFormatting pivot="1" sqref="L3:L15">
    <cfRule type="iconSet" priority="18">
      <iconSet>
        <cfvo type="percent" val="0"/>
        <cfvo type="num" val="7"/>
        <cfvo type="num" val="9"/>
      </iconSet>
    </cfRule>
  </conditionalFormatting>
  <conditionalFormatting pivot="1" sqref="N3:N15">
    <cfRule type="colorScale" priority="16">
      <colorScale>
        <cfvo type="num" val="0"/>
        <cfvo type="percentile" val="50"/>
        <cfvo type="max"/>
        <color rgb="FFF8696B"/>
        <color rgb="FFFFEB84"/>
        <color rgb="FF63BE7B"/>
      </colorScale>
    </cfRule>
  </conditionalFormatting>
  <conditionalFormatting pivot="1" sqref="O3:O15">
    <cfRule type="colorScale" priority="15">
      <colorScale>
        <cfvo type="num" val="0"/>
        <cfvo type="percentile" val="50"/>
        <cfvo type="max"/>
        <color rgb="FFF8696B"/>
        <color rgb="FFFFEB84"/>
        <color rgb="FF63BE7B"/>
      </colorScale>
    </cfRule>
  </conditionalFormatting>
  <conditionalFormatting pivot="1" sqref="P3:P15">
    <cfRule type="colorScale" priority="14">
      <colorScale>
        <cfvo type="num" val="0"/>
        <cfvo type="percentile" val="50"/>
        <cfvo type="max"/>
        <color rgb="FFF8696B"/>
        <color rgb="FFFFEB84"/>
        <color rgb="FF63BE7B"/>
      </colorScale>
    </cfRule>
  </conditionalFormatting>
  <conditionalFormatting pivot="1" sqref="Q3:Q15">
    <cfRule type="colorScale" priority="13">
      <colorScale>
        <cfvo type="num" val="0"/>
        <cfvo type="percentile" val="50"/>
        <cfvo type="max"/>
        <color rgb="FFF8696B"/>
        <color rgb="FFFFEB84"/>
        <color rgb="FF63BE7B"/>
      </colorScale>
    </cfRule>
  </conditionalFormatting>
  <conditionalFormatting pivot="1" sqref="R3:R15">
    <cfRule type="colorScale" priority="12">
      <colorScale>
        <cfvo type="num" val="0"/>
        <cfvo type="percentile" val="50"/>
        <cfvo type="max"/>
        <color rgb="FFF8696B"/>
        <color rgb="FFFFEB84"/>
        <color rgb="FF63BE7B"/>
      </colorScale>
    </cfRule>
  </conditionalFormatting>
  <conditionalFormatting pivot="1" sqref="S3:S15">
    <cfRule type="colorScale" priority="11">
      <colorScale>
        <cfvo type="num" val="0"/>
        <cfvo type="percentile" val="50"/>
        <cfvo type="max"/>
        <color rgb="FFF8696B"/>
        <color rgb="FFFFEB84"/>
        <color rgb="FF63BE7B"/>
      </colorScale>
    </cfRule>
  </conditionalFormatting>
  <conditionalFormatting pivot="1" sqref="T3:T15">
    <cfRule type="colorScale" priority="10">
      <colorScale>
        <cfvo type="num" val="0"/>
        <cfvo type="percentile" val="50"/>
        <cfvo type="max"/>
        <color rgb="FFF8696B"/>
        <color rgb="FFFFEB84"/>
        <color rgb="FF63BE7B"/>
      </colorScale>
    </cfRule>
  </conditionalFormatting>
  <conditionalFormatting pivot="1" sqref="U3:U15">
    <cfRule type="colorScale" priority="9">
      <colorScale>
        <cfvo type="num" val="0"/>
        <cfvo type="percentile" val="50"/>
        <cfvo type="max"/>
        <color rgb="FFF8696B"/>
        <color rgb="FFFFEB84"/>
        <color rgb="FF63BE7B"/>
      </colorScale>
    </cfRule>
  </conditionalFormatting>
  <conditionalFormatting sqref="B3:B15">
    <cfRule type="cellIs" dxfId="1" priority="6" operator="equal">
      <formula>1425</formula>
    </cfRule>
  </conditionalFormatting>
  <conditionalFormatting pivot="1" sqref="M3:M15">
    <cfRule type="colorScale" priority="5">
      <colorScale>
        <cfvo type="num" val="0"/>
        <cfvo type="percentile" val="50"/>
        <cfvo type="max"/>
        <color rgb="FFF8696B"/>
        <color rgb="FFFFEB84"/>
        <color rgb="FF63BE7B"/>
      </colorScale>
    </cfRule>
  </conditionalFormatting>
  <conditionalFormatting pivot="1" sqref="M3:U15">
    <cfRule type="cellIs" dxfId="0" priority="4" stopIfTrue="1" operator="equal">
      <formula>0</formula>
    </cfRule>
  </conditionalFormatting>
  <conditionalFormatting pivot="1" sqref="K3:K15">
    <cfRule type="dataBar" priority="1">
      <dataBar>
        <cfvo type="num" val="0"/>
        <cfvo type="num" val="1"/>
        <color rgb="FF63C384"/>
      </dataBar>
      <extLst>
        <ext xmlns:x14="http://schemas.microsoft.com/office/spreadsheetml/2009/9/main" uri="{B025F937-C7B1-47D3-B67F-A62EFF666E3E}">
          <x14:id>{9165F9B6-A860-469A-929D-94CBB9C42620}</x14:id>
        </ext>
      </extLst>
    </cfRule>
  </conditionalFormatting>
  <conditionalFormatting pivot="1" sqref="J3:J15">
    <cfRule type="iconSet" priority="2">
      <iconSet iconSet="3Symbols2">
        <cfvo type="percent" val="0"/>
        <cfvo type="num" val="0" gte="0"/>
        <cfvo type="num" val="1"/>
      </iconSe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9165F9B6-A860-469A-929D-94CBB9C426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K3:K15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L10"/>
  <sheetViews>
    <sheetView workbookViewId="0">
      <selection activeCell="H22" sqref="H22"/>
    </sheetView>
  </sheetViews>
  <sheetFormatPr defaultRowHeight="14.5"/>
  <cols>
    <col min="2" max="2" width="12.36328125" customWidth="1"/>
    <col min="3" max="3" width="20.26953125" customWidth="1"/>
    <col min="4" max="4" width="20.6328125" customWidth="1"/>
    <col min="5" max="5" width="21.90625" customWidth="1"/>
    <col min="6" max="6" width="3.6328125" customWidth="1"/>
    <col min="7" max="7" width="12.36328125" bestFit="1" customWidth="1"/>
    <col min="8" max="8" width="7.08984375" bestFit="1" customWidth="1"/>
    <col min="9" max="12" width="4.54296875" bestFit="1" customWidth="1"/>
    <col min="13" max="13" width="20.26953125" bestFit="1" customWidth="1"/>
    <col min="14" max="14" width="20.6328125" bestFit="1" customWidth="1"/>
    <col min="15" max="15" width="21.90625" bestFit="1" customWidth="1"/>
    <col min="16" max="16" width="22.26953125" bestFit="1" customWidth="1"/>
    <col min="17" max="17" width="19.81640625" bestFit="1" customWidth="1"/>
    <col min="18" max="25" width="22.26953125" bestFit="1" customWidth="1"/>
    <col min="26" max="27" width="22.26953125" customWidth="1"/>
    <col min="28" max="37" width="22.26953125" bestFit="1" customWidth="1"/>
    <col min="38" max="40" width="22.26953125" customWidth="1"/>
    <col min="41" max="49" width="22.26953125" bestFit="1" customWidth="1"/>
    <col min="50" max="53" width="22.26953125" customWidth="1"/>
    <col min="54" max="61" width="22.26953125" bestFit="1" customWidth="1"/>
    <col min="62" max="66" width="22.26953125" customWidth="1"/>
    <col min="67" max="73" width="22.26953125" bestFit="1" customWidth="1"/>
    <col min="74" max="74" width="25.54296875" bestFit="1" customWidth="1"/>
    <col min="75" max="75" width="25.1796875" bestFit="1" customWidth="1"/>
    <col min="76" max="76" width="27.08984375" bestFit="1" customWidth="1"/>
    <col min="77" max="77" width="26.7265625" bestFit="1" customWidth="1"/>
    <col min="78" max="78" width="24.6328125" bestFit="1" customWidth="1"/>
    <col min="79" max="79" width="21.453125" bestFit="1" customWidth="1"/>
  </cols>
  <sheetData>
    <row r="1" spans="7:12">
      <c r="G1" s="16" t="s">
        <v>1</v>
      </c>
      <c r="H1" s="18">
        <v>1425</v>
      </c>
    </row>
    <row r="3" spans="7:12" ht="95.5">
      <c r="G3" s="16" t="s">
        <v>124</v>
      </c>
      <c r="H3" s="43" t="s">
        <v>128</v>
      </c>
      <c r="I3" s="43" t="s">
        <v>127</v>
      </c>
      <c r="J3" s="43" t="s">
        <v>130</v>
      </c>
      <c r="K3" s="43" t="s">
        <v>129</v>
      </c>
      <c r="L3" s="43" t="s">
        <v>126</v>
      </c>
    </row>
    <row r="4" spans="7:12">
      <c r="G4" s="18">
        <v>2</v>
      </c>
      <c r="H4" s="17">
        <v>1</v>
      </c>
      <c r="I4" s="17">
        <v>0</v>
      </c>
      <c r="J4" s="17">
        <v>2</v>
      </c>
      <c r="K4" s="17">
        <v>0</v>
      </c>
      <c r="L4" s="17">
        <v>5</v>
      </c>
    </row>
    <row r="5" spans="7:12">
      <c r="G5" s="18">
        <v>4</v>
      </c>
      <c r="H5" s="17">
        <v>0</v>
      </c>
      <c r="I5" s="17">
        <v>0</v>
      </c>
      <c r="J5" s="17">
        <v>4</v>
      </c>
      <c r="K5" s="17">
        <v>0</v>
      </c>
      <c r="L5" s="17">
        <v>8</v>
      </c>
    </row>
    <row r="6" spans="7:12">
      <c r="G6" s="18">
        <v>6</v>
      </c>
      <c r="H6" s="17">
        <v>1</v>
      </c>
      <c r="I6" s="17">
        <v>0</v>
      </c>
      <c r="J6" s="17">
        <v>3</v>
      </c>
      <c r="K6" s="17">
        <v>0</v>
      </c>
      <c r="L6" s="17">
        <v>6</v>
      </c>
    </row>
    <row r="7" spans="7:12">
      <c r="G7" s="18">
        <v>8</v>
      </c>
      <c r="H7" s="17">
        <v>1</v>
      </c>
      <c r="I7" s="17">
        <v>0</v>
      </c>
      <c r="J7" s="17">
        <v>3</v>
      </c>
      <c r="K7" s="17">
        <v>0</v>
      </c>
      <c r="L7" s="17">
        <v>8</v>
      </c>
    </row>
    <row r="8" spans="7:12">
      <c r="G8" s="18">
        <v>10</v>
      </c>
      <c r="H8" s="17">
        <v>1</v>
      </c>
      <c r="I8" s="17">
        <v>0</v>
      </c>
      <c r="J8" s="17">
        <v>5</v>
      </c>
      <c r="K8" s="17">
        <v>0</v>
      </c>
      <c r="L8" s="17">
        <v>9</v>
      </c>
    </row>
    <row r="9" spans="7:12">
      <c r="G9" s="18">
        <v>12</v>
      </c>
      <c r="H9" s="17">
        <v>1</v>
      </c>
      <c r="I9" s="17">
        <v>0</v>
      </c>
      <c r="J9" s="17">
        <v>6</v>
      </c>
      <c r="K9" s="17">
        <v>0</v>
      </c>
      <c r="L9" s="17">
        <v>9</v>
      </c>
    </row>
    <row r="10" spans="7:12">
      <c r="G10" s="18" t="s">
        <v>121</v>
      </c>
      <c r="H10" s="17">
        <v>5</v>
      </c>
      <c r="I10" s="17">
        <v>0</v>
      </c>
      <c r="J10" s="17">
        <v>23</v>
      </c>
      <c r="K10" s="17">
        <v>0</v>
      </c>
      <c r="L10" s="17">
        <v>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opLeftCell="C16" workbookViewId="0">
      <selection activeCell="I35" sqref="I35"/>
    </sheetView>
  </sheetViews>
  <sheetFormatPr defaultRowHeight="14.5"/>
  <cols>
    <col min="1" max="1" width="12.36328125" customWidth="1"/>
    <col min="2" max="2" width="16.54296875" customWidth="1"/>
    <col min="3" max="3" width="19.81640625" customWidth="1"/>
    <col min="4" max="4" width="16.54296875" customWidth="1"/>
    <col min="5" max="5" width="19.81640625" customWidth="1"/>
    <col min="6" max="6" width="16.54296875" customWidth="1"/>
    <col min="7" max="7" width="19.81640625" customWidth="1"/>
    <col min="8" max="8" width="21.453125" customWidth="1"/>
    <col min="9" max="9" width="24.6328125" customWidth="1"/>
    <col min="10" max="10" width="21.453125" customWidth="1"/>
    <col min="11" max="11" width="24.6328125" customWidth="1"/>
    <col min="12" max="22" width="2.81640625" customWidth="1"/>
    <col min="23" max="23" width="10.7265625" bestFit="1" customWidth="1"/>
  </cols>
  <sheetData>
    <row r="1" spans="1:3">
      <c r="A1" s="16" t="s">
        <v>1</v>
      </c>
      <c r="B1" s="18">
        <v>1001</v>
      </c>
    </row>
    <row r="3" spans="1:3">
      <c r="A3" s="16" t="s">
        <v>124</v>
      </c>
      <c r="B3" t="s">
        <v>125</v>
      </c>
      <c r="C3" t="s">
        <v>126</v>
      </c>
    </row>
    <row r="4" spans="1:3">
      <c r="A4" s="18">
        <v>1</v>
      </c>
      <c r="B4" s="17">
        <v>0</v>
      </c>
      <c r="C4" s="17">
        <v>0</v>
      </c>
    </row>
    <row r="5" spans="1:3">
      <c r="A5" s="18">
        <v>3</v>
      </c>
      <c r="B5" s="17">
        <v>0</v>
      </c>
      <c r="C5" s="17">
        <v>5</v>
      </c>
    </row>
    <row r="6" spans="1:3">
      <c r="A6" s="18">
        <v>5</v>
      </c>
      <c r="B6" s="17">
        <v>0</v>
      </c>
      <c r="C6" s="17">
        <v>3</v>
      </c>
    </row>
    <row r="7" spans="1:3">
      <c r="A7" s="18">
        <v>7</v>
      </c>
      <c r="B7" s="17">
        <v>0</v>
      </c>
      <c r="C7" s="17">
        <v>2</v>
      </c>
    </row>
    <row r="8" spans="1:3">
      <c r="A8" s="18">
        <v>9</v>
      </c>
      <c r="B8" s="17">
        <v>0</v>
      </c>
      <c r="C8" s="17">
        <v>2</v>
      </c>
    </row>
    <row r="9" spans="1:3">
      <c r="A9" s="18">
        <v>11</v>
      </c>
      <c r="B9" s="17">
        <v>0</v>
      </c>
      <c r="C9" s="17">
        <v>3</v>
      </c>
    </row>
    <row r="10" spans="1:3">
      <c r="A10" s="18" t="s">
        <v>121</v>
      </c>
      <c r="B10" s="17">
        <v>0</v>
      </c>
      <c r="C10" s="17">
        <v>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
  <sheetViews>
    <sheetView workbookViewId="0">
      <selection activeCell="A5" sqref="A5"/>
    </sheetView>
  </sheetViews>
  <sheetFormatPr defaultRowHeight="14.5"/>
  <cols>
    <col min="2" max="2" width="28.1796875" customWidth="1"/>
    <col min="3" max="3" width="13.36328125" customWidth="1"/>
    <col min="4" max="4" width="13.81640625" customWidth="1"/>
    <col min="5" max="5" width="13.7265625" customWidth="1"/>
    <col min="6" max="6" width="13.1796875" customWidth="1"/>
    <col min="7" max="15" width="3.36328125" style="5" bestFit="1" customWidth="1"/>
    <col min="16" max="16" width="3.36328125" bestFit="1" customWidth="1"/>
  </cols>
  <sheetData>
    <row r="1" spans="1:17" ht="93.5" thickBot="1">
      <c r="A1" t="s">
        <v>66</v>
      </c>
      <c r="B1" t="s">
        <v>67</v>
      </c>
      <c r="C1" t="s">
        <v>70</v>
      </c>
      <c r="D1" t="s">
        <v>71</v>
      </c>
      <c r="E1" t="s">
        <v>72</v>
      </c>
      <c r="F1" t="s">
        <v>73</v>
      </c>
      <c r="G1" s="10" t="s">
        <v>75</v>
      </c>
      <c r="H1" s="10" t="s">
        <v>74</v>
      </c>
      <c r="I1" s="10" t="s">
        <v>76</v>
      </c>
      <c r="J1" s="10" t="s">
        <v>77</v>
      </c>
      <c r="K1" s="10" t="s">
        <v>78</v>
      </c>
      <c r="L1" s="10" t="s">
        <v>79</v>
      </c>
      <c r="M1" s="10" t="s">
        <v>80</v>
      </c>
      <c r="N1" s="10" t="s">
        <v>81</v>
      </c>
      <c r="O1" s="10" t="s">
        <v>82</v>
      </c>
      <c r="P1" s="10" t="s">
        <v>183</v>
      </c>
      <c r="Q1" s="41"/>
    </row>
    <row r="2" spans="1:17" ht="15" thickTop="1">
      <c r="A2">
        <v>1</v>
      </c>
      <c r="B2" t="s">
        <v>68</v>
      </c>
      <c r="C2">
        <v>0</v>
      </c>
      <c r="D2">
        <v>0</v>
      </c>
      <c r="E2">
        <v>0</v>
      </c>
      <c r="F2">
        <v>0</v>
      </c>
      <c r="G2" s="5">
        <v>0</v>
      </c>
      <c r="H2" s="5">
        <v>0</v>
      </c>
      <c r="I2" s="5">
        <v>2</v>
      </c>
      <c r="J2" s="5">
        <v>2</v>
      </c>
      <c r="K2" s="5">
        <v>0</v>
      </c>
      <c r="L2" s="5">
        <v>0</v>
      </c>
      <c r="M2" s="5">
        <v>2</v>
      </c>
      <c r="N2" s="5">
        <v>2</v>
      </c>
      <c r="O2" s="5">
        <v>2</v>
      </c>
      <c r="P2" s="5">
        <v>0</v>
      </c>
    </row>
    <row r="3" spans="1:17">
      <c r="A3">
        <v>2</v>
      </c>
      <c r="B3" t="s">
        <v>84</v>
      </c>
      <c r="C3">
        <v>1</v>
      </c>
      <c r="D3">
        <v>4</v>
      </c>
      <c r="E3">
        <v>0</v>
      </c>
      <c r="F3">
        <v>0</v>
      </c>
      <c r="G3" s="5">
        <v>0</v>
      </c>
      <c r="H3" s="5">
        <v>0</v>
      </c>
      <c r="I3" s="5">
        <v>2</v>
      </c>
      <c r="J3" s="5">
        <v>2</v>
      </c>
      <c r="K3" s="5">
        <v>0</v>
      </c>
      <c r="L3" s="5">
        <v>0</v>
      </c>
      <c r="M3" s="5">
        <v>2</v>
      </c>
      <c r="N3" s="5">
        <v>2</v>
      </c>
      <c r="O3" s="5">
        <v>2</v>
      </c>
      <c r="P3" s="5">
        <v>1</v>
      </c>
    </row>
    <row r="4" spans="1:17">
      <c r="A4">
        <v>3</v>
      </c>
      <c r="B4" t="s">
        <v>83</v>
      </c>
      <c r="C4">
        <v>2</v>
      </c>
      <c r="D4">
        <v>6</v>
      </c>
      <c r="E4">
        <v>0</v>
      </c>
      <c r="F4">
        <v>0</v>
      </c>
      <c r="G4" s="5">
        <v>2</v>
      </c>
      <c r="H4" s="5">
        <v>2</v>
      </c>
      <c r="I4" s="5">
        <v>3</v>
      </c>
      <c r="J4" s="5">
        <v>3</v>
      </c>
      <c r="K4" s="5">
        <v>2</v>
      </c>
      <c r="L4" s="5">
        <v>2</v>
      </c>
      <c r="M4" s="5">
        <v>3</v>
      </c>
      <c r="N4" s="5">
        <v>3</v>
      </c>
      <c r="O4" s="5">
        <v>4</v>
      </c>
      <c r="P4" s="5">
        <v>1</v>
      </c>
    </row>
    <row r="5" spans="1:17">
      <c r="A5">
        <v>4</v>
      </c>
      <c r="B5" t="s">
        <v>69</v>
      </c>
      <c r="C5">
        <v>1</v>
      </c>
      <c r="D5">
        <v>4</v>
      </c>
      <c r="E5">
        <v>1</v>
      </c>
      <c r="F5">
        <v>4</v>
      </c>
      <c r="G5" s="11">
        <v>3</v>
      </c>
      <c r="H5" s="11">
        <v>3</v>
      </c>
      <c r="I5" s="11">
        <v>4</v>
      </c>
      <c r="J5" s="11">
        <v>4</v>
      </c>
      <c r="K5" s="11">
        <v>3</v>
      </c>
      <c r="L5" s="11">
        <v>3</v>
      </c>
      <c r="M5" s="11">
        <v>4</v>
      </c>
      <c r="N5" s="11">
        <v>4</v>
      </c>
      <c r="O5" s="11">
        <v>5</v>
      </c>
      <c r="P5" s="11">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8CE9273-210F-4C49-B215-2C5C22ED274A}">
  <ds:schemaRefs/>
</ds:datastoreItem>
</file>

<file path=customXml/itemProps2.xml><?xml version="1.0" encoding="utf-8"?>
<ds:datastoreItem xmlns:ds="http://schemas.openxmlformats.org/officeDocument/2006/customXml" ds:itemID="{16C2309D-B650-46F3-BED1-5059CF9C8669}">
  <ds:schemaRefs/>
</ds:datastoreItem>
</file>

<file path=customXml/itemProps3.xml><?xml version="1.0" encoding="utf-8"?>
<ds:datastoreItem xmlns:ds="http://schemas.openxmlformats.org/officeDocument/2006/customXml" ds:itemID="{79EC5763-A998-45C9-B3E9-D70C40DB3E31}">
  <ds:schemaRefs/>
</ds:datastoreItem>
</file>

<file path=customXml/itemProps4.xml><?xml version="1.0" encoding="utf-8"?>
<ds:datastoreItem xmlns:ds="http://schemas.openxmlformats.org/officeDocument/2006/customXml" ds:itemID="{B61792B4-7EC1-49E3-8981-A6ED9D46892E}">
  <ds:schemaRefs/>
</ds:datastoreItem>
</file>

<file path=customXml/itemProps5.xml><?xml version="1.0" encoding="utf-8"?>
<ds:datastoreItem xmlns:ds="http://schemas.openxmlformats.org/officeDocument/2006/customXml" ds:itemID="{0066C572-32D3-45B9-A618-CC2263491672}">
  <ds:schemaRefs/>
</ds:datastoreItem>
</file>

<file path=customXml/itemProps6.xml><?xml version="1.0" encoding="utf-8"?>
<ds:datastoreItem xmlns:ds="http://schemas.openxmlformats.org/officeDocument/2006/customXml" ds:itemID="{44D2BD18-BB8D-4B05-A382-BDFCBF2D94BF}">
  <ds:schemaRefs/>
</ds:datastoreItem>
</file>

<file path=customXml/itemProps7.xml><?xml version="1.0" encoding="utf-8"?>
<ds:datastoreItem xmlns:ds="http://schemas.openxmlformats.org/officeDocument/2006/customXml" ds:itemID="{EC2EA366-3ACF-4DEF-ABB5-560FF6F4637E}">
  <ds:schemaRefs/>
</ds:datastoreItem>
</file>

<file path=customXml/itemProps8.xml><?xml version="1.0" encoding="utf-8"?>
<ds:datastoreItem xmlns:ds="http://schemas.openxmlformats.org/officeDocument/2006/customXml" ds:itemID="{CEFA2643-EB55-40FC-9905-122D5FE5C6E0}">
  <ds:schemaRefs/>
</ds:datastoreItem>
</file>

<file path=customXml/itemProps9.xml><?xml version="1.0" encoding="utf-8"?>
<ds:datastoreItem xmlns:ds="http://schemas.openxmlformats.org/officeDocument/2006/customXml" ds:itemID="{D457F1EE-5288-452B-BF22-BA74F0DD3D3A}">
  <ds:schemaRefs/>
</ds:datastoreItem>
</file>

<file path=customXml/itemProps10.xml><?xml version="1.0" encoding="utf-8"?>
<ds:datastoreItem xmlns:ds="http://schemas.openxmlformats.org/officeDocument/2006/customXml" ds:itemID="{54815E19-858C-44BC-80D6-FE52244DD577}">
  <ds:schemaRefs/>
</ds:datastoreItem>
</file>

<file path=customXml/itemProps11.xml><?xml version="1.0" encoding="utf-8"?>
<ds:datastoreItem xmlns:ds="http://schemas.openxmlformats.org/officeDocument/2006/customXml" ds:itemID="{7010E075-36E5-4102-9941-5075516B2DEA}">
  <ds:schemaRefs/>
</ds:datastoreItem>
</file>

<file path=customXml/itemProps12.xml><?xml version="1.0" encoding="utf-8"?>
<ds:datastoreItem xmlns:ds="http://schemas.openxmlformats.org/officeDocument/2006/customXml" ds:itemID="{5323A4C6-C63C-4449-A68A-79F258E962C1}">
  <ds:schemaRefs/>
</ds:datastoreItem>
</file>

<file path=customXml/itemProps13.xml><?xml version="1.0" encoding="utf-8"?>
<ds:datastoreItem xmlns:ds="http://schemas.openxmlformats.org/officeDocument/2006/customXml" ds:itemID="{3C82B69A-2203-4866-BBD3-48B17A83FCE0}">
  <ds:schemaRefs/>
</ds:datastoreItem>
</file>

<file path=customXml/itemProps14.xml><?xml version="1.0" encoding="utf-8"?>
<ds:datastoreItem xmlns:ds="http://schemas.openxmlformats.org/officeDocument/2006/customXml" ds:itemID="{64500BAE-8DDF-49D4-8E46-B367B7B433C1}">
  <ds:schemaRefs/>
</ds:datastoreItem>
</file>

<file path=customXml/itemProps15.xml><?xml version="1.0" encoding="utf-8"?>
<ds:datastoreItem xmlns:ds="http://schemas.openxmlformats.org/officeDocument/2006/customXml" ds:itemID="{970A77E1-39A5-4366-BF81-BBCC7C8C339E}">
  <ds:schemaRefs/>
</ds:datastoreItem>
</file>

<file path=customXml/itemProps16.xml><?xml version="1.0" encoding="utf-8"?>
<ds:datastoreItem xmlns:ds="http://schemas.openxmlformats.org/officeDocument/2006/customXml" ds:itemID="{3E137022-335B-446E-AA4C-40A933D36E5A}">
  <ds:schemaRefs/>
</ds:datastoreItem>
</file>

<file path=customXml/itemProps17.xml><?xml version="1.0" encoding="utf-8"?>
<ds:datastoreItem xmlns:ds="http://schemas.openxmlformats.org/officeDocument/2006/customXml" ds:itemID="{C0EEE333-F410-40BA-8FA2-0A2EE441160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MatchScoutingData</vt:lpstr>
      <vt:lpstr>PitScoutingData</vt:lpstr>
      <vt:lpstr>Pre-Match Report</vt:lpstr>
      <vt:lpstr>Alliance Analyzer</vt:lpstr>
      <vt:lpstr>Team Trend</vt:lpstr>
      <vt:lpstr>Team Profile</vt:lpstr>
      <vt:lpstr>Personas</vt:lpstr>
    </vt:vector>
  </TitlesOfParts>
  <Company>PointB</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CV Briggler</dc:creator>
  <cp:lastModifiedBy>CV Briggler</cp:lastModifiedBy>
  <dcterms:created xsi:type="dcterms:W3CDTF">2016-02-27T21:09:48Z</dcterms:created>
  <dcterms:modified xsi:type="dcterms:W3CDTF">2016-03-02T18:41:39Z</dcterms:modified>
</cp:coreProperties>
</file>