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 da Terra" sheetId="1" r:id="rId4"/>
    <sheet state="visible" name="B da Terra 2" sheetId="2" r:id="rId5"/>
    <sheet state="visible" name="em" sheetId="3" r:id="rId6"/>
    <sheet state="visible" name="em 2" sheetId="4" r:id="rId7"/>
    <sheet state="visible" name="em coletanea" sheetId="5" r:id="rId8"/>
    <sheet state="visible" name="B Terra Coletanea" sheetId="6" r:id="rId9"/>
  </sheets>
  <definedNames/>
  <calcPr/>
</workbook>
</file>

<file path=xl/sharedStrings.xml><?xml version="1.0" encoding="utf-8"?>
<sst xmlns="http://schemas.openxmlformats.org/spreadsheetml/2006/main" count="458" uniqueCount="92">
  <si>
    <t>Orientação Paralela</t>
  </si>
  <si>
    <t>e/m</t>
  </si>
  <si>
    <t>1° - Campo Magnético aproximadamente constante</t>
  </si>
  <si>
    <t>opulação acredita no discurso vazio e falacioso dessas figuras nojentas e periódicas.</t>
  </si>
  <si>
    <t>Corrente(A)(0,001)</t>
  </si>
  <si>
    <t xml:space="preserve">Degrau </t>
  </si>
  <si>
    <t>cm</t>
  </si>
  <si>
    <t>Raio(m)(+-0,1)</t>
  </si>
  <si>
    <t>Tensão (V)(+-0,1)</t>
  </si>
  <si>
    <t>Campo Magnético</t>
  </si>
  <si>
    <t>1°</t>
  </si>
  <si>
    <t>2°</t>
  </si>
  <si>
    <t>3°</t>
  </si>
  <si>
    <t>4°</t>
  </si>
  <si>
    <t>Campo magnético</t>
  </si>
  <si>
    <t>Permeabilidade magnética</t>
  </si>
  <si>
    <t>N de voltas</t>
  </si>
  <si>
    <t>Raio das espiras</t>
  </si>
  <si>
    <t>1° - Diferença de potencial aproximadamente constante</t>
  </si>
  <si>
    <t>DDP(V)(0,1)</t>
  </si>
  <si>
    <t>V</t>
  </si>
  <si>
    <t>Raio(cm)(+-0,01)</t>
  </si>
  <si>
    <t>Corrente (A)(+-0,1)</t>
  </si>
  <si>
    <t>insuficiente</t>
  </si>
  <si>
    <t>Insuficiente</t>
  </si>
  <si>
    <t>A</t>
  </si>
  <si>
    <t xml:space="preserve">4° degrau </t>
  </si>
  <si>
    <t>DDP</t>
  </si>
  <si>
    <t>Corrente</t>
  </si>
  <si>
    <t>Orientação Antiparalela</t>
  </si>
  <si>
    <t>Diametro cm</t>
  </si>
  <si>
    <t>Raio(m)(+-0,01)</t>
  </si>
  <si>
    <t>Corrente (A)(+-0,001)</t>
  </si>
  <si>
    <t>Antiparalelo</t>
  </si>
  <si>
    <t>y</t>
  </si>
  <si>
    <t xml:space="preserve">paralela </t>
  </si>
  <si>
    <t>Media</t>
  </si>
  <si>
    <t>variação</t>
  </si>
  <si>
    <t>real</t>
  </si>
  <si>
    <t>2º - Tensão aproximadamente constante</t>
  </si>
  <si>
    <t>paralela</t>
  </si>
  <si>
    <t>Raio(m)(+-0,0001)</t>
  </si>
  <si>
    <t>r</t>
  </si>
  <si>
    <t>bp</t>
  </si>
  <si>
    <t>bap</t>
  </si>
  <si>
    <t xml:space="preserve">Antiparalela </t>
  </si>
  <si>
    <t>Antiparalela</t>
  </si>
  <si>
    <t>Antiparalela = paralela</t>
  </si>
  <si>
    <t>Orientação Perpendicular</t>
  </si>
  <si>
    <t>Perpendicular</t>
  </si>
  <si>
    <t>2V/B</t>
  </si>
  <si>
    <t>r^2</t>
  </si>
  <si>
    <t/>
  </si>
  <si>
    <t>Diametro (cm)</t>
  </si>
  <si>
    <t>CORRENTE CONSTANTE</t>
  </si>
  <si>
    <t>2V/B²</t>
  </si>
  <si>
    <t>e/m médio</t>
  </si>
  <si>
    <t>desvio padrão</t>
  </si>
  <si>
    <t>GERAL</t>
  </si>
  <si>
    <t>U Const</t>
  </si>
  <si>
    <t>B Const</t>
  </si>
  <si>
    <t>Regressão</t>
  </si>
  <si>
    <t>VOLTAGEM CONSTANTE</t>
  </si>
  <si>
    <t>REGRESSÃO LINEAR</t>
  </si>
  <si>
    <t>B Constante</t>
  </si>
  <si>
    <t>U constante</t>
  </si>
  <si>
    <t>TODOS</t>
  </si>
  <si>
    <t>r²</t>
  </si>
  <si>
    <t>B constante</t>
  </si>
  <si>
    <r>
      <rPr>
        <rFont val="Arial"/>
        <b/>
        <color theme="1"/>
      </rPr>
      <t>U</t>
    </r>
    <r>
      <rPr>
        <rFont val="Arial"/>
        <color theme="1"/>
      </rPr>
      <t xml:space="preserve"> constante</t>
    </r>
  </si>
  <si>
    <t>sqrt(2Vm/e)</t>
  </si>
  <si>
    <t>BHelm</t>
  </si>
  <si>
    <t>BTerra</t>
  </si>
  <si>
    <t>Bz</t>
  </si>
  <si>
    <t>B1</t>
  </si>
  <si>
    <t>Campo Mag Tot</t>
  </si>
  <si>
    <t>B2</t>
  </si>
  <si>
    <t>DeltaB</t>
  </si>
  <si>
    <t>Orientação Paralela - Campo constante</t>
  </si>
  <si>
    <t>Campo Magnético (T)</t>
  </si>
  <si>
    <t>Campo da Bobina - Campo constante</t>
  </si>
  <si>
    <t>Média</t>
  </si>
  <si>
    <t>Orientação Paralela (T) (+-0,0002)</t>
  </si>
  <si>
    <t>Orientação antiparalela (T) (+-0,0002)</t>
  </si>
  <si>
    <t>Campo bobina (T) (+-0,0002)</t>
  </si>
  <si>
    <t>Campo Terrestre (G)    (+-0,02)</t>
  </si>
  <si>
    <t>Campo constante</t>
  </si>
  <si>
    <t>Orientação Paralela - Potencial constante</t>
  </si>
  <si>
    <t>Potencial constante</t>
  </si>
  <si>
    <t>Campo da Bobina - Potencial constante</t>
  </si>
  <si>
    <t>Orientação Antiparalela - Campo constante</t>
  </si>
  <si>
    <t>Orientação Antiparalela - Potencial constante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</si>
</sst>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0.000000E+00"/>
    <numFmt numFmtId="167" formatCode="0.000000"/>
    <numFmt numFmtId="168" formatCode="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9.0"/>
      <color rgb="FF000000"/>
      <name val="Arial"/>
      <scheme val="minor"/>
    </font>
    <font>
      <sz val="9.0"/>
      <color theme="1"/>
      <name val="Arial"/>
      <scheme val="minor"/>
    </font>
    <font>
      <b/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2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Border="1" applyFont="1"/>
    <xf borderId="5" fillId="0" fontId="2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2" xfId="0" applyFont="1" applyNumberFormat="1"/>
    <xf borderId="5" fillId="0" fontId="2" numFmtId="0" xfId="0" applyAlignment="1" applyBorder="1" applyFont="1">
      <alignment readingOrder="0"/>
    </xf>
    <xf borderId="0" fillId="0" fontId="2" numFmtId="0" xfId="0" applyFont="1"/>
    <xf borderId="5" fillId="0" fontId="2" numFmtId="11" xfId="0" applyBorder="1" applyFont="1" applyNumberFormat="1"/>
    <xf borderId="0" fillId="0" fontId="2" numFmtId="11" xfId="0" applyFont="1" applyNumberForma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7" fillId="0" fontId="2" numFmtId="2" xfId="0" applyBorder="1" applyFont="1" applyNumberFormat="1"/>
    <xf borderId="8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2" xfId="0" applyAlignment="1" applyBorder="1" applyFont="1" applyNumberFormat="1">
      <alignment readingOrder="0"/>
    </xf>
    <xf borderId="8" fillId="0" fontId="2" numFmtId="0" xfId="0" applyBorder="1" applyFont="1"/>
    <xf borderId="0" fillId="3" fontId="2" numFmtId="0" xfId="0" applyFill="1" applyFont="1"/>
    <xf borderId="0" fillId="4" fontId="2" numFmtId="0" xfId="0" applyFill="1" applyFont="1"/>
    <xf borderId="0" fillId="0" fontId="4" numFmtId="0" xfId="0" applyFont="1"/>
    <xf borderId="0" fillId="0" fontId="5" numFmtId="0" xfId="0" applyFont="1"/>
    <xf borderId="0" fillId="0" fontId="2" numFmtId="2" xfId="0" applyAlignment="1" applyFont="1" applyNumberFormat="1">
      <alignment readingOrder="0"/>
    </xf>
    <xf borderId="7" fillId="0" fontId="4" numFmtId="0" xfId="0" applyBorder="1" applyFont="1"/>
    <xf borderId="8" fillId="0" fontId="2" numFmtId="11" xfId="0" applyBorder="1" applyFont="1" applyNumberFormat="1"/>
    <xf borderId="0" fillId="5" fontId="6" numFmtId="0" xfId="0" applyAlignment="1" applyFill="1" applyFont="1">
      <alignment readingOrder="0"/>
    </xf>
    <xf borderId="0" fillId="5" fontId="2" numFmtId="0" xfId="0" applyFont="1"/>
    <xf borderId="0" fillId="0" fontId="2" numFmtId="3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6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2" numFmtId="0" xfId="0" applyBorder="1" applyFont="1"/>
    <xf borderId="9" fillId="0" fontId="2" numFmtId="0" xfId="0" applyAlignment="1" applyBorder="1" applyFont="1">
      <alignment readingOrder="0"/>
    </xf>
    <xf borderId="4" fillId="0" fontId="2" numFmtId="166" xfId="0" applyBorder="1" applyFont="1" applyNumberFormat="1"/>
    <xf borderId="4" fillId="0" fontId="2" numFmtId="11" xfId="0" applyBorder="1" applyFont="1" applyNumberFormat="1"/>
    <xf borderId="4" fillId="0" fontId="2" numFmtId="4" xfId="0" applyBorder="1" applyFont="1" applyNumberFormat="1"/>
    <xf borderId="1" fillId="0" fontId="1" numFmtId="0" xfId="0" applyAlignment="1" applyBorder="1" applyFont="1">
      <alignment readingOrder="0"/>
    </xf>
    <xf borderId="3" fillId="0" fontId="3" numFmtId="0" xfId="0" applyBorder="1" applyFont="1"/>
    <xf borderId="0" fillId="0" fontId="2" numFmtId="167" xfId="0" applyFont="1" applyNumberFormat="1"/>
    <xf borderId="1" fillId="0" fontId="2" numFmtId="0" xfId="0" applyBorder="1" applyFont="1"/>
    <xf borderId="9" fillId="0" fontId="1" numFmtId="0" xfId="0" applyBorder="1" applyFont="1"/>
    <xf borderId="11" fillId="0" fontId="3" numFmtId="0" xfId="0" applyBorder="1" applyFont="1"/>
    <xf borderId="10" fillId="0" fontId="3" numFmtId="0" xfId="0" applyBorder="1" applyFont="1"/>
    <xf borderId="8" fillId="0" fontId="2" numFmtId="168" xfId="0" applyBorder="1" applyFont="1" applyNumberFormat="1"/>
    <xf borderId="4" fillId="0" fontId="3" numFmtId="0" xfId="0" applyBorder="1" applyFont="1"/>
    <xf borderId="12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12" fillId="0" fontId="1" numFmtId="0" xfId="0" applyBorder="1" applyFont="1"/>
    <xf borderId="4" fillId="0" fontId="2" numFmtId="168" xfId="0" applyBorder="1" applyFont="1" applyNumberFormat="1"/>
    <xf borderId="0" fillId="0" fontId="2" numFmtId="168" xfId="0" applyFont="1" applyNumberFormat="1"/>
    <xf borderId="5" fillId="0" fontId="2" numFmtId="2" xfId="0" applyBorder="1" applyFont="1" applyNumberFormat="1"/>
    <xf borderId="6" fillId="0" fontId="2" numFmtId="168" xfId="0" applyBorder="1" applyFont="1" applyNumberFormat="1"/>
    <xf borderId="7" fillId="0" fontId="2" numFmtId="168" xfId="0" applyBorder="1" applyFont="1" applyNumberFormat="1"/>
    <xf borderId="8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'B da Terra 2'!$L$17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'B da Terra 2'!$K$18:$K$20</c:f>
            </c:numRef>
          </c:xVal>
          <c:yVal>
            <c:numRef>
              <c:f>'B da Terra 2'!$L$18:$L$20</c:f>
              <c:numCache/>
            </c:numRef>
          </c:yVal>
        </c:ser>
        <c:ser>
          <c:idx val="1"/>
          <c:order val="1"/>
          <c:tx>
            <c:strRef>
              <c:f>'B da Terra 2'!$M$17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'B da Terra 2'!$K$18:$K$20</c:f>
            </c:numRef>
          </c:xVal>
          <c:yVal>
            <c:numRef>
              <c:f>'B da Terra 2'!$M$18:$M$20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04287"/>
        <c:axId val="294027682"/>
      </c:scatterChart>
      <c:valAx>
        <c:axId val="5864042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027682"/>
      </c:valAx>
      <c:valAx>
        <c:axId val="294027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404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em!$J$6:$J$8</c:f>
            </c:numRef>
          </c:xVal>
          <c:yVal>
            <c:numRef>
              <c:f>em!$I$6:$I$8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074704"/>
        <c:axId val="1751325522"/>
      </c:scatterChart>
      <c:valAx>
        <c:axId val="21470747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325522"/>
      </c:valAx>
      <c:valAx>
        <c:axId val="1751325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7074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em!$I$18:$I$20</c:f>
            </c:numRef>
          </c:xVal>
          <c:yVal>
            <c:numRef>
              <c:f>em!$J$18:$J$20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819037"/>
        <c:axId val="1482415480"/>
      </c:scatterChart>
      <c:valAx>
        <c:axId val="230819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415480"/>
      </c:valAx>
      <c:valAx>
        <c:axId val="1482415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819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'em 2'!$J$4:$J$5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'em 2'!$I$6:$I$8</c:f>
            </c:numRef>
          </c:xVal>
          <c:yVal>
            <c:numRef>
              <c:f>'em 2'!$J$6:$J$8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155229"/>
        <c:axId val="74948150"/>
      </c:scatterChart>
      <c:valAx>
        <c:axId val="16951552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948150"/>
      </c:valAx>
      <c:valAx>
        <c:axId val="74948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155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'em 2'!$I$18:$I$20</c:f>
            </c:numRef>
          </c:xVal>
          <c:yVal>
            <c:numRef>
              <c:f>'em 2'!$J$18:$J$20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943238"/>
        <c:axId val="61763106"/>
      </c:scatterChart>
      <c:valAx>
        <c:axId val="8259432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63106"/>
      </c:valAx>
      <c:valAx>
        <c:axId val="61763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9432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434343"/>
                </a:solidFill>
                <a:latin typeface="Georgia"/>
              </a:defRPr>
            </a:pPr>
            <a:r>
              <a:rPr b="0" sz="2000">
                <a:solidFill>
                  <a:srgbClr val="434343"/>
                </a:solidFill>
                <a:latin typeface="Georgia"/>
              </a:rPr>
              <a:t>Gráfico de 2V/B² por r² (B const)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'em coletanea'!$J$3:$J$4</c:f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trendline>
            <c:name>Linha de tendência para 2V/B²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'em coletanea'!$I$5:$I$10</c:f>
            </c:numRef>
          </c:xVal>
          <c:yVal>
            <c:numRef>
              <c:f>'em coletanea'!$J$5:$J$10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558945"/>
        <c:axId val="1190067935"/>
      </c:scatterChart>
      <c:valAx>
        <c:axId val="1842558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90067935"/>
      </c:valAx>
      <c:valAx>
        <c:axId val="1190067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558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434343"/>
                </a:solidFill>
                <a:latin typeface="Georgia"/>
              </a:defRPr>
            </a:pPr>
            <a:r>
              <a:rPr b="0" sz="2000">
                <a:solidFill>
                  <a:srgbClr val="434343"/>
                </a:solidFill>
                <a:latin typeface="Georgia"/>
              </a:rPr>
              <a:t>Gráfico de 2V/B² por r² (V const)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'em coletanea'!$J$12:$J$13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Linha de tendência para 2V/B²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'em coletanea'!$I$14:$I$19</c:f>
            </c:numRef>
          </c:xVal>
          <c:yVal>
            <c:numRef>
              <c:f>'em coletanea'!$J$14:$J$19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02190"/>
        <c:axId val="651744076"/>
      </c:scatterChart>
      <c:valAx>
        <c:axId val="2325021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744076"/>
      </c:valAx>
      <c:valAx>
        <c:axId val="651744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502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434343"/>
                </a:solidFill>
                <a:latin typeface="Georgia"/>
              </a:defRPr>
            </a:pPr>
            <a:r>
              <a:rPr b="0" i="0" sz="2000">
                <a:solidFill>
                  <a:srgbClr val="434343"/>
                </a:solidFill>
                <a:latin typeface="Georgia"/>
              </a:rPr>
              <a:t>Gráfico de 2V/B² por r²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'em coletanea'!$D$22</c:f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EA9999"/>
              </a:solidFill>
              <a:ln cmpd="sng">
                <a:solidFill>
                  <a:srgbClr val="EA9999"/>
                </a:solidFill>
              </a:ln>
            </c:spPr>
          </c:marker>
          <c:xVal>
            <c:numRef>
              <c:f>'em coletanea'!$C$23:$C$35</c:f>
            </c:numRef>
          </c:xVal>
          <c:yVal>
            <c:numRef>
              <c:f>'em coletanea'!$D$23:$D$29</c:f>
              <c:numCache/>
            </c:numRef>
          </c:yVal>
        </c:ser>
        <c:ser>
          <c:idx val="1"/>
          <c:order val="1"/>
          <c:tx>
            <c:strRef>
              <c:f>'em coletanea'!$D$29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xVal>
            <c:numRef>
              <c:f>'em coletanea'!$C$23:$C$35</c:f>
            </c:numRef>
          </c:xVal>
          <c:yVal>
            <c:numRef>
              <c:f>'em coletanea'!$D$30:$D$35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87872"/>
        <c:axId val="1310780050"/>
      </c:scatterChart>
      <c:valAx>
        <c:axId val="1675878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780050"/>
      </c:valAx>
      <c:valAx>
        <c:axId val="1310780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2V/B^2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58787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'B Terra Coletanea'!$I$4:$I$5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'B Terra Coletanea'!$H$6:$H$8</c:f>
            </c:numRef>
          </c:xVal>
          <c:yVal>
            <c:numRef>
              <c:f>'B Terra Coletanea'!$I$6:$I$8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94739"/>
        <c:axId val="476630518"/>
      </c:scatterChart>
      <c:valAx>
        <c:axId val="1495947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630518"/>
      </c:valAx>
      <c:valAx>
        <c:axId val="476630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94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'B Terra Coletanea'!$I$27:$I$28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'B Terra Coletanea'!$H$29:$H$31</c:f>
            </c:numRef>
          </c:xVal>
          <c:yVal>
            <c:numRef>
              <c:f>'B Terra Coletanea'!$I$29:$I$31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969289"/>
        <c:axId val="2032066338"/>
      </c:scatterChart>
      <c:valAx>
        <c:axId val="17369692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066338"/>
      </c:valAx>
      <c:valAx>
        <c:axId val="2032066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969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819150</xdr:colOff>
      <xdr:row>12</xdr:row>
      <xdr:rowOff>123825</xdr:rowOff>
    </xdr:from>
    <xdr:ext cx="5076825" cy="31337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2</xdr:row>
      <xdr:rowOff>104775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190500</xdr:colOff>
      <xdr:row>23</xdr:row>
      <xdr:rowOff>104775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447675</xdr:colOff>
      <xdr:row>3</xdr:row>
      <xdr:rowOff>161925</xdr:rowOff>
    </xdr:from>
    <xdr:ext cx="4467225" cy="27622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171450</xdr:colOff>
      <xdr:row>24</xdr:row>
      <xdr:rowOff>114300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190500</xdr:colOff>
      <xdr:row>0</xdr:row>
      <xdr:rowOff>19050</xdr:rowOff>
    </xdr:from>
    <xdr:ext cx="4429125" cy="27432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190500</xdr:colOff>
      <xdr:row>16</xdr:row>
      <xdr:rowOff>123825</xdr:rowOff>
    </xdr:from>
    <xdr:ext cx="4429125" cy="27432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409575</xdr:colOff>
      <xdr:row>24</xdr:row>
      <xdr:rowOff>142875</xdr:rowOff>
    </xdr:from>
    <xdr:ext cx="5581650" cy="34575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323850</xdr:colOff>
      <xdr:row>15</xdr:row>
      <xdr:rowOff>114300</xdr:rowOff>
    </xdr:from>
    <xdr:ext cx="3152775" cy="195262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523875</xdr:colOff>
      <xdr:row>28</xdr:row>
      <xdr:rowOff>0</xdr:rowOff>
    </xdr:from>
    <xdr:ext cx="4210050" cy="260985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16.25"/>
    <col customWidth="1" min="4" max="4" width="17.5"/>
    <col customWidth="1" min="5" max="6" width="18.5"/>
    <col customWidth="1" min="7" max="7" width="17.25"/>
    <col customWidth="1" min="8" max="8" width="14.0"/>
    <col customWidth="1" min="9" max="9" width="13.38"/>
    <col customWidth="1" min="10" max="10" width="10.0"/>
    <col customWidth="1" min="11" max="11" width="10.5"/>
    <col customWidth="1" min="12" max="12" width="14.0"/>
    <col customWidth="1" min="13" max="13" width="17.5"/>
    <col customWidth="1" min="14" max="14" width="16.5"/>
  </cols>
  <sheetData>
    <row r="1">
      <c r="A1" s="1" t="s">
        <v>0</v>
      </c>
      <c r="J1" s="1" t="s">
        <v>1</v>
      </c>
      <c r="K1" s="2">
        <v>1.75E11</v>
      </c>
    </row>
    <row r="2">
      <c r="A2" s="3" t="s">
        <v>2</v>
      </c>
      <c r="B2" s="4"/>
      <c r="C2" s="4"/>
      <c r="D2" s="5" t="s">
        <v>0</v>
      </c>
      <c r="E2" s="4"/>
      <c r="F2" s="6"/>
      <c r="G2" s="7"/>
      <c r="H2" s="2">
        <f>175000000000</f>
        <v>175000000000</v>
      </c>
      <c r="S2" s="8" t="s">
        <v>3</v>
      </c>
    </row>
    <row r="3">
      <c r="A3" s="9"/>
      <c r="B3" s="1" t="s">
        <v>4</v>
      </c>
      <c r="C3" s="8">
        <v>1.732</v>
      </c>
      <c r="G3" s="10"/>
    </row>
    <row r="4">
      <c r="A4" s="9"/>
      <c r="B4" s="3" t="s">
        <v>5</v>
      </c>
      <c r="C4" s="11" t="s">
        <v>6</v>
      </c>
      <c r="D4" s="12" t="s">
        <v>7</v>
      </c>
      <c r="E4" s="13" t="s">
        <v>8</v>
      </c>
      <c r="F4" s="1" t="s">
        <v>9</v>
      </c>
      <c r="G4" s="14" t="s">
        <v>1</v>
      </c>
      <c r="H4" s="1"/>
      <c r="I4" s="1"/>
    </row>
    <row r="5">
      <c r="A5" s="9"/>
      <c r="B5" s="15" t="s">
        <v>10</v>
      </c>
      <c r="C5" s="8">
        <v>4.0</v>
      </c>
      <c r="D5" s="16">
        <f t="shared" ref="D5:D8" si="1">C5/(2*100)</f>
        <v>0.02</v>
      </c>
      <c r="E5" s="17"/>
      <c r="G5" s="10"/>
      <c r="H5" s="16"/>
    </row>
    <row r="6">
      <c r="A6" s="9"/>
      <c r="B6" s="15" t="s">
        <v>11</v>
      </c>
      <c r="C6" s="18">
        <f t="shared" ref="C6:C8" si="2">C5+2</f>
        <v>6</v>
      </c>
      <c r="D6" s="16">
        <f t="shared" si="1"/>
        <v>0.03</v>
      </c>
      <c r="E6" s="17">
        <v>126.8</v>
      </c>
      <c r="F6" s="18">
        <f>Divide(0.716*C$10*C$11*C$3,E11)</f>
        <v>0.001199945439</v>
      </c>
      <c r="G6" s="19">
        <f t="shared" ref="G6:G8" si="3">2*E6/(D6*F6)^2</f>
        <v>195696807748</v>
      </c>
      <c r="H6" s="20">
        <f t="shared" ref="H6:H8" si="4">SQRT(2*E6/H$2)/D6</f>
        <v>0.001268920301</v>
      </c>
      <c r="I6" s="20">
        <f t="shared" ref="I6:I8" si="5">H6-F6</f>
        <v>0.00006897486231</v>
      </c>
      <c r="J6" s="20"/>
    </row>
    <row r="7">
      <c r="A7" s="9"/>
      <c r="B7" s="15" t="s">
        <v>12</v>
      </c>
      <c r="C7" s="18">
        <f t="shared" si="2"/>
        <v>8</v>
      </c>
      <c r="D7" s="16">
        <f t="shared" si="1"/>
        <v>0.04</v>
      </c>
      <c r="E7" s="17">
        <v>212.5</v>
      </c>
      <c r="F7" s="18">
        <f>Divide(0.716*C$10*C$11*C$3,E11)</f>
        <v>0.001199945439</v>
      </c>
      <c r="G7" s="19">
        <f t="shared" si="3"/>
        <v>184478580845</v>
      </c>
      <c r="H7" s="20">
        <f t="shared" si="4"/>
        <v>0.001232013451</v>
      </c>
      <c r="I7" s="20">
        <f t="shared" si="5"/>
        <v>0.00003206801212</v>
      </c>
      <c r="J7" s="20"/>
    </row>
    <row r="8">
      <c r="A8" s="9"/>
      <c r="B8" s="21" t="s">
        <v>13</v>
      </c>
      <c r="C8" s="22">
        <f t="shared" si="2"/>
        <v>10</v>
      </c>
      <c r="D8" s="23">
        <f t="shared" si="1"/>
        <v>0.05</v>
      </c>
      <c r="E8" s="24">
        <v>325.7</v>
      </c>
      <c r="F8" s="18">
        <f>Divide(0.716*C$10*C$11*C$3,E11)</f>
        <v>0.001199945439</v>
      </c>
      <c r="G8" s="19">
        <f t="shared" si="3"/>
        <v>180960899859</v>
      </c>
      <c r="H8" s="20">
        <f t="shared" si="4"/>
        <v>0.001220210755</v>
      </c>
      <c r="I8" s="20">
        <f t="shared" si="5"/>
        <v>0.00002026531599</v>
      </c>
      <c r="J8" s="20"/>
    </row>
    <row r="9">
      <c r="A9" s="9"/>
      <c r="B9" s="8"/>
      <c r="D9" s="16"/>
      <c r="E9" s="8"/>
      <c r="F9" s="17"/>
      <c r="G9" s="10"/>
    </row>
    <row r="10">
      <c r="A10" s="25" t="s">
        <v>14</v>
      </c>
      <c r="B10" s="8" t="s">
        <v>15</v>
      </c>
      <c r="C10" s="18">
        <f>PI()*4*10^(-7)</f>
        <v>0.000001256637061</v>
      </c>
      <c r="D10" s="16"/>
      <c r="E10" s="8"/>
      <c r="F10" s="17"/>
      <c r="G10" s="10"/>
    </row>
    <row r="11">
      <c r="A11" s="26"/>
      <c r="B11" s="27" t="s">
        <v>16</v>
      </c>
      <c r="C11" s="27">
        <v>154.0</v>
      </c>
      <c r="D11" s="28" t="s">
        <v>17</v>
      </c>
      <c r="E11" s="27">
        <v>0.2</v>
      </c>
      <c r="F11" s="24"/>
      <c r="G11" s="29"/>
    </row>
    <row r="13">
      <c r="A13" s="3" t="s">
        <v>18</v>
      </c>
      <c r="B13" s="4"/>
      <c r="C13" s="4"/>
      <c r="D13" s="5" t="s">
        <v>0</v>
      </c>
      <c r="E13" s="4"/>
      <c r="F13" s="6"/>
      <c r="G13" s="7"/>
    </row>
    <row r="14">
      <c r="A14" s="9"/>
      <c r="B14" s="8" t="s">
        <v>19</v>
      </c>
      <c r="C14" s="8">
        <v>122.3</v>
      </c>
      <c r="D14" s="8" t="s">
        <v>20</v>
      </c>
      <c r="G14" s="10"/>
    </row>
    <row r="15">
      <c r="A15" s="9"/>
      <c r="B15" s="8" t="s">
        <v>5</v>
      </c>
      <c r="C15" s="8" t="s">
        <v>6</v>
      </c>
      <c r="D15" s="1" t="s">
        <v>21</v>
      </c>
      <c r="E15" s="1" t="s">
        <v>22</v>
      </c>
      <c r="F15" s="1" t="s">
        <v>9</v>
      </c>
      <c r="G15" s="14" t="s">
        <v>1</v>
      </c>
    </row>
    <row r="16">
      <c r="A16" s="15" t="s">
        <v>23</v>
      </c>
      <c r="B16" s="8" t="s">
        <v>10</v>
      </c>
      <c r="C16" s="8">
        <v>6.0</v>
      </c>
      <c r="D16" s="16">
        <f>C16/2</f>
        <v>3</v>
      </c>
      <c r="E16" s="8" t="s">
        <v>24</v>
      </c>
      <c r="G16" s="10"/>
    </row>
    <row r="17">
      <c r="A17" s="9"/>
      <c r="B17" s="8" t="s">
        <v>11</v>
      </c>
      <c r="C17" s="8">
        <v>6.0</v>
      </c>
      <c r="D17" s="16">
        <f t="shared" ref="D17:D19" si="6">C17/(2*100)</f>
        <v>0.03</v>
      </c>
      <c r="E17" s="8">
        <v>1.682</v>
      </c>
      <c r="F17" s="18">
        <f>Divide(0.716*C$10*C$11*E17,E22)</f>
        <v>0.001165304981</v>
      </c>
      <c r="G17" s="19">
        <f>2*C14/(D17*F17)^2</f>
        <v>200140387973</v>
      </c>
    </row>
    <row r="18">
      <c r="A18" s="9"/>
      <c r="B18" s="8" t="s">
        <v>12</v>
      </c>
      <c r="C18" s="8">
        <v>8.0</v>
      </c>
      <c r="D18" s="16">
        <f t="shared" si="6"/>
        <v>0.04</v>
      </c>
      <c r="E18" s="8">
        <v>1.24</v>
      </c>
      <c r="F18" s="18">
        <f>Divide(0.716*C$10*C$11*E18,E22)</f>
        <v>0.0008590833394</v>
      </c>
      <c r="G18" s="19">
        <f>2*C14/(D18*F18)^2</f>
        <v>207140908513</v>
      </c>
    </row>
    <row r="19">
      <c r="A19" s="9"/>
      <c r="B19" s="8" t="s">
        <v>13</v>
      </c>
      <c r="C19" s="8">
        <v>10.0</v>
      </c>
      <c r="D19" s="16">
        <f t="shared" si="6"/>
        <v>0.05</v>
      </c>
      <c r="E19" s="8">
        <v>0.965</v>
      </c>
      <c r="F19" s="18">
        <f>Divide(0.716*C$10*C$11*E19,E22)</f>
        <v>0.0006685608246</v>
      </c>
      <c r="G19" s="19">
        <f>2*C14/(D19*F19)^2</f>
        <v>218894371387</v>
      </c>
    </row>
    <row r="20">
      <c r="A20" s="9"/>
      <c r="B20" s="8"/>
      <c r="D20" s="16"/>
      <c r="E20" s="8"/>
      <c r="G20" s="10"/>
      <c r="J20" s="8"/>
      <c r="L20" s="16"/>
      <c r="M20" s="8"/>
      <c r="N20" s="8"/>
    </row>
    <row r="21">
      <c r="A21" s="25" t="s">
        <v>14</v>
      </c>
      <c r="B21" s="8" t="s">
        <v>15</v>
      </c>
      <c r="C21" s="18">
        <f>PI()*4*10^(-7)</f>
        <v>0.000001256637061</v>
      </c>
      <c r="D21" s="16"/>
      <c r="E21" s="8"/>
      <c r="G21" s="10"/>
      <c r="J21" s="8"/>
      <c r="L21" s="16"/>
      <c r="M21" s="8"/>
      <c r="N21" s="8"/>
    </row>
    <row r="22">
      <c r="A22" s="26"/>
      <c r="B22" s="27" t="s">
        <v>16</v>
      </c>
      <c r="C22" s="27">
        <v>154.0</v>
      </c>
      <c r="D22" s="28" t="s">
        <v>17</v>
      </c>
      <c r="E22" s="27">
        <v>0.2</v>
      </c>
      <c r="F22" s="22"/>
      <c r="G22" s="29"/>
      <c r="J22" s="8"/>
      <c r="L22" s="16"/>
      <c r="M22" s="8"/>
      <c r="N22" s="8"/>
    </row>
    <row r="24">
      <c r="A24" s="12" t="s">
        <v>0</v>
      </c>
      <c r="B24" s="11"/>
      <c r="C24" s="11"/>
      <c r="D24" s="6"/>
      <c r="E24" s="7"/>
    </row>
    <row r="25">
      <c r="A25" s="1" t="s">
        <v>19</v>
      </c>
      <c r="B25" s="8">
        <v>326.3</v>
      </c>
      <c r="C25" s="8" t="s">
        <v>20</v>
      </c>
      <c r="E25" s="10"/>
    </row>
    <row r="26">
      <c r="A26" s="1" t="s">
        <v>4</v>
      </c>
      <c r="B26" s="8">
        <v>1.703</v>
      </c>
      <c r="C26" s="8" t="s">
        <v>25</v>
      </c>
      <c r="D26" s="1"/>
      <c r="E26" s="14"/>
    </row>
    <row r="27">
      <c r="A27" s="15" t="s">
        <v>26</v>
      </c>
      <c r="B27" s="16">
        <f>D19</f>
        <v>0.05</v>
      </c>
      <c r="C27" s="8" t="s">
        <v>6</v>
      </c>
      <c r="D27" s="16"/>
      <c r="E27" s="17"/>
    </row>
    <row r="28">
      <c r="A28" s="9"/>
      <c r="D28" s="16"/>
      <c r="E28" s="17"/>
    </row>
    <row r="29">
      <c r="A29" s="9"/>
      <c r="D29" s="16"/>
      <c r="E29" s="17"/>
    </row>
    <row r="30">
      <c r="A30" s="26"/>
      <c r="B30" s="27"/>
      <c r="C30" s="22"/>
      <c r="D30" s="23"/>
      <c r="E30" s="24"/>
    </row>
    <row r="32">
      <c r="A32" s="12" t="s">
        <v>0</v>
      </c>
      <c r="B32" s="11"/>
      <c r="C32" s="11"/>
      <c r="D32" s="6"/>
      <c r="E32" s="7"/>
    </row>
    <row r="33">
      <c r="A33" s="1" t="s">
        <v>27</v>
      </c>
      <c r="B33" s="8">
        <v>122.3</v>
      </c>
      <c r="C33" s="8" t="s">
        <v>20</v>
      </c>
      <c r="E33" s="10"/>
    </row>
    <row r="34">
      <c r="A34" s="1" t="s">
        <v>28</v>
      </c>
      <c r="B34" s="8">
        <v>2.067</v>
      </c>
      <c r="C34" s="8" t="s">
        <v>25</v>
      </c>
      <c r="D34" s="1"/>
      <c r="E34" s="14"/>
    </row>
    <row r="35">
      <c r="A35" s="15" t="s">
        <v>26</v>
      </c>
      <c r="B35" s="16">
        <f>D19</f>
        <v>0.05</v>
      </c>
      <c r="C35" s="8" t="s">
        <v>6</v>
      </c>
      <c r="D35" s="16"/>
      <c r="E35" s="17"/>
    </row>
    <row r="36">
      <c r="A36" s="9"/>
      <c r="D36" s="16"/>
      <c r="E36" s="17"/>
    </row>
    <row r="37">
      <c r="A37" s="9"/>
      <c r="D37" s="16"/>
      <c r="E37" s="17"/>
    </row>
    <row r="38">
      <c r="A38" s="26"/>
      <c r="B38" s="27"/>
      <c r="C38" s="22"/>
      <c r="D38" s="23"/>
      <c r="E38" s="24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>
      <c r="A41" s="1"/>
    </row>
    <row r="42">
      <c r="A42" s="8"/>
      <c r="E42" s="1"/>
    </row>
    <row r="43">
      <c r="A43" s="1" t="s">
        <v>29</v>
      </c>
    </row>
    <row r="44">
      <c r="A44" s="3" t="s">
        <v>2</v>
      </c>
      <c r="B44" s="4"/>
      <c r="C44" s="4"/>
      <c r="D44" s="4"/>
      <c r="E44" s="6"/>
      <c r="F44" s="6"/>
      <c r="G44" s="7"/>
    </row>
    <row r="45">
      <c r="A45" s="9"/>
      <c r="G45" s="10"/>
    </row>
    <row r="46">
      <c r="A46" s="15" t="s">
        <v>5</v>
      </c>
      <c r="B46" s="8" t="s">
        <v>30</v>
      </c>
      <c r="C46" s="1" t="s">
        <v>31</v>
      </c>
      <c r="D46" s="1" t="s">
        <v>32</v>
      </c>
      <c r="E46" s="1" t="s">
        <v>8</v>
      </c>
      <c r="F46" s="1" t="s">
        <v>9</v>
      </c>
      <c r="G46" s="14" t="s">
        <v>1</v>
      </c>
      <c r="H46" s="1"/>
      <c r="I46" s="1"/>
      <c r="J46" s="1"/>
    </row>
    <row r="47">
      <c r="A47" s="15" t="s">
        <v>10</v>
      </c>
      <c r="B47" s="8">
        <v>4.0</v>
      </c>
      <c r="C47" s="16">
        <f t="shared" ref="C47:C50" si="7">B47/200</f>
        <v>0.02</v>
      </c>
      <c r="D47" s="8">
        <v>2.059</v>
      </c>
      <c r="E47" s="8">
        <v>82.3</v>
      </c>
      <c r="F47" s="32">
        <f>Divide(0.716*C$10*C$11*D47,E11)</f>
        <v>0.001426494029</v>
      </c>
      <c r="G47" s="19">
        <f t="shared" ref="G47:G49" si="8">2*E47/(C47*F47)^2</f>
        <v>202222708699</v>
      </c>
      <c r="H47" s="2">
        <f t="shared" ref="H47:H49" si="9">SQRT(2*E47/H$2)/C47</f>
        <v>0.00153343685</v>
      </c>
      <c r="I47" s="20">
        <f t="shared" ref="I47:I49" si="10">F47-H47</f>
        <v>-0.0001069428205</v>
      </c>
      <c r="J47" s="20"/>
    </row>
    <row r="48">
      <c r="A48" s="15" t="s">
        <v>11</v>
      </c>
      <c r="B48" s="18">
        <f t="shared" ref="B48:B50" si="11">B47+2</f>
        <v>6</v>
      </c>
      <c r="C48" s="16">
        <f t="shared" si="7"/>
        <v>0.03</v>
      </c>
      <c r="D48" s="8">
        <v>2.065</v>
      </c>
      <c r="E48" s="8">
        <v>165.2</v>
      </c>
      <c r="F48" s="33">
        <f t="shared" ref="F48:F49" si="12">Divide(0.716*C$10*C$11*D48,E$11)</f>
        <v>0.001430650884</v>
      </c>
      <c r="G48" s="19">
        <f t="shared" si="8"/>
        <v>179361899346</v>
      </c>
      <c r="H48" s="2">
        <f t="shared" si="9"/>
        <v>0.001448370732</v>
      </c>
      <c r="I48" s="20">
        <f t="shared" si="10"/>
        <v>-0.00001771984833</v>
      </c>
      <c r="J48" s="20"/>
    </row>
    <row r="49">
      <c r="A49" s="15" t="s">
        <v>12</v>
      </c>
      <c r="B49" s="18">
        <f t="shared" si="11"/>
        <v>8</v>
      </c>
      <c r="C49" s="16">
        <f t="shared" si="7"/>
        <v>0.04</v>
      </c>
      <c r="D49" s="8">
        <v>2.065</v>
      </c>
      <c r="E49" s="8">
        <v>287.2</v>
      </c>
      <c r="F49" s="33">
        <f t="shared" si="12"/>
        <v>0.001430650884</v>
      </c>
      <c r="G49" s="19">
        <f t="shared" si="8"/>
        <v>175399000238</v>
      </c>
      <c r="H49" s="2">
        <f t="shared" si="9"/>
        <v>0.001432280898</v>
      </c>
      <c r="I49" s="20">
        <f t="shared" si="10"/>
        <v>-0.0000016300144</v>
      </c>
      <c r="J49" s="20"/>
    </row>
    <row r="50">
      <c r="A50" s="21" t="s">
        <v>13</v>
      </c>
      <c r="B50" s="22">
        <f t="shared" si="11"/>
        <v>10</v>
      </c>
      <c r="C50" s="23">
        <f t="shared" si="7"/>
        <v>0.05</v>
      </c>
      <c r="D50" s="22"/>
      <c r="E50" s="27"/>
      <c r="F50" s="22"/>
      <c r="G50" s="29"/>
      <c r="H50" s="16"/>
    </row>
    <row r="51">
      <c r="A51" s="8"/>
      <c r="C51" s="16"/>
      <c r="E51" s="8"/>
    </row>
    <row r="52">
      <c r="A52" s="8"/>
      <c r="C52" s="16"/>
      <c r="E52" s="8"/>
    </row>
    <row r="53">
      <c r="A53" s="8"/>
      <c r="C53" s="16"/>
      <c r="E53" s="8"/>
    </row>
    <row r="55">
      <c r="A55" s="3"/>
      <c r="B55" s="4"/>
      <c r="C55" s="4"/>
      <c r="D55" s="11"/>
      <c r="E55" s="5" t="s">
        <v>33</v>
      </c>
      <c r="F55" s="6"/>
      <c r="G55" s="7"/>
    </row>
    <row r="56">
      <c r="A56" s="9"/>
      <c r="G56" s="10"/>
    </row>
    <row r="57">
      <c r="A57" s="15" t="s">
        <v>5</v>
      </c>
      <c r="B57" s="8" t="s">
        <v>30</v>
      </c>
      <c r="C57" s="1" t="s">
        <v>21</v>
      </c>
      <c r="D57" s="1" t="s">
        <v>32</v>
      </c>
      <c r="E57" s="1" t="s">
        <v>8</v>
      </c>
      <c r="F57" s="1" t="s">
        <v>9</v>
      </c>
      <c r="G57" s="14" t="s">
        <v>1</v>
      </c>
      <c r="H57" s="1" t="s">
        <v>31</v>
      </c>
      <c r="I57" s="1" t="s">
        <v>34</v>
      </c>
    </row>
    <row r="58">
      <c r="A58" s="15" t="s">
        <v>10</v>
      </c>
      <c r="B58" s="8">
        <v>4.0</v>
      </c>
      <c r="C58" s="16">
        <f t="shared" ref="C58:C61" si="13">B58/200</f>
        <v>0.02</v>
      </c>
      <c r="E58" s="8"/>
      <c r="G58" s="10"/>
      <c r="H58" s="34">
        <v>0.02</v>
      </c>
      <c r="I58" s="18">
        <f t="shared" ref="I58:I61" si="14">SQRT(2*E58/K$1)</f>
        <v>0</v>
      </c>
    </row>
    <row r="59">
      <c r="A59" s="15" t="s">
        <v>11</v>
      </c>
      <c r="B59" s="18">
        <f t="shared" ref="B59:B61" si="15">B58+2</f>
        <v>6</v>
      </c>
      <c r="C59" s="16">
        <f t="shared" si="13"/>
        <v>0.03</v>
      </c>
      <c r="D59" s="8">
        <v>2.044</v>
      </c>
      <c r="E59" s="8">
        <v>163.0</v>
      </c>
      <c r="F59" s="32">
        <f t="shared" ref="F59:F61" si="16">Divide(0.716*C$10*C$11*D59,E$11)</f>
        <v>0.001416101892</v>
      </c>
      <c r="G59" s="19">
        <f t="shared" ref="G59:G61" si="17">2*E59/(F59*C59)^2</f>
        <v>180628420679</v>
      </c>
      <c r="H59" s="16">
        <v>0.03</v>
      </c>
      <c r="I59" s="18">
        <f t="shared" si="14"/>
        <v>0.0000431608288</v>
      </c>
    </row>
    <row r="60">
      <c r="A60" s="15" t="s">
        <v>12</v>
      </c>
      <c r="B60" s="18">
        <f t="shared" si="15"/>
        <v>8</v>
      </c>
      <c r="C60" s="16">
        <f t="shared" si="13"/>
        <v>0.04</v>
      </c>
      <c r="D60" s="8">
        <v>1.5</v>
      </c>
      <c r="E60" s="8">
        <v>163.0</v>
      </c>
      <c r="F60" s="32">
        <f t="shared" si="16"/>
        <v>0.001039213717</v>
      </c>
      <c r="G60" s="19">
        <f t="shared" si="17"/>
        <v>188663495345</v>
      </c>
      <c r="H60" s="16">
        <v>0.04</v>
      </c>
      <c r="I60" s="18">
        <f t="shared" si="14"/>
        <v>0.0000431608288</v>
      </c>
    </row>
    <row r="61">
      <c r="A61" s="21" t="s">
        <v>13</v>
      </c>
      <c r="B61" s="22">
        <f t="shared" si="15"/>
        <v>10</v>
      </c>
      <c r="C61" s="23">
        <f t="shared" si="13"/>
        <v>0.05</v>
      </c>
      <c r="D61" s="27">
        <v>1.752</v>
      </c>
      <c r="E61" s="27">
        <v>326.1</v>
      </c>
      <c r="F61" s="35">
        <f t="shared" si="16"/>
        <v>0.001213801622</v>
      </c>
      <c r="G61" s="36">
        <f t="shared" si="17"/>
        <v>177070151607</v>
      </c>
      <c r="H61" s="34">
        <v>0.05</v>
      </c>
      <c r="I61" s="18">
        <f t="shared" si="14"/>
        <v>0.00006104799049</v>
      </c>
    </row>
    <row r="62">
      <c r="H62" s="16"/>
    </row>
  </sheetData>
  <mergeCells count="10">
    <mergeCell ref="A43:B43"/>
    <mergeCell ref="A44:D44"/>
    <mergeCell ref="A55:C55"/>
    <mergeCell ref="A1:B1"/>
    <mergeCell ref="A2:C2"/>
    <mergeCell ref="D2:E2"/>
    <mergeCell ref="A13:C13"/>
    <mergeCell ref="D13:E13"/>
    <mergeCell ref="A41:B41"/>
    <mergeCell ref="A42:D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2</v>
      </c>
      <c r="B2" s="4"/>
      <c r="C2" s="4"/>
      <c r="D2" s="4"/>
      <c r="E2" s="5" t="s">
        <v>35</v>
      </c>
      <c r="F2" s="6"/>
      <c r="G2" s="6"/>
      <c r="H2" s="7"/>
      <c r="J2" s="37" t="s">
        <v>1</v>
      </c>
      <c r="K2" s="38"/>
    </row>
    <row r="3">
      <c r="A3" s="9"/>
      <c r="H3" s="10"/>
      <c r="J3" s="8" t="s">
        <v>36</v>
      </c>
      <c r="K3" s="8" t="s">
        <v>37</v>
      </c>
      <c r="L3" s="8" t="s">
        <v>38</v>
      </c>
    </row>
    <row r="4">
      <c r="B4" s="8" t="s">
        <v>5</v>
      </c>
      <c r="C4" s="8" t="s">
        <v>30</v>
      </c>
      <c r="D4" s="1" t="s">
        <v>21</v>
      </c>
      <c r="E4" s="1" t="s">
        <v>32</v>
      </c>
      <c r="F4" s="1" t="s">
        <v>8</v>
      </c>
      <c r="G4" s="1" t="s">
        <v>9</v>
      </c>
      <c r="H4" s="14" t="s">
        <v>1</v>
      </c>
      <c r="J4" s="20">
        <f>SUM(H6:H20)/6</f>
        <v>194539967706</v>
      </c>
      <c r="K4" s="20">
        <f>_xlfn.STDEV.S(H6:H20)</f>
        <v>10986893442</v>
      </c>
      <c r="L4" s="39">
        <f> 1.75882*10^11</f>
        <v>175882000000</v>
      </c>
    </row>
    <row r="5">
      <c r="B5" s="8" t="s">
        <v>10</v>
      </c>
      <c r="D5" s="16"/>
      <c r="F5" s="8"/>
      <c r="H5" s="10"/>
    </row>
    <row r="6">
      <c r="B6" s="8" t="s">
        <v>11</v>
      </c>
      <c r="C6" s="8">
        <v>6.0</v>
      </c>
      <c r="D6" s="16">
        <f t="shared" ref="D6:D8" si="1">C6/200</f>
        <v>0.03</v>
      </c>
      <c r="E6" s="8">
        <v>1.74</v>
      </c>
      <c r="F6" s="8">
        <v>131.8</v>
      </c>
      <c r="G6" s="18">
        <f t="shared" ref="G6:G8" si="2">Divide(0.716*D$9*D$10*E6,F$10)</f>
        <v>0.001205487912</v>
      </c>
      <c r="H6" s="19">
        <f t="shared" ref="H6:H8" si="3">2*F6/(D6*G6)^2</f>
        <v>201547389265</v>
      </c>
      <c r="I6" s="18">
        <f t="shared" ref="I6:I8" si="4">SQRT(2*F6/L$4)</f>
        <v>0.00003871346154</v>
      </c>
      <c r="J6" s="20">
        <f t="shared" ref="J6:J8" si="5">$L$10-G6</f>
        <v>-0.00009595775167</v>
      </c>
      <c r="K6" s="2">
        <f>MEDIAN(J6:J31)</f>
        <v>-0.00008448397468</v>
      </c>
      <c r="L6" s="18">
        <f t="shared" ref="L6:L8" si="6">SQRT(2*F6/D6^2/$L$4)</f>
        <v>0.001290448718</v>
      </c>
      <c r="M6" s="20">
        <f t="shared" ref="M6:M8" si="7">L6-G6</f>
        <v>0.00008496080623</v>
      </c>
    </row>
    <row r="7">
      <c r="B7" s="8" t="s">
        <v>12</v>
      </c>
      <c r="C7" s="8">
        <v>8.0</v>
      </c>
      <c r="D7" s="16">
        <f t="shared" si="1"/>
        <v>0.04</v>
      </c>
      <c r="E7" s="8">
        <v>1.739</v>
      </c>
      <c r="F7" s="8">
        <v>212.7</v>
      </c>
      <c r="G7" s="18">
        <f t="shared" si="2"/>
        <v>0.001204795103</v>
      </c>
      <c r="H7" s="19">
        <f t="shared" si="3"/>
        <v>183168637910</v>
      </c>
      <c r="I7" s="18">
        <f t="shared" si="4"/>
        <v>0.00004917994572</v>
      </c>
      <c r="J7" s="20">
        <f t="shared" si="5"/>
        <v>-0.00009526494252</v>
      </c>
      <c r="K7" s="20">
        <f>_xlfn.STDEV.S(J6:J31)</f>
        <v>0.0000119391281</v>
      </c>
      <c r="L7" s="18">
        <f t="shared" si="6"/>
        <v>0.001229498643</v>
      </c>
      <c r="M7" s="20">
        <f t="shared" si="7"/>
        <v>0.00002470354031</v>
      </c>
    </row>
    <row r="8">
      <c r="B8" s="8" t="s">
        <v>13</v>
      </c>
      <c r="C8" s="8">
        <v>10.0</v>
      </c>
      <c r="D8" s="18">
        <f t="shared" si="1"/>
        <v>0.05</v>
      </c>
      <c r="E8" s="8">
        <v>1.739</v>
      </c>
      <c r="F8" s="8">
        <v>326.2</v>
      </c>
      <c r="G8" s="18">
        <f t="shared" si="2"/>
        <v>0.001204795103</v>
      </c>
      <c r="H8" s="19">
        <f t="shared" si="3"/>
        <v>179782558529</v>
      </c>
      <c r="I8" s="18">
        <f t="shared" si="4"/>
        <v>0.00006090406474</v>
      </c>
      <c r="J8" s="20">
        <f t="shared" si="5"/>
        <v>-0.00009526494252</v>
      </c>
      <c r="L8" s="18">
        <f t="shared" si="6"/>
        <v>0.001218081295</v>
      </c>
      <c r="M8" s="20">
        <f t="shared" si="7"/>
        <v>0.00001328619222</v>
      </c>
    </row>
    <row r="9">
      <c r="B9" s="1" t="s">
        <v>14</v>
      </c>
      <c r="C9" s="8" t="s">
        <v>15</v>
      </c>
      <c r="D9" s="18">
        <f>PI()*4*10^(-7)</f>
        <v>0.000001256637061</v>
      </c>
      <c r="E9" s="16"/>
      <c r="F9" s="8"/>
      <c r="H9" s="10"/>
    </row>
    <row r="10">
      <c r="A10" s="22"/>
      <c r="B10" s="22"/>
      <c r="C10" s="27" t="s">
        <v>16</v>
      </c>
      <c r="D10" s="27">
        <v>154.0</v>
      </c>
      <c r="E10" s="28" t="s">
        <v>17</v>
      </c>
      <c r="F10" s="27">
        <f>0.2</f>
        <v>0.2</v>
      </c>
      <c r="G10" s="27">
        <v>1.0E-4</v>
      </c>
      <c r="H10" s="29"/>
      <c r="L10" s="18">
        <f t="array" ref="L10:M10">LINEST(I6:I8,D6:D8)</f>
        <v>0.00110953016</v>
      </c>
      <c r="M10" s="18">
        <v>5.217950929042151E-6</v>
      </c>
    </row>
    <row r="14">
      <c r="A14" s="11" t="s">
        <v>39</v>
      </c>
      <c r="B14" s="11"/>
      <c r="C14" s="11"/>
      <c r="D14" s="11"/>
      <c r="E14" s="5" t="s">
        <v>40</v>
      </c>
      <c r="F14" s="6"/>
      <c r="G14" s="6"/>
      <c r="H14" s="7"/>
    </row>
    <row r="15">
      <c r="A15" s="9"/>
      <c r="H15" s="10"/>
    </row>
    <row r="16">
      <c r="B16" s="8" t="s">
        <v>5</v>
      </c>
      <c r="C16" s="8" t="s">
        <v>30</v>
      </c>
      <c r="D16" s="1" t="s">
        <v>41</v>
      </c>
      <c r="E16" s="1" t="s">
        <v>32</v>
      </c>
      <c r="F16" s="1" t="s">
        <v>8</v>
      </c>
      <c r="G16" s="1" t="s">
        <v>9</v>
      </c>
      <c r="H16" s="14" t="s">
        <v>1</v>
      </c>
    </row>
    <row r="17">
      <c r="B17" s="8" t="s">
        <v>10</v>
      </c>
      <c r="D17" s="16"/>
      <c r="F17" s="8"/>
      <c r="H17" s="10"/>
      <c r="K17" s="8" t="s">
        <v>42</v>
      </c>
      <c r="L17" s="8" t="s">
        <v>43</v>
      </c>
      <c r="M17" s="8" t="s">
        <v>44</v>
      </c>
    </row>
    <row r="18">
      <c r="B18" s="8" t="s">
        <v>11</v>
      </c>
      <c r="C18" s="8">
        <v>6.0</v>
      </c>
      <c r="D18" s="16">
        <f t="shared" ref="D18:D20" si="8">C18/200</f>
        <v>0.03</v>
      </c>
      <c r="E18" s="8">
        <v>1.739</v>
      </c>
      <c r="F18" s="8">
        <v>131.5</v>
      </c>
      <c r="G18" s="18">
        <f t="shared" ref="G18:G20" si="9">Divide(0.716*D$21*D$22*E18,F$22)</f>
        <v>0.001204795103</v>
      </c>
      <c r="H18" s="19">
        <f t="shared" ref="H18:H20" si="10">2*F18/(D18*G18)^2</f>
        <v>201319967697</v>
      </c>
      <c r="K18" s="16">
        <f t="shared" ref="K18:K20" si="11">D18</f>
        <v>0.03</v>
      </c>
      <c r="L18" s="18">
        <f t="shared" ref="L18:L20" si="12">SQRT(2*F18/D18^2/$L$4)</f>
        <v>0.001288979237</v>
      </c>
      <c r="M18" s="18">
        <v>0.0014919826588930235</v>
      </c>
      <c r="N18" s="20">
        <f t="shared" ref="N18:N20" si="13">(L18-M18)/2</f>
        <v>-0.0001015017109</v>
      </c>
    </row>
    <row r="19">
      <c r="B19" s="8" t="s">
        <v>12</v>
      </c>
      <c r="C19" s="8">
        <v>8.0</v>
      </c>
      <c r="D19" s="16">
        <f t="shared" si="8"/>
        <v>0.04</v>
      </c>
      <c r="E19" s="8">
        <v>1.285</v>
      </c>
      <c r="F19" s="8">
        <v>131.4</v>
      </c>
      <c r="G19" s="18">
        <f t="shared" si="9"/>
        <v>0.000890259751</v>
      </c>
      <c r="H19" s="19">
        <f t="shared" si="10"/>
        <v>207239196550</v>
      </c>
      <c r="K19" s="16">
        <f t="shared" si="11"/>
        <v>0.04</v>
      </c>
      <c r="L19" s="18">
        <f t="shared" si="12"/>
        <v>0.0009663667783</v>
      </c>
      <c r="M19" s="18">
        <v>0.0011189869941697675</v>
      </c>
      <c r="N19" s="20">
        <f t="shared" si="13"/>
        <v>-0.00007631010793</v>
      </c>
    </row>
    <row r="20">
      <c r="B20" s="8" t="s">
        <v>13</v>
      </c>
      <c r="C20" s="8">
        <v>10.0</v>
      </c>
      <c r="D20" s="16">
        <f t="shared" si="8"/>
        <v>0.05</v>
      </c>
      <c r="E20" s="8">
        <v>1.062</v>
      </c>
      <c r="F20" s="8">
        <v>131.4</v>
      </c>
      <c r="G20" s="18">
        <f t="shared" si="9"/>
        <v>0.0007357633117</v>
      </c>
      <c r="H20" s="19">
        <f t="shared" si="10"/>
        <v>194182056283</v>
      </c>
      <c r="K20" s="16">
        <f t="shared" si="11"/>
        <v>0.05</v>
      </c>
      <c r="L20" s="18">
        <f t="shared" si="12"/>
        <v>0.0007730934227</v>
      </c>
      <c r="M20" s="18">
        <v>8.95189595335814E-4</v>
      </c>
      <c r="N20" s="20">
        <f t="shared" si="13"/>
        <v>-0.00006104808634</v>
      </c>
    </row>
    <row r="21">
      <c r="B21" s="1" t="s">
        <v>14</v>
      </c>
      <c r="C21" s="8" t="s">
        <v>15</v>
      </c>
      <c r="D21" s="18">
        <f>PI()*4*10^(-7)</f>
        <v>0.000001256637061</v>
      </c>
      <c r="E21" s="16"/>
      <c r="F21" s="8"/>
      <c r="H21" s="10"/>
    </row>
    <row r="22">
      <c r="A22" s="22"/>
      <c r="B22" s="22"/>
      <c r="C22" s="27" t="s">
        <v>16</v>
      </c>
      <c r="D22" s="27">
        <v>154.0</v>
      </c>
      <c r="E22" s="28" t="s">
        <v>17</v>
      </c>
      <c r="F22" s="27">
        <f>F10</f>
        <v>0.2</v>
      </c>
      <c r="G22" s="22"/>
      <c r="H22" s="29"/>
    </row>
    <row r="24">
      <c r="A24" s="1" t="s">
        <v>29</v>
      </c>
    </row>
    <row r="25">
      <c r="A25" s="3" t="s">
        <v>2</v>
      </c>
      <c r="B25" s="4"/>
      <c r="C25" s="4"/>
      <c r="D25" s="4"/>
      <c r="E25" s="5" t="s">
        <v>45</v>
      </c>
      <c r="F25" s="6"/>
      <c r="G25" s="6"/>
      <c r="H25" s="7"/>
      <c r="L25" s="37" t="s">
        <v>1</v>
      </c>
      <c r="M25" s="38"/>
    </row>
    <row r="26">
      <c r="A26" s="9"/>
      <c r="H26" s="10"/>
      <c r="L26" s="8" t="s">
        <v>36</v>
      </c>
      <c r="M26" s="8" t="s">
        <v>37</v>
      </c>
    </row>
    <row r="27">
      <c r="B27" s="8" t="s">
        <v>5</v>
      </c>
      <c r="C27" s="8" t="s">
        <v>30</v>
      </c>
      <c r="D27" s="1" t="s">
        <v>41</v>
      </c>
      <c r="E27" s="1" t="s">
        <v>32</v>
      </c>
      <c r="F27" s="1" t="s">
        <v>8</v>
      </c>
      <c r="G27" s="1" t="s">
        <v>9</v>
      </c>
      <c r="H27" s="14" t="s">
        <v>1</v>
      </c>
      <c r="L27" s="20">
        <f>SUM(H29:H43)/6</f>
        <v>193286555863</v>
      </c>
      <c r="M27" s="20">
        <f>_xlfn.STDEV.S(H29:H43)</f>
        <v>8615772605</v>
      </c>
    </row>
    <row r="28">
      <c r="B28" s="8" t="s">
        <v>10</v>
      </c>
      <c r="D28" s="16"/>
      <c r="F28" s="8"/>
      <c r="H28" s="10"/>
    </row>
    <row r="29">
      <c r="B29" s="8" t="s">
        <v>11</v>
      </c>
      <c r="C29" s="8">
        <v>6.0</v>
      </c>
      <c r="D29" s="16">
        <f t="shared" ref="D29:D31" si="14">C29/200</f>
        <v>0.03</v>
      </c>
      <c r="E29" s="8">
        <v>1.725</v>
      </c>
      <c r="F29" s="8">
        <v>130.0</v>
      </c>
      <c r="G29" s="18">
        <f t="shared" ref="G29:G31" si="15">Divide(0.716*D$9*D$10*E29,F$10)</f>
        <v>0.001195095775</v>
      </c>
      <c r="H29" s="19">
        <f t="shared" ref="H29:H31" si="16">2*F29/(D29*G29)^2</f>
        <v>202267178657</v>
      </c>
      <c r="I29" s="18">
        <f t="shared" ref="I29:I31" si="17">SQRT(2*F29/$L$4)</f>
        <v>0.00003844819678</v>
      </c>
      <c r="J29" s="20">
        <f t="shared" ref="J29:J31" si="18">L$30-G29</f>
        <v>-0.00007370300683</v>
      </c>
    </row>
    <row r="30">
      <c r="B30" s="8" t="s">
        <v>12</v>
      </c>
      <c r="C30" s="8">
        <v>8.0</v>
      </c>
      <c r="D30" s="16">
        <f t="shared" si="14"/>
        <v>0.04</v>
      </c>
      <c r="E30" s="8">
        <v>1.725</v>
      </c>
      <c r="F30" s="8">
        <v>214.6</v>
      </c>
      <c r="G30" s="18">
        <f t="shared" si="15"/>
        <v>0.001195095775</v>
      </c>
      <c r="H30" s="19">
        <f t="shared" si="16"/>
        <v>187816744644</v>
      </c>
      <c r="I30" s="18">
        <f t="shared" si="17"/>
        <v>0.00004939911391</v>
      </c>
      <c r="J30" s="20">
        <f t="shared" si="18"/>
        <v>-0.00007370300683</v>
      </c>
      <c r="L30" s="18">
        <f t="array" ref="L30:M30">LINEST(I29:I31,D29:D31)</f>
        <v>0.001121392768</v>
      </c>
      <c r="M30" s="18">
        <v>4.7187435675518364E-6</v>
      </c>
    </row>
    <row r="31">
      <c r="B31" s="8" t="s">
        <v>13</v>
      </c>
      <c r="C31" s="18">
        <f>C30+2</f>
        <v>10</v>
      </c>
      <c r="D31" s="18">
        <f t="shared" si="14"/>
        <v>0.05</v>
      </c>
      <c r="E31" s="8">
        <v>1.725</v>
      </c>
      <c r="F31" s="8">
        <v>325.9</v>
      </c>
      <c r="G31" s="18">
        <f t="shared" si="15"/>
        <v>0.001195095775</v>
      </c>
      <c r="H31" s="19">
        <f t="shared" si="16"/>
        <v>182544572837</v>
      </c>
      <c r="I31" s="18">
        <f t="shared" si="17"/>
        <v>0.00006087605214</v>
      </c>
      <c r="J31" s="20">
        <f t="shared" si="18"/>
        <v>-0.00007370300683</v>
      </c>
    </row>
    <row r="32">
      <c r="B32" s="1" t="s">
        <v>14</v>
      </c>
      <c r="C32" s="8" t="s">
        <v>15</v>
      </c>
      <c r="D32" s="18">
        <f>PI()*4*10^(-7)</f>
        <v>0.000001256637061</v>
      </c>
      <c r="E32" s="16"/>
      <c r="F32" s="8"/>
      <c r="H32" s="10"/>
    </row>
    <row r="33">
      <c r="A33" s="22"/>
      <c r="B33" s="22"/>
      <c r="C33" s="27" t="s">
        <v>16</v>
      </c>
      <c r="D33" s="27">
        <v>154.0</v>
      </c>
      <c r="E33" s="28" t="s">
        <v>17</v>
      </c>
      <c r="F33" s="27">
        <f>0.2075</f>
        <v>0.2075</v>
      </c>
      <c r="G33" s="27">
        <v>1.0E-4</v>
      </c>
      <c r="H33" s="29"/>
    </row>
    <row r="37">
      <c r="A37" s="11" t="s">
        <v>39</v>
      </c>
      <c r="B37" s="11"/>
      <c r="C37" s="11"/>
      <c r="D37" s="11"/>
      <c r="E37" s="5" t="s">
        <v>46</v>
      </c>
      <c r="F37" s="6"/>
      <c r="G37" s="6"/>
      <c r="H37" s="7"/>
    </row>
    <row r="38">
      <c r="A38" s="9"/>
      <c r="H38" s="10"/>
    </row>
    <row r="39">
      <c r="B39" s="8" t="s">
        <v>5</v>
      </c>
      <c r="C39" s="8" t="s">
        <v>30</v>
      </c>
      <c r="D39" s="1" t="s">
        <v>21</v>
      </c>
      <c r="E39" s="1" t="s">
        <v>32</v>
      </c>
      <c r="F39" s="1" t="s">
        <v>8</v>
      </c>
      <c r="G39" s="1" t="s">
        <v>9</v>
      </c>
      <c r="H39" s="14" t="s">
        <v>1</v>
      </c>
    </row>
    <row r="40">
      <c r="B40" s="8" t="s">
        <v>10</v>
      </c>
      <c r="D40" s="16"/>
      <c r="F40" s="8"/>
      <c r="H40" s="10"/>
    </row>
    <row r="41">
      <c r="B41" s="8" t="s">
        <v>11</v>
      </c>
      <c r="C41" s="8">
        <v>6.0</v>
      </c>
      <c r="D41" s="16">
        <f t="shared" ref="D41:D43" si="19">C41/200</f>
        <v>0.03</v>
      </c>
      <c r="E41" s="8">
        <v>2.088</v>
      </c>
      <c r="F41" s="8">
        <v>176.2</v>
      </c>
      <c r="G41" s="18">
        <f t="shared" ref="G41:G43" si="20">Divide(0.716*D$21*D$22*E41,F$22)</f>
        <v>0.001446585494</v>
      </c>
      <c r="H41" s="19">
        <f t="shared" ref="H41:H43" si="21">2*F41/(D41*G41)^2</f>
        <v>187113524219</v>
      </c>
      <c r="I41" s="18">
        <f t="shared" ref="I41:I43" si="22">SQRT(2*F41/D41^2/$L$4)</f>
        <v>0.001492059003</v>
      </c>
    </row>
    <row r="42">
      <c r="B42" s="8" t="s">
        <v>12</v>
      </c>
      <c r="C42" s="8">
        <v>8.0</v>
      </c>
      <c r="D42" s="16">
        <f t="shared" si="19"/>
        <v>0.04</v>
      </c>
      <c r="E42" s="8">
        <v>1.526</v>
      </c>
      <c r="F42" s="8">
        <v>176.2</v>
      </c>
      <c r="G42" s="18">
        <f t="shared" si="20"/>
        <v>0.001057226755</v>
      </c>
      <c r="H42" s="19">
        <f t="shared" si="21"/>
        <v>197051446315</v>
      </c>
      <c r="I42" s="18">
        <f t="shared" si="22"/>
        <v>0.001119044252</v>
      </c>
    </row>
    <row r="43">
      <c r="B43" s="8" t="s">
        <v>13</v>
      </c>
      <c r="C43" s="18">
        <f>C42+2</f>
        <v>10</v>
      </c>
      <c r="D43" s="16">
        <f t="shared" si="19"/>
        <v>0.05</v>
      </c>
      <c r="E43" s="8">
        <v>1.203</v>
      </c>
      <c r="F43" s="8">
        <v>176.2</v>
      </c>
      <c r="G43" s="18">
        <f t="shared" si="20"/>
        <v>0.0008334494011</v>
      </c>
      <c r="H43" s="19">
        <f t="shared" si="21"/>
        <v>202925868504</v>
      </c>
      <c r="I43" s="18">
        <f t="shared" si="22"/>
        <v>0.0008952354016</v>
      </c>
    </row>
    <row r="44">
      <c r="B44" s="1" t="s">
        <v>14</v>
      </c>
      <c r="C44" s="8" t="s">
        <v>15</v>
      </c>
      <c r="D44" s="18">
        <f>PI()*4*10^(-7)</f>
        <v>0.000001256637061</v>
      </c>
      <c r="E44" s="16"/>
      <c r="F44" s="8"/>
      <c r="H44" s="10"/>
    </row>
    <row r="45">
      <c r="A45" s="22"/>
      <c r="B45" s="22"/>
      <c r="C45" s="27" t="s">
        <v>16</v>
      </c>
      <c r="D45" s="27">
        <v>154.0</v>
      </c>
      <c r="E45" s="28" t="s">
        <v>17</v>
      </c>
      <c r="F45" s="27">
        <f>F33</f>
        <v>0.2075</v>
      </c>
      <c r="G45" s="22"/>
      <c r="H45" s="29"/>
    </row>
    <row r="47">
      <c r="A47" s="11" t="s">
        <v>39</v>
      </c>
      <c r="B47" s="11"/>
      <c r="C47" s="11"/>
      <c r="D47" s="11"/>
      <c r="E47" s="5" t="s">
        <v>47</v>
      </c>
      <c r="F47" s="6"/>
      <c r="G47" s="6"/>
      <c r="H47" s="7"/>
    </row>
    <row r="48">
      <c r="A48" s="9"/>
      <c r="H48" s="10"/>
    </row>
    <row r="49">
      <c r="B49" s="8" t="s">
        <v>5</v>
      </c>
      <c r="C49" s="8" t="s">
        <v>30</v>
      </c>
      <c r="D49" s="1" t="s">
        <v>21</v>
      </c>
      <c r="E49" s="1" t="s">
        <v>32</v>
      </c>
      <c r="F49" s="1" t="s">
        <v>8</v>
      </c>
      <c r="G49" s="1" t="s">
        <v>9</v>
      </c>
      <c r="H49" s="14" t="s">
        <v>1</v>
      </c>
    </row>
    <row r="50">
      <c r="B50" s="8" t="s">
        <v>10</v>
      </c>
      <c r="D50" s="16"/>
      <c r="F50" s="8"/>
      <c r="H50" s="10"/>
      <c r="L50" s="20">
        <f>MEDIAN(K51:K53)</f>
        <v>-0.00002771236579</v>
      </c>
      <c r="M50" s="20">
        <f>_xlfn.STDEV.S(K51:K53)</f>
        <v>0.000005199916101</v>
      </c>
    </row>
    <row r="51">
      <c r="B51" s="8" t="s">
        <v>11</v>
      </c>
      <c r="C51" s="8">
        <v>6.0</v>
      </c>
      <c r="D51" s="16">
        <f t="shared" ref="D51:D53" si="23">C51/200</f>
        <v>0.03</v>
      </c>
      <c r="E51" s="8">
        <v>1.673</v>
      </c>
      <c r="F51" s="8">
        <v>131.7</v>
      </c>
      <c r="G51" s="18">
        <f t="shared" ref="G51:G53" si="24">Divide(0.716*D$21*D$22*E51,F$22)</f>
        <v>0.001159069699</v>
      </c>
      <c r="H51" s="19">
        <f t="shared" ref="H51:H53" si="25">2*F51/(D51*G51)^2</f>
        <v>217848290484</v>
      </c>
      <c r="K51" s="20">
        <f>(-G61+G51)/2</f>
        <v>-0.00002286270178</v>
      </c>
    </row>
    <row r="52">
      <c r="B52" s="8" t="s">
        <v>12</v>
      </c>
      <c r="C52" s="8">
        <v>8.0</v>
      </c>
      <c r="D52" s="16">
        <f t="shared" si="23"/>
        <v>0.04</v>
      </c>
      <c r="E52" s="8">
        <v>1.245</v>
      </c>
      <c r="F52" s="8">
        <v>132.2</v>
      </c>
      <c r="G52" s="18">
        <f t="shared" si="24"/>
        <v>0.0008625473852</v>
      </c>
      <c r="H52" s="19">
        <f t="shared" si="25"/>
        <v>222113800026</v>
      </c>
      <c r="K52" s="20">
        <f t="shared" ref="K52:K53" si="26">-G62+G52</f>
        <v>-0.00002771236579</v>
      </c>
    </row>
    <row r="53">
      <c r="B53" s="8" t="s">
        <v>13</v>
      </c>
      <c r="C53" s="18">
        <f>C52+2</f>
        <v>10</v>
      </c>
      <c r="D53" s="16">
        <f t="shared" si="23"/>
        <v>0.05</v>
      </c>
      <c r="E53" s="8">
        <v>1.014</v>
      </c>
      <c r="F53" s="8">
        <v>132.2</v>
      </c>
      <c r="G53" s="18">
        <f t="shared" si="24"/>
        <v>0.0007025084727</v>
      </c>
      <c r="H53" s="19">
        <f t="shared" si="25"/>
        <v>214298094377</v>
      </c>
      <c r="K53" s="20">
        <f t="shared" si="26"/>
        <v>-0.00003325483895</v>
      </c>
    </row>
    <row r="54">
      <c r="B54" s="1" t="s">
        <v>14</v>
      </c>
      <c r="C54" s="8" t="s">
        <v>15</v>
      </c>
      <c r="D54" s="18">
        <f>PI()*4*10^(-7)</f>
        <v>0.000001256637061</v>
      </c>
      <c r="E54" s="16"/>
      <c r="F54" s="8"/>
      <c r="H54" s="10"/>
    </row>
    <row r="55">
      <c r="A55" s="22"/>
      <c r="B55" s="22"/>
      <c r="C55" s="27" t="s">
        <v>16</v>
      </c>
      <c r="D55" s="27">
        <v>154.0</v>
      </c>
      <c r="E55" s="28" t="s">
        <v>17</v>
      </c>
      <c r="F55" s="27">
        <f>0.2</f>
        <v>0.2</v>
      </c>
      <c r="G55" s="22"/>
      <c r="H55" s="29"/>
    </row>
    <row r="57">
      <c r="A57" s="11" t="s">
        <v>39</v>
      </c>
      <c r="B57" s="11"/>
      <c r="C57" s="11"/>
      <c r="D57" s="11"/>
      <c r="E57" s="5" t="s">
        <v>40</v>
      </c>
      <c r="F57" s="6"/>
      <c r="G57" s="6"/>
      <c r="H57" s="7"/>
    </row>
    <row r="58">
      <c r="A58" s="9"/>
      <c r="H58" s="10"/>
    </row>
    <row r="59">
      <c r="B59" s="8" t="s">
        <v>5</v>
      </c>
      <c r="C59" s="8" t="s">
        <v>30</v>
      </c>
      <c r="D59" s="1" t="s">
        <v>41</v>
      </c>
      <c r="E59" s="1" t="s">
        <v>32</v>
      </c>
      <c r="F59" s="1" t="s">
        <v>8</v>
      </c>
      <c r="G59" s="1" t="s">
        <v>9</v>
      </c>
      <c r="H59" s="14" t="s">
        <v>1</v>
      </c>
    </row>
    <row r="60">
      <c r="B60" s="8" t="s">
        <v>10</v>
      </c>
      <c r="D60" s="16"/>
      <c r="F60" s="8"/>
      <c r="H60" s="10"/>
    </row>
    <row r="61">
      <c r="B61" s="8" t="s">
        <v>11</v>
      </c>
      <c r="C61" s="8">
        <v>6.0</v>
      </c>
      <c r="D61" s="16">
        <f t="shared" ref="D61:D63" si="27">C61/200</f>
        <v>0.03</v>
      </c>
      <c r="E61" s="8">
        <v>1.739</v>
      </c>
      <c r="F61" s="8">
        <v>131.5</v>
      </c>
      <c r="G61" s="18">
        <f t="shared" ref="G61:G63" si="28">Divide(0.716*D$21*D$22*E61,F$22)</f>
        <v>0.001204795103</v>
      </c>
      <c r="H61" s="19">
        <f t="shared" ref="H61:H63" si="29">2*F61/(D61*G61)^2</f>
        <v>201319967697</v>
      </c>
    </row>
    <row r="62">
      <c r="B62" s="8" t="s">
        <v>12</v>
      </c>
      <c r="C62" s="8">
        <v>8.0</v>
      </c>
      <c r="D62" s="16">
        <f t="shared" si="27"/>
        <v>0.04</v>
      </c>
      <c r="E62" s="8">
        <v>1.285</v>
      </c>
      <c r="F62" s="8">
        <v>131.4</v>
      </c>
      <c r="G62" s="18">
        <f t="shared" si="28"/>
        <v>0.000890259751</v>
      </c>
      <c r="H62" s="19">
        <f t="shared" si="29"/>
        <v>207239196550</v>
      </c>
    </row>
    <row r="63">
      <c r="B63" s="8" t="s">
        <v>13</v>
      </c>
      <c r="C63" s="8">
        <v>10.0</v>
      </c>
      <c r="D63" s="16">
        <f t="shared" si="27"/>
        <v>0.05</v>
      </c>
      <c r="E63" s="8">
        <v>1.062</v>
      </c>
      <c r="F63" s="8">
        <v>131.4</v>
      </c>
      <c r="G63" s="18">
        <f t="shared" si="28"/>
        <v>0.0007357633117</v>
      </c>
      <c r="H63" s="19">
        <f t="shared" si="29"/>
        <v>194182056283</v>
      </c>
    </row>
    <row r="64">
      <c r="B64" s="1" t="s">
        <v>14</v>
      </c>
      <c r="C64" s="8" t="s">
        <v>15</v>
      </c>
      <c r="D64" s="18">
        <f>PI()*4*10^(-7)</f>
        <v>0.000001256637061</v>
      </c>
      <c r="E64" s="16"/>
      <c r="F64" s="8"/>
      <c r="H64" s="10"/>
    </row>
    <row r="65">
      <c r="A65" s="22"/>
      <c r="B65" s="22"/>
      <c r="C65" s="27" t="s">
        <v>16</v>
      </c>
      <c r="D65" s="27">
        <v>154.0</v>
      </c>
      <c r="E65" s="28" t="s">
        <v>17</v>
      </c>
      <c r="F65" s="27">
        <f>F53</f>
        <v>132.2</v>
      </c>
      <c r="G65" s="22"/>
      <c r="H65" s="29"/>
    </row>
    <row r="66">
      <c r="D66" s="16"/>
    </row>
  </sheetData>
  <mergeCells count="4">
    <mergeCell ref="A1:B1"/>
    <mergeCell ref="A2:D2"/>
    <mergeCell ref="A24:B24"/>
    <mergeCell ref="A25:D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A2" s="3" t="s">
        <v>2</v>
      </c>
      <c r="B2" s="4"/>
      <c r="C2" s="4"/>
      <c r="D2" s="4"/>
      <c r="E2" s="5" t="s">
        <v>49</v>
      </c>
      <c r="F2" s="6"/>
      <c r="G2" s="6"/>
      <c r="H2" s="7"/>
    </row>
    <row r="3">
      <c r="A3" s="9"/>
      <c r="H3" s="10"/>
      <c r="K3" s="37" t="s">
        <v>1</v>
      </c>
      <c r="L3" s="38"/>
    </row>
    <row r="4">
      <c r="B4" s="8" t="s">
        <v>5</v>
      </c>
      <c r="C4" s="8" t="s">
        <v>30</v>
      </c>
      <c r="D4" s="1" t="s">
        <v>21</v>
      </c>
      <c r="E4" s="1" t="s">
        <v>32</v>
      </c>
      <c r="F4" s="1" t="s">
        <v>8</v>
      </c>
      <c r="G4" s="1" t="s">
        <v>9</v>
      </c>
      <c r="H4" s="14" t="s">
        <v>1</v>
      </c>
      <c r="I4" s="1" t="s">
        <v>50</v>
      </c>
      <c r="J4" s="8" t="s">
        <v>51</v>
      </c>
      <c r="K4" s="8" t="s">
        <v>36</v>
      </c>
      <c r="L4" s="8" t="s">
        <v>37</v>
      </c>
    </row>
    <row r="5">
      <c r="B5" s="8" t="s">
        <v>10</v>
      </c>
      <c r="C5" s="8">
        <v>4.0</v>
      </c>
      <c r="D5" s="16">
        <f t="shared" ref="D5:D8" si="1">C5/200</f>
        <v>0.02</v>
      </c>
      <c r="F5" s="8"/>
      <c r="H5" s="10"/>
      <c r="K5" s="20">
        <f>SUM(H6:H20)/6</f>
        <v>196017961544</v>
      </c>
      <c r="L5" s="20">
        <f>_xlfn.STDEV.S(H6:H20)</f>
        <v>9056938205</v>
      </c>
    </row>
    <row r="6">
      <c r="B6" s="8" t="s">
        <v>11</v>
      </c>
      <c r="C6" s="8">
        <v>6.0</v>
      </c>
      <c r="D6" s="16">
        <f t="shared" si="1"/>
        <v>0.03</v>
      </c>
      <c r="E6" s="8">
        <v>1.73</v>
      </c>
      <c r="F6" s="8">
        <v>127.1</v>
      </c>
      <c r="G6" s="18">
        <f t="shared" ref="G6:G8" si="2">Divide(0.716*D$9*D$10*E6,F$10)</f>
        <v>0.001155238381</v>
      </c>
      <c r="H6" s="19">
        <f t="shared" ref="H6:H8" si="3">2*F6/(D6*G6)^2</f>
        <v>211636133365</v>
      </c>
      <c r="I6" s="18">
        <f t="shared" ref="I6:I8" si="4">2*F6/G6^2</f>
        <v>190472520</v>
      </c>
      <c r="J6" s="18">
        <f t="shared" ref="J6:J8" si="5">D6^2</f>
        <v>0.0009</v>
      </c>
    </row>
    <row r="7">
      <c r="B7" s="8" t="s">
        <v>12</v>
      </c>
      <c r="C7" s="18">
        <f t="shared" ref="C7:C8" si="6">C6+2</f>
        <v>8</v>
      </c>
      <c r="D7" s="16">
        <f t="shared" si="1"/>
        <v>0.04</v>
      </c>
      <c r="E7" s="8">
        <v>1.729</v>
      </c>
      <c r="F7" s="8">
        <v>212.1</v>
      </c>
      <c r="G7" s="18">
        <f t="shared" si="2"/>
        <v>0.001154570613</v>
      </c>
      <c r="H7" s="19">
        <f t="shared" si="3"/>
        <v>198888504753</v>
      </c>
      <c r="I7" s="18">
        <f t="shared" si="4"/>
        <v>318221607.6</v>
      </c>
      <c r="J7" s="18">
        <f t="shared" si="5"/>
        <v>0.0016</v>
      </c>
    </row>
    <row r="8">
      <c r="B8" s="8" t="s">
        <v>13</v>
      </c>
      <c r="C8" s="18">
        <f t="shared" si="6"/>
        <v>10</v>
      </c>
      <c r="D8" s="18">
        <f t="shared" si="1"/>
        <v>0.05</v>
      </c>
      <c r="E8" s="8">
        <v>1.728</v>
      </c>
      <c r="F8" s="8">
        <v>325.8</v>
      </c>
      <c r="G8" s="18">
        <f t="shared" si="2"/>
        <v>0.001153902845</v>
      </c>
      <c r="H8" s="19">
        <f t="shared" si="3"/>
        <v>195750364061</v>
      </c>
      <c r="I8" s="18">
        <f t="shared" si="4"/>
        <v>489375910.2</v>
      </c>
      <c r="J8" s="18">
        <f t="shared" si="5"/>
        <v>0.0025</v>
      </c>
    </row>
    <row r="9">
      <c r="B9" s="1" t="s">
        <v>14</v>
      </c>
      <c r="C9" s="8" t="s">
        <v>15</v>
      </c>
      <c r="D9" s="18">
        <f>PI()*4*10^(-7)</f>
        <v>0.000001256637061</v>
      </c>
      <c r="E9" s="16"/>
      <c r="F9" s="8"/>
      <c r="H9" s="10"/>
    </row>
    <row r="10">
      <c r="A10" s="22"/>
      <c r="B10" s="22"/>
      <c r="C10" s="27" t="s">
        <v>16</v>
      </c>
      <c r="D10" s="27">
        <v>154.0</v>
      </c>
      <c r="E10" s="28" t="s">
        <v>17</v>
      </c>
      <c r="F10" s="27">
        <f>0.2075</f>
        <v>0.2075</v>
      </c>
      <c r="G10" s="22"/>
      <c r="H10" s="29"/>
    </row>
    <row r="14">
      <c r="A14" s="11" t="s">
        <v>39</v>
      </c>
      <c r="B14" s="11"/>
      <c r="C14" s="11"/>
      <c r="D14" s="11"/>
      <c r="E14" s="5" t="s">
        <v>49</v>
      </c>
      <c r="F14" s="6"/>
      <c r="G14" s="6"/>
      <c r="H14" s="7"/>
    </row>
    <row r="15">
      <c r="A15" s="9"/>
      <c r="H15" s="10"/>
    </row>
    <row r="16">
      <c r="B16" s="8" t="s">
        <v>5</v>
      </c>
      <c r="C16" s="8" t="s">
        <v>30</v>
      </c>
      <c r="D16" s="1" t="s">
        <v>21</v>
      </c>
      <c r="E16" s="1" t="s">
        <v>32</v>
      </c>
      <c r="F16" s="1" t="s">
        <v>8</v>
      </c>
      <c r="G16" s="1" t="s">
        <v>9</v>
      </c>
      <c r="H16" s="14" t="s">
        <v>1</v>
      </c>
      <c r="I16" s="1" t="s">
        <v>50</v>
      </c>
      <c r="J16" s="8" t="s">
        <v>51</v>
      </c>
    </row>
    <row r="17">
      <c r="B17" s="8" t="s">
        <v>10</v>
      </c>
      <c r="C17" s="18">
        <f>4</f>
        <v>4</v>
      </c>
      <c r="D17" s="16">
        <f>C17/2</f>
        <v>2</v>
      </c>
      <c r="F17" s="8"/>
      <c r="H17" s="10"/>
    </row>
    <row r="18">
      <c r="B18" s="8" t="s">
        <v>11</v>
      </c>
      <c r="C18" s="18">
        <f>6</f>
        <v>6</v>
      </c>
      <c r="D18" s="16">
        <f t="shared" ref="D18:D20" si="7">C18/200</f>
        <v>0.03</v>
      </c>
      <c r="E18" s="8">
        <v>2.048</v>
      </c>
      <c r="F18" s="8">
        <v>167.0</v>
      </c>
      <c r="G18" s="18">
        <f t="shared" ref="G18:G20" si="8">Divide(0.716*D$21*D$22*E18,F$22)</f>
        <v>0.001418873128</v>
      </c>
      <c r="H18" s="19">
        <f t="shared" ref="H18:H20" si="9">2*F18/(D18*G18)^2</f>
        <v>184338831302</v>
      </c>
      <c r="I18" s="18">
        <f t="shared" ref="I18:I20" si="10">1/D18</f>
        <v>33.33333333</v>
      </c>
      <c r="J18" s="18">
        <f t="shared" ref="J18:J20" si="11">G18/SQRT(2*F18)</f>
        <v>0.00007763728336</v>
      </c>
    </row>
    <row r="19">
      <c r="B19" s="8" t="s">
        <v>12</v>
      </c>
      <c r="C19" s="18">
        <f t="shared" ref="C19:C20" si="12">C18+2</f>
        <v>8</v>
      </c>
      <c r="D19" s="16">
        <f t="shared" si="7"/>
        <v>0.04</v>
      </c>
      <c r="E19" s="8">
        <v>1.503</v>
      </c>
      <c r="F19" s="8">
        <v>167.0</v>
      </c>
      <c r="G19" s="18">
        <f t="shared" si="8"/>
        <v>0.001041292145</v>
      </c>
      <c r="H19" s="19">
        <f t="shared" si="9"/>
        <v>192522414623</v>
      </c>
      <c r="I19" s="18">
        <f t="shared" si="10"/>
        <v>25</v>
      </c>
      <c r="J19" s="18">
        <f t="shared" si="11"/>
        <v>0.00005697697114</v>
      </c>
    </row>
    <row r="20">
      <c r="B20" s="8" t="s">
        <v>13</v>
      </c>
      <c r="C20" s="18">
        <f t="shared" si="12"/>
        <v>10</v>
      </c>
      <c r="D20" s="16">
        <f t="shared" si="7"/>
        <v>0.05</v>
      </c>
      <c r="E20" s="8">
        <v>1.201</v>
      </c>
      <c r="F20" s="8">
        <v>167.0</v>
      </c>
      <c r="G20" s="18">
        <f t="shared" si="8"/>
        <v>0.0008320637828</v>
      </c>
      <c r="H20" s="19">
        <f t="shared" si="9"/>
        <v>192971521161</v>
      </c>
      <c r="I20" s="18">
        <f t="shared" si="10"/>
        <v>20</v>
      </c>
      <c r="J20" s="18">
        <f t="shared" si="11"/>
        <v>0.00004552850455</v>
      </c>
    </row>
    <row r="21">
      <c r="B21" s="1" t="s">
        <v>14</v>
      </c>
      <c r="C21" s="8" t="s">
        <v>15</v>
      </c>
      <c r="D21" s="18">
        <f>PI()*4*10^(-7)</f>
        <v>0.000001256637061</v>
      </c>
      <c r="E21" s="16"/>
      <c r="F21" s="8"/>
      <c r="H21" s="10"/>
    </row>
    <row r="22">
      <c r="A22" s="22"/>
      <c r="B22" s="22"/>
      <c r="C22" s="27" t="s">
        <v>16</v>
      </c>
      <c r="D22" s="27">
        <v>154.0</v>
      </c>
      <c r="E22" s="28" t="s">
        <v>17</v>
      </c>
      <c r="F22" s="27">
        <v>0.2</v>
      </c>
      <c r="G22" s="22"/>
      <c r="H22" s="29"/>
      <c r="J22" s="2">
        <f>1/(2.42*10^-6)^2</f>
        <v>170753363841</v>
      </c>
    </row>
    <row r="26">
      <c r="E26" s="8">
        <v>1.201</v>
      </c>
    </row>
    <row r="27">
      <c r="E27" s="8">
        <v>1.503</v>
      </c>
    </row>
    <row r="28">
      <c r="E28" s="8">
        <v>2.048</v>
      </c>
    </row>
  </sheetData>
  <mergeCells count="2">
    <mergeCell ref="A1:B1"/>
    <mergeCell ref="A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A2" s="3" t="s">
        <v>2</v>
      </c>
      <c r="B2" s="4"/>
      <c r="C2" s="4"/>
      <c r="D2" s="4"/>
      <c r="E2" s="5" t="s">
        <v>49</v>
      </c>
      <c r="F2" s="6"/>
      <c r="G2" s="6"/>
      <c r="H2" s="7"/>
    </row>
    <row r="3">
      <c r="A3" s="9"/>
      <c r="H3" s="10"/>
      <c r="N3" s="37" t="s">
        <v>1</v>
      </c>
      <c r="O3" s="38"/>
    </row>
    <row r="4">
      <c r="B4" s="8" t="s">
        <v>5</v>
      </c>
      <c r="C4" s="8" t="s">
        <v>30</v>
      </c>
      <c r="D4" s="1" t="s">
        <v>21</v>
      </c>
      <c r="E4" s="1" t="s">
        <v>32</v>
      </c>
      <c r="F4" s="1" t="s">
        <v>8</v>
      </c>
      <c r="G4" s="1" t="s">
        <v>9</v>
      </c>
      <c r="H4" s="14" t="s">
        <v>1</v>
      </c>
      <c r="I4" s="8" t="s">
        <v>51</v>
      </c>
      <c r="J4" s="1" t="s">
        <v>50</v>
      </c>
      <c r="N4" s="8" t="s">
        <v>36</v>
      </c>
      <c r="O4" s="8" t="s">
        <v>37</v>
      </c>
    </row>
    <row r="5">
      <c r="B5" s="8" t="s">
        <v>10</v>
      </c>
      <c r="C5" s="8">
        <v>6.0</v>
      </c>
      <c r="D5" s="16">
        <f t="shared" ref="D5:D8" si="1">C5/200</f>
        <v>0.03</v>
      </c>
      <c r="F5" s="8"/>
      <c r="H5" s="10"/>
      <c r="N5" s="20">
        <f>SUM(H6:H20)/6</f>
        <v>190241658489</v>
      </c>
      <c r="O5" s="20">
        <f>_xlfn.STDEV.S(H6:H20)</f>
        <v>5937205131</v>
      </c>
    </row>
    <row r="6">
      <c r="B6" s="8" t="s">
        <v>11</v>
      </c>
      <c r="C6" s="8">
        <v>6.0</v>
      </c>
      <c r="D6" s="16">
        <f t="shared" si="1"/>
        <v>0.03</v>
      </c>
      <c r="E6" s="8">
        <v>1.712</v>
      </c>
      <c r="F6" s="8">
        <v>124.7</v>
      </c>
      <c r="G6" s="18">
        <f t="shared" ref="G6:G8" si="2">Divide(0.716*D$9*D$10*E6,F$10)</f>
        <v>0.001186089256</v>
      </c>
      <c r="H6" s="19">
        <f t="shared" ref="H6:H8" si="3">2*F6/(D6*G6)^2</f>
        <v>196978667845</v>
      </c>
      <c r="I6" s="18">
        <f t="shared" ref="I6:I8" si="4">D6^2</f>
        <v>0.0009</v>
      </c>
      <c r="J6" s="18">
        <f t="shared" ref="J6:J8" si="5">2*F6/G6^2</f>
        <v>177280801.1</v>
      </c>
    </row>
    <row r="7">
      <c r="B7" s="8" t="s">
        <v>12</v>
      </c>
      <c r="C7" s="8">
        <v>8.0</v>
      </c>
      <c r="D7" s="16">
        <f t="shared" si="1"/>
        <v>0.04</v>
      </c>
      <c r="E7" s="8">
        <v>1.717</v>
      </c>
      <c r="F7" s="8">
        <v>210.5</v>
      </c>
      <c r="G7" s="18">
        <f t="shared" si="2"/>
        <v>0.001189553301</v>
      </c>
      <c r="H7" s="19">
        <f t="shared" si="3"/>
        <v>185949193833</v>
      </c>
      <c r="I7" s="18">
        <f t="shared" si="4"/>
        <v>0.0016</v>
      </c>
      <c r="J7" s="18">
        <f t="shared" si="5"/>
        <v>297518710.1</v>
      </c>
    </row>
    <row r="8">
      <c r="B8" s="8" t="s">
        <v>13</v>
      </c>
      <c r="C8" s="18">
        <f>C7+2</f>
        <v>10</v>
      </c>
      <c r="D8" s="18">
        <f t="shared" si="1"/>
        <v>0.05</v>
      </c>
      <c r="E8" s="8">
        <v>1.72</v>
      </c>
      <c r="F8" s="8">
        <v>326.8</v>
      </c>
      <c r="G8" s="18">
        <f t="shared" si="2"/>
        <v>0.001191631729</v>
      </c>
      <c r="H8" s="19">
        <f t="shared" si="3"/>
        <v>184114468277</v>
      </c>
      <c r="I8" s="18">
        <f t="shared" si="4"/>
        <v>0.0025</v>
      </c>
      <c r="J8" s="18">
        <f t="shared" si="5"/>
        <v>460286170.7</v>
      </c>
    </row>
    <row r="9">
      <c r="B9" s="1" t="s">
        <v>14</v>
      </c>
      <c r="C9" s="8" t="s">
        <v>15</v>
      </c>
      <c r="D9" s="18">
        <f>PI()*4*10^(-7)</f>
        <v>0.000001256637061</v>
      </c>
      <c r="E9" s="16"/>
      <c r="F9" s="8"/>
      <c r="H9" s="10"/>
    </row>
    <row r="10">
      <c r="A10" s="22"/>
      <c r="B10" s="22"/>
      <c r="C10" s="27" t="s">
        <v>16</v>
      </c>
      <c r="D10" s="27">
        <v>154.0</v>
      </c>
      <c r="E10" s="28" t="s">
        <v>17</v>
      </c>
      <c r="F10" s="27">
        <v>0.2</v>
      </c>
      <c r="G10" s="22"/>
      <c r="H10" s="29"/>
    </row>
    <row r="14">
      <c r="A14" s="11" t="s">
        <v>39</v>
      </c>
      <c r="B14" s="11"/>
      <c r="C14" s="11"/>
      <c r="D14" s="11"/>
      <c r="E14" s="5" t="s">
        <v>49</v>
      </c>
      <c r="F14" s="6"/>
      <c r="G14" s="6"/>
      <c r="H14" s="7"/>
    </row>
    <row r="15">
      <c r="A15" s="9"/>
      <c r="H15" s="10"/>
    </row>
    <row r="16">
      <c r="B16" s="8" t="s">
        <v>5</v>
      </c>
      <c r="C16" s="8" t="s">
        <v>30</v>
      </c>
      <c r="D16" s="1" t="s">
        <v>21</v>
      </c>
      <c r="E16" s="1" t="s">
        <v>32</v>
      </c>
      <c r="F16" s="1" t="s">
        <v>8</v>
      </c>
      <c r="G16" s="1" t="s">
        <v>9</v>
      </c>
      <c r="H16" s="14" t="s">
        <v>1</v>
      </c>
      <c r="I16" s="8" t="s">
        <v>51</v>
      </c>
      <c r="J16" s="1" t="s">
        <v>50</v>
      </c>
    </row>
    <row r="17">
      <c r="B17" s="8" t="s">
        <v>10</v>
      </c>
      <c r="C17" s="18">
        <f>4</f>
        <v>4</v>
      </c>
      <c r="D17" s="16">
        <f>C17/2</f>
        <v>2</v>
      </c>
      <c r="F17" s="8"/>
      <c r="H17" s="10"/>
    </row>
    <row r="18">
      <c r="B18" s="8" t="s">
        <v>11</v>
      </c>
      <c r="C18" s="8">
        <v>6.0</v>
      </c>
      <c r="D18" s="16">
        <f t="shared" ref="D18:D20" si="6">C18/200</f>
        <v>0.03</v>
      </c>
      <c r="E18" s="8">
        <v>2.081</v>
      </c>
      <c r="F18" s="8">
        <v>173.8</v>
      </c>
      <c r="G18" s="18">
        <f t="shared" ref="G18:G20" si="7">Divide(0.716*D$21*D$22*E18,F$22)</f>
        <v>0.00144173583</v>
      </c>
      <c r="H18" s="19">
        <f t="shared" ref="H18:H20" si="8">2*F18/(D18*G18)^2</f>
        <v>185808627304</v>
      </c>
      <c r="I18" s="18">
        <f t="shared" ref="I18:I20" si="9">G18^2</f>
        <v>0.000002078602204</v>
      </c>
      <c r="J18" s="8">
        <f t="shared" ref="J18:J20" si="10">2*F18/D18^2</f>
        <v>386222.2222</v>
      </c>
    </row>
    <row r="19">
      <c r="B19" s="8" t="s">
        <v>12</v>
      </c>
      <c r="C19" s="8">
        <v>8.0</v>
      </c>
      <c r="D19" s="16">
        <f t="shared" si="6"/>
        <v>0.04</v>
      </c>
      <c r="E19" s="8">
        <v>1.54</v>
      </c>
      <c r="F19" s="8">
        <v>173.9</v>
      </c>
      <c r="G19" s="18">
        <f t="shared" si="7"/>
        <v>0.001066926083</v>
      </c>
      <c r="H19" s="19">
        <f t="shared" si="8"/>
        <v>190959351148</v>
      </c>
      <c r="I19" s="18">
        <f t="shared" si="9"/>
        <v>0.000001138331266</v>
      </c>
      <c r="J19" s="8">
        <f t="shared" si="10"/>
        <v>217375</v>
      </c>
    </row>
    <row r="20">
      <c r="B20" s="8" t="s">
        <v>13</v>
      </c>
      <c r="C20" s="18">
        <f>C19+2</f>
        <v>10</v>
      </c>
      <c r="D20" s="16">
        <f t="shared" si="6"/>
        <v>0.05</v>
      </c>
      <c r="E20" s="8">
        <v>1.211</v>
      </c>
      <c r="F20" s="8">
        <v>173.9</v>
      </c>
      <c r="G20" s="18">
        <f t="shared" si="7"/>
        <v>0.0008389918742</v>
      </c>
      <c r="H20" s="19">
        <f t="shared" si="8"/>
        <v>197639642526</v>
      </c>
      <c r="I20" s="18">
        <f t="shared" si="9"/>
        <v>0.000000703907365</v>
      </c>
      <c r="J20" s="8">
        <f t="shared" si="10"/>
        <v>139120</v>
      </c>
    </row>
    <row r="21">
      <c r="B21" s="1" t="s">
        <v>14</v>
      </c>
      <c r="C21" s="8" t="s">
        <v>15</v>
      </c>
      <c r="D21" s="18">
        <f>PI()*4*10^(-7)</f>
        <v>0.000001256637061</v>
      </c>
      <c r="E21" s="16"/>
      <c r="F21" s="8"/>
      <c r="H21" s="10"/>
    </row>
    <row r="22">
      <c r="A22" s="22"/>
      <c r="B22" s="22"/>
      <c r="C22" s="27" t="s">
        <v>16</v>
      </c>
      <c r="D22" s="27">
        <v>154.0</v>
      </c>
      <c r="E22" s="28" t="s">
        <v>17</v>
      </c>
      <c r="F22" s="27">
        <v>0.2</v>
      </c>
      <c r="G22" s="22"/>
      <c r="H22" s="29"/>
    </row>
  </sheetData>
  <mergeCells count="2">
    <mergeCell ref="A1:B1"/>
    <mergeCell ref="A2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52</v>
      </c>
      <c r="P1" s="20"/>
    </row>
    <row r="2">
      <c r="B2" s="1" t="s">
        <v>5</v>
      </c>
      <c r="C2" s="1" t="s">
        <v>53</v>
      </c>
      <c r="D2" s="1" t="s">
        <v>31</v>
      </c>
      <c r="E2" s="1" t="s">
        <v>32</v>
      </c>
      <c r="F2" s="1" t="s">
        <v>8</v>
      </c>
      <c r="G2" s="1" t="s">
        <v>9</v>
      </c>
      <c r="H2" s="14" t="s">
        <v>1</v>
      </c>
    </row>
    <row r="3">
      <c r="B3" s="1" t="s">
        <v>54</v>
      </c>
      <c r="I3" s="1" t="s">
        <v>51</v>
      </c>
      <c r="J3" s="1" t="s">
        <v>55</v>
      </c>
    </row>
    <row r="4">
      <c r="D4" s="41"/>
      <c r="H4" s="10"/>
      <c r="L4" s="1" t="s">
        <v>14</v>
      </c>
      <c r="M4" s="8" t="s">
        <v>15</v>
      </c>
      <c r="N4" s="18">
        <f>PI()*4*10^(-7)</f>
        <v>0.000001256637061</v>
      </c>
      <c r="O4" s="16"/>
      <c r="P4" s="8"/>
    </row>
    <row r="5">
      <c r="B5" s="8" t="s">
        <v>11</v>
      </c>
      <c r="C5" s="8">
        <v>6.0</v>
      </c>
      <c r="D5" s="16">
        <f t="shared" ref="D5:D10" si="1">C5/200</f>
        <v>0.03</v>
      </c>
      <c r="E5" s="8">
        <v>1.73</v>
      </c>
      <c r="F5" s="8">
        <v>127.1</v>
      </c>
      <c r="G5" s="18">
        <f t="shared" ref="G5:G10" si="2">Divide(0.716*N$4*N$5*E5,P$5)</f>
        <v>0.00119855982</v>
      </c>
      <c r="H5" s="19">
        <f t="shared" ref="H5:H10" si="3">2*F5/(D5*G5)^2</f>
        <v>196613623681</v>
      </c>
      <c r="I5" s="18">
        <f t="shared" ref="I5:I10" si="4">D5^2</f>
        <v>0.0009</v>
      </c>
      <c r="J5" s="18">
        <f t="shared" ref="J5:J10" si="5">2*F5/G5^2</f>
        <v>176952261.3</v>
      </c>
      <c r="L5" s="22"/>
      <c r="M5" s="27" t="s">
        <v>16</v>
      </c>
      <c r="N5" s="27">
        <v>154.0</v>
      </c>
      <c r="O5" s="28" t="s">
        <v>17</v>
      </c>
      <c r="P5" s="27">
        <f>0.2</f>
        <v>0.2</v>
      </c>
    </row>
    <row r="6">
      <c r="B6" s="8" t="s">
        <v>12</v>
      </c>
      <c r="C6" s="18">
        <f t="shared" ref="C6:C7" si="6">C5+2</f>
        <v>8</v>
      </c>
      <c r="D6" s="16">
        <f t="shared" si="1"/>
        <v>0.04</v>
      </c>
      <c r="E6" s="8">
        <v>1.729</v>
      </c>
      <c r="F6" s="8">
        <v>212.1</v>
      </c>
      <c r="G6" s="18">
        <f t="shared" si="2"/>
        <v>0.001197867011</v>
      </c>
      <c r="H6" s="19">
        <f t="shared" si="3"/>
        <v>184770856499</v>
      </c>
      <c r="I6" s="18">
        <f t="shared" si="4"/>
        <v>0.0016</v>
      </c>
      <c r="J6" s="18">
        <f t="shared" si="5"/>
        <v>295633370.4</v>
      </c>
    </row>
    <row r="7">
      <c r="B7" s="8" t="s">
        <v>13</v>
      </c>
      <c r="C7" s="18">
        <f t="shared" si="6"/>
        <v>10</v>
      </c>
      <c r="D7" s="18">
        <f t="shared" si="1"/>
        <v>0.05</v>
      </c>
      <c r="E7" s="8">
        <v>1.728</v>
      </c>
      <c r="F7" s="8">
        <v>325.8</v>
      </c>
      <c r="G7" s="18">
        <f t="shared" si="2"/>
        <v>0.001197174202</v>
      </c>
      <c r="H7" s="19">
        <f t="shared" si="3"/>
        <v>181855469588</v>
      </c>
      <c r="I7" s="18">
        <f t="shared" si="4"/>
        <v>0.0025</v>
      </c>
      <c r="J7" s="42">
        <f t="shared" si="5"/>
        <v>454638674</v>
      </c>
      <c r="M7" s="1" t="s">
        <v>56</v>
      </c>
      <c r="N7" s="1" t="s">
        <v>57</v>
      </c>
    </row>
    <row r="8">
      <c r="B8" s="8" t="s">
        <v>11</v>
      </c>
      <c r="C8" s="8">
        <v>6.0</v>
      </c>
      <c r="D8" s="16">
        <f t="shared" si="1"/>
        <v>0.03</v>
      </c>
      <c r="E8" s="8">
        <v>1.712</v>
      </c>
      <c r="F8" s="8">
        <v>124.7</v>
      </c>
      <c r="G8" s="18">
        <f t="shared" si="2"/>
        <v>0.001186089256</v>
      </c>
      <c r="H8" s="19">
        <f t="shared" si="3"/>
        <v>196978667845</v>
      </c>
      <c r="I8" s="18">
        <f t="shared" si="4"/>
        <v>0.0009</v>
      </c>
      <c r="J8" s="18">
        <f t="shared" si="5"/>
        <v>177280801.1</v>
      </c>
      <c r="L8" s="43" t="s">
        <v>58</v>
      </c>
      <c r="M8" s="20">
        <f>MEDIAN(H5:H19)</f>
        <v>188454272491</v>
      </c>
      <c r="N8" s="20">
        <f>_xlfn.STDEV.S(H5:H19)</f>
        <v>5710922546</v>
      </c>
    </row>
    <row r="9">
      <c r="B9" s="8" t="s">
        <v>12</v>
      </c>
      <c r="C9" s="8">
        <f t="shared" ref="C9:C10" si="7">C8+2</f>
        <v>8</v>
      </c>
      <c r="D9" s="16">
        <f t="shared" si="1"/>
        <v>0.04</v>
      </c>
      <c r="E9" s="8">
        <v>1.717</v>
      </c>
      <c r="F9" s="8">
        <v>210.5</v>
      </c>
      <c r="G9" s="18">
        <f t="shared" si="2"/>
        <v>0.001189553301</v>
      </c>
      <c r="H9" s="19">
        <f t="shared" si="3"/>
        <v>185949193833</v>
      </c>
      <c r="I9" s="18">
        <f t="shared" si="4"/>
        <v>0.0016</v>
      </c>
      <c r="J9" s="18">
        <f t="shared" si="5"/>
        <v>297518710.1</v>
      </c>
      <c r="L9" s="43" t="s">
        <v>59</v>
      </c>
      <c r="M9" s="20">
        <f>MEDIAN(H14:H19)</f>
        <v>191740882886</v>
      </c>
      <c r="N9" s="20">
        <f>_xlfn.STDEV.S(H14:H19)</f>
        <v>4921313382</v>
      </c>
    </row>
    <row r="10">
      <c r="B10" s="8" t="s">
        <v>13</v>
      </c>
      <c r="C10" s="8">
        <f t="shared" si="7"/>
        <v>10</v>
      </c>
      <c r="D10" s="18">
        <f t="shared" si="1"/>
        <v>0.05</v>
      </c>
      <c r="E10" s="8">
        <v>1.72</v>
      </c>
      <c r="F10" s="8">
        <v>326.8</v>
      </c>
      <c r="G10" s="18">
        <f t="shared" si="2"/>
        <v>0.001191631729</v>
      </c>
      <c r="H10" s="19">
        <f t="shared" si="3"/>
        <v>184114468277</v>
      </c>
      <c r="I10" s="18">
        <f t="shared" si="4"/>
        <v>0.0025</v>
      </c>
      <c r="J10" s="18">
        <f t="shared" si="5"/>
        <v>460286170.7</v>
      </c>
      <c r="L10" s="43" t="s">
        <v>60</v>
      </c>
      <c r="M10" s="20">
        <f>MEDIAN(H5:H10)</f>
        <v>185360025166</v>
      </c>
      <c r="N10" s="20">
        <f>_xlfn.STDEV.S(H6:H10)</f>
        <v>5917877099</v>
      </c>
    </row>
    <row r="11">
      <c r="L11" s="1" t="s">
        <v>61</v>
      </c>
    </row>
    <row r="12">
      <c r="B12" s="1" t="s">
        <v>62</v>
      </c>
      <c r="I12" s="1" t="s">
        <v>51</v>
      </c>
      <c r="J12" s="1" t="s">
        <v>55</v>
      </c>
      <c r="L12" s="43" t="s">
        <v>58</v>
      </c>
      <c r="M12" s="20">
        <f>P19</f>
        <v>189137674936</v>
      </c>
      <c r="N12" s="20">
        <f>P20</f>
        <v>1730896857</v>
      </c>
    </row>
    <row r="13">
      <c r="B13" s="8" t="s">
        <v>10</v>
      </c>
      <c r="C13" s="18">
        <f>4</f>
        <v>4</v>
      </c>
      <c r="D13" s="16">
        <f>C13/2</f>
        <v>2</v>
      </c>
      <c r="F13" s="8"/>
      <c r="H13" s="10"/>
      <c r="L13" s="43" t="s">
        <v>59</v>
      </c>
      <c r="M13" s="20">
        <f>N19</f>
        <v>193495453997</v>
      </c>
      <c r="N13" s="20">
        <f>N20</f>
        <v>1591683320</v>
      </c>
    </row>
    <row r="14">
      <c r="B14" s="8" t="s">
        <v>11</v>
      </c>
      <c r="C14" s="18">
        <f>6</f>
        <v>6</v>
      </c>
      <c r="D14" s="16">
        <f t="shared" ref="D14:D19" si="8">C14/200</f>
        <v>0.03</v>
      </c>
      <c r="E14" s="8">
        <v>2.048</v>
      </c>
      <c r="F14" s="8">
        <v>167.0</v>
      </c>
      <c r="G14" s="18">
        <f t="shared" ref="G14:G19" si="9">Divide(0.716*N$4*N$5*E14,P$5)</f>
        <v>0.001418873128</v>
      </c>
      <c r="H14" s="19">
        <f t="shared" ref="H14:H19" si="10">2*F14/(D14*G14)^2</f>
        <v>184338831302</v>
      </c>
      <c r="I14" s="18">
        <f t="shared" ref="I14:I19" si="11">D14^2</f>
        <v>0.0009</v>
      </c>
      <c r="J14" s="18">
        <f t="shared" ref="J14:J19" si="12">2*F14/(G14^2)</f>
        <v>165904948.2</v>
      </c>
      <c r="L14" s="43" t="s">
        <v>60</v>
      </c>
      <c r="M14" s="2">
        <f>L19</f>
        <v>175381561152</v>
      </c>
      <c r="N14" s="20">
        <f>L20</f>
        <v>1743554631</v>
      </c>
    </row>
    <row r="15">
      <c r="B15" s="8" t="s">
        <v>12</v>
      </c>
      <c r="C15" s="18">
        <f t="shared" ref="C15:C16" si="13">C14+2</f>
        <v>8</v>
      </c>
      <c r="D15" s="16">
        <f t="shared" si="8"/>
        <v>0.04</v>
      </c>
      <c r="E15" s="8">
        <v>1.503</v>
      </c>
      <c r="F15" s="8">
        <v>167.0</v>
      </c>
      <c r="G15" s="18">
        <f t="shared" si="9"/>
        <v>0.001041292145</v>
      </c>
      <c r="H15" s="19">
        <f t="shared" si="10"/>
        <v>192522414623</v>
      </c>
      <c r="I15" s="18">
        <f t="shared" si="11"/>
        <v>0.0016</v>
      </c>
      <c r="J15" s="18">
        <f t="shared" si="12"/>
        <v>308035863.4</v>
      </c>
    </row>
    <row r="16">
      <c r="B16" s="8" t="s">
        <v>13</v>
      </c>
      <c r="C16" s="18">
        <f t="shared" si="13"/>
        <v>10</v>
      </c>
      <c r="D16" s="16">
        <f t="shared" si="8"/>
        <v>0.05</v>
      </c>
      <c r="E16" s="8">
        <v>1.201</v>
      </c>
      <c r="F16" s="8">
        <v>167.0</v>
      </c>
      <c r="G16" s="18">
        <f t="shared" si="9"/>
        <v>0.0008320637828</v>
      </c>
      <c r="H16" s="19">
        <f t="shared" si="10"/>
        <v>192971521161</v>
      </c>
      <c r="I16" s="18">
        <f t="shared" si="11"/>
        <v>0.0025</v>
      </c>
      <c r="J16" s="18">
        <f t="shared" si="12"/>
        <v>482428802.9</v>
      </c>
    </row>
    <row r="17">
      <c r="B17" s="8" t="s">
        <v>11</v>
      </c>
      <c r="C17" s="8">
        <v>6.0</v>
      </c>
      <c r="D17" s="16">
        <f t="shared" si="8"/>
        <v>0.03</v>
      </c>
      <c r="E17" s="8">
        <v>2.081</v>
      </c>
      <c r="F17" s="8">
        <v>173.8</v>
      </c>
      <c r="G17" s="18">
        <f t="shared" si="9"/>
        <v>0.00144173583</v>
      </c>
      <c r="H17" s="19">
        <f t="shared" si="10"/>
        <v>185808627304</v>
      </c>
      <c r="I17" s="18">
        <f t="shared" si="11"/>
        <v>0.0009</v>
      </c>
      <c r="J17" s="18">
        <f t="shared" si="12"/>
        <v>167227764.6</v>
      </c>
      <c r="L17" s="1" t="s">
        <v>63</v>
      </c>
    </row>
    <row r="18">
      <c r="B18" s="8" t="s">
        <v>12</v>
      </c>
      <c r="C18" s="8">
        <f t="shared" ref="C18:C19" si="14">C17+2</f>
        <v>8</v>
      </c>
      <c r="D18" s="16">
        <f t="shared" si="8"/>
        <v>0.04</v>
      </c>
      <c r="E18" s="8">
        <v>1.54</v>
      </c>
      <c r="F18" s="8">
        <v>173.9</v>
      </c>
      <c r="G18" s="18">
        <f t="shared" si="9"/>
        <v>0.001066926083</v>
      </c>
      <c r="H18" s="19">
        <f t="shared" si="10"/>
        <v>190959351148</v>
      </c>
      <c r="I18" s="18">
        <f t="shared" si="11"/>
        <v>0.0016</v>
      </c>
      <c r="J18" s="18">
        <f t="shared" si="12"/>
        <v>305534961.8</v>
      </c>
      <c r="L18" s="44" t="s">
        <v>64</v>
      </c>
      <c r="M18" s="45"/>
      <c r="N18" s="44" t="s">
        <v>65</v>
      </c>
      <c r="O18" s="45"/>
      <c r="P18" s="46" t="s">
        <v>66</v>
      </c>
      <c r="Q18" s="45"/>
    </row>
    <row r="19">
      <c r="B19" s="8" t="s">
        <v>13</v>
      </c>
      <c r="C19" s="8">
        <f t="shared" si="14"/>
        <v>10</v>
      </c>
      <c r="D19" s="16">
        <f t="shared" si="8"/>
        <v>0.05</v>
      </c>
      <c r="E19" s="8">
        <v>1.211</v>
      </c>
      <c r="F19" s="8">
        <v>173.9</v>
      </c>
      <c r="G19" s="18">
        <f t="shared" si="9"/>
        <v>0.0008389918742</v>
      </c>
      <c r="H19" s="19">
        <f t="shared" si="10"/>
        <v>197639642526</v>
      </c>
      <c r="I19" s="18">
        <f t="shared" si="11"/>
        <v>0.0025</v>
      </c>
      <c r="J19" s="18">
        <f t="shared" si="12"/>
        <v>494099106.3</v>
      </c>
      <c r="L19" s="47">
        <f t="array" ref="L19:M23">LINEST(J5:J10,I5:I10,1,1)</f>
        <v>175381561152</v>
      </c>
      <c r="M19" s="19">
        <v>1.808239600806884E7</v>
      </c>
      <c r="N19" s="48">
        <f t="array" ref="N19:O23">LINEST(J14:J19,I14:I19,0,1)</f>
        <v>193495453997</v>
      </c>
      <c r="O19" s="10">
        <v>0.0</v>
      </c>
      <c r="P19" s="48">
        <f t="array" ref="P19:Q23">LINEST(B23:B34,A23:A34,0,1)</f>
        <v>189137674936</v>
      </c>
      <c r="Q19" s="10">
        <v>0.0</v>
      </c>
    </row>
    <row r="20">
      <c r="L20" s="48">
        <v>1.7435546306421642E9</v>
      </c>
      <c r="M20" s="10">
        <v>3122212.573124201</v>
      </c>
      <c r="N20" s="48">
        <v>1.5916833203241105E9</v>
      </c>
      <c r="O20" s="10" t="e">
        <v>#N/A</v>
      </c>
      <c r="P20" s="48">
        <v>1.7308968573425221E9</v>
      </c>
      <c r="Q20" s="10" t="e">
        <v>#N/A</v>
      </c>
    </row>
    <row r="21">
      <c r="L21" s="49">
        <v>0.9996048230633813</v>
      </c>
      <c r="M21" s="10">
        <v>2796942.7851531287</v>
      </c>
      <c r="N21" s="9">
        <v>0.9996617834212478</v>
      </c>
      <c r="O21" s="10">
        <v>6981668.098806277</v>
      </c>
      <c r="P21" s="9">
        <v>0.9990795948053902</v>
      </c>
      <c r="Q21" s="10">
        <v>1.0737142601995017E7</v>
      </c>
    </row>
    <row r="22">
      <c r="A22" s="8" t="s">
        <v>67</v>
      </c>
      <c r="B22" s="8" t="s">
        <v>55</v>
      </c>
      <c r="C22" s="8" t="s">
        <v>67</v>
      </c>
      <c r="D22" s="8" t="s">
        <v>68</v>
      </c>
      <c r="L22" s="9">
        <v>10118.048200041792</v>
      </c>
      <c r="M22" s="10">
        <v>4.0</v>
      </c>
      <c r="N22" s="9">
        <v>14778.42669790758</v>
      </c>
      <c r="O22" s="10">
        <v>5.0</v>
      </c>
      <c r="P22" s="9">
        <v>11940.258059407175</v>
      </c>
      <c r="Q22" s="10">
        <v>11.0</v>
      </c>
    </row>
    <row r="23">
      <c r="A23" s="18">
        <v>9.0E-4</v>
      </c>
      <c r="B23" s="18">
        <v>1.7695226131261277E8</v>
      </c>
      <c r="C23" s="18">
        <v>9.0E-4</v>
      </c>
      <c r="D23" s="18">
        <v>1.7695226131261277E8</v>
      </c>
      <c r="L23" s="26">
        <v>7.9152367393099E16</v>
      </c>
      <c r="M23" s="29">
        <v>3.1291555773680566E13</v>
      </c>
      <c r="N23" s="26">
        <v>7.20355041402532E17</v>
      </c>
      <c r="O23" s="29">
        <v>2.4371844720944625E14</v>
      </c>
      <c r="P23" s="26">
        <v>1.3765473518880745E18</v>
      </c>
      <c r="Q23" s="29">
        <v>1.2681485438113395E15</v>
      </c>
    </row>
    <row r="24">
      <c r="A24" s="18">
        <v>0.0016</v>
      </c>
      <c r="B24" s="18">
        <v>2.956333703984494E8</v>
      </c>
      <c r="C24" s="18">
        <v>0.0016</v>
      </c>
      <c r="D24" s="18">
        <v>2.956333703984494E8</v>
      </c>
    </row>
    <row r="25">
      <c r="A25" s="18">
        <v>0.0025000000000000005</v>
      </c>
      <c r="B25" s="18">
        <v>4.546386739700877E8</v>
      </c>
      <c r="C25" s="18">
        <v>0.0025000000000000005</v>
      </c>
      <c r="D25" s="18">
        <v>4.546386739700877E8</v>
      </c>
    </row>
    <row r="26">
      <c r="A26" s="18">
        <v>9.0E-4</v>
      </c>
      <c r="B26" s="18">
        <v>1.7728080106085315E8</v>
      </c>
      <c r="C26" s="18">
        <v>9.0E-4</v>
      </c>
      <c r="D26" s="18">
        <v>1.7728080106085315E8</v>
      </c>
    </row>
    <row r="27">
      <c r="A27" s="18">
        <v>0.0016</v>
      </c>
      <c r="B27" s="18">
        <v>2.975187101334569E8</v>
      </c>
      <c r="C27" s="18">
        <v>0.0016</v>
      </c>
      <c r="D27" s="18">
        <v>2.975187101334569E8</v>
      </c>
    </row>
    <row r="28">
      <c r="A28" s="18">
        <v>0.0025000000000000005</v>
      </c>
      <c r="B28" s="18">
        <v>4.6028617069364256E8</v>
      </c>
      <c r="C28" s="18">
        <v>0.0025000000000000005</v>
      </c>
      <c r="D28" s="18">
        <v>4.6028617069364256E8</v>
      </c>
    </row>
    <row r="29">
      <c r="A29" s="18">
        <v>9.0E-4</v>
      </c>
      <c r="B29" s="18">
        <v>1.6590494817186892E8</v>
      </c>
      <c r="C29" s="8" t="s">
        <v>67</v>
      </c>
      <c r="D29" s="8" t="s">
        <v>69</v>
      </c>
    </row>
    <row r="30">
      <c r="A30" s="18">
        <v>0.0016</v>
      </c>
      <c r="B30" s="18">
        <v>3.080358633972076E8</v>
      </c>
      <c r="C30" s="18">
        <v>9.0E-4</v>
      </c>
      <c r="D30" s="18">
        <v>1.6590494817186892E8</v>
      </c>
    </row>
    <row r="31">
      <c r="A31" s="18">
        <v>0.0025000000000000005</v>
      </c>
      <c r="B31" s="18">
        <v>4.8242880290367407E8</v>
      </c>
      <c r="C31" s="18">
        <v>0.0016</v>
      </c>
      <c r="D31" s="18">
        <v>3.080358633972076E8</v>
      </c>
    </row>
    <row r="32">
      <c r="A32" s="18">
        <v>9.0E-4</v>
      </c>
      <c r="B32" s="18">
        <v>1.6722776457402304E8</v>
      </c>
      <c r="C32" s="18">
        <v>0.0025000000000000005</v>
      </c>
      <c r="D32" s="18">
        <v>4.8242880290367407E8</v>
      </c>
    </row>
    <row r="33">
      <c r="A33" s="18">
        <v>0.0016</v>
      </c>
      <c r="B33" s="18">
        <v>3.0553496183752036E8</v>
      </c>
      <c r="C33" s="18">
        <v>9.0E-4</v>
      </c>
      <c r="D33" s="18">
        <v>1.6722776457402304E8</v>
      </c>
    </row>
    <row r="34">
      <c r="A34" s="18">
        <v>0.0025000000000000005</v>
      </c>
      <c r="B34" s="18">
        <v>4.9409910631614774E8</v>
      </c>
      <c r="C34" s="18">
        <v>0.0016</v>
      </c>
      <c r="D34" s="18">
        <v>3.0553496183752036E8</v>
      </c>
    </row>
    <row r="35">
      <c r="C35" s="18">
        <v>0.0025000000000000005</v>
      </c>
      <c r="D35" s="18">
        <v>4.9409910631614774E8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21.75"/>
    <col customWidth="1" min="6" max="6" width="22.0"/>
    <col customWidth="1" min="7" max="7" width="15.38"/>
    <col customWidth="1" min="8" max="8" width="23.88"/>
    <col customWidth="1" min="10" max="10" width="20.63"/>
    <col customWidth="1" min="11" max="11" width="14.38"/>
    <col customWidth="1" min="12" max="12" width="18.0"/>
    <col customWidth="1" min="14" max="14" width="36.88"/>
    <col customWidth="1" min="15" max="15" width="14.0"/>
    <col customWidth="1" min="16" max="16" width="14.5"/>
  </cols>
  <sheetData>
    <row r="1">
      <c r="A1" s="1" t="s">
        <v>0</v>
      </c>
    </row>
    <row r="2">
      <c r="A2" s="3" t="s">
        <v>2</v>
      </c>
      <c r="B2" s="4"/>
      <c r="C2" s="4"/>
      <c r="D2" s="4"/>
      <c r="E2" s="5" t="s">
        <v>35</v>
      </c>
      <c r="F2" s="6"/>
      <c r="G2" s="6"/>
      <c r="I2" s="1" t="s">
        <v>1</v>
      </c>
      <c r="J2" s="2">
        <v>1.75E11</v>
      </c>
    </row>
    <row r="3">
      <c r="A3" s="9"/>
    </row>
    <row r="4">
      <c r="B4" s="8" t="s">
        <v>5</v>
      </c>
      <c r="C4" s="8" t="s">
        <v>30</v>
      </c>
      <c r="D4" s="1" t="s">
        <v>21</v>
      </c>
      <c r="E4" s="1" t="s">
        <v>32</v>
      </c>
      <c r="F4" s="1" t="s">
        <v>8</v>
      </c>
      <c r="G4" s="1" t="s">
        <v>9</v>
      </c>
      <c r="H4" s="8" t="s">
        <v>42</v>
      </c>
      <c r="I4" s="8" t="s">
        <v>70</v>
      </c>
      <c r="J4" s="8" t="s">
        <v>71</v>
      </c>
      <c r="K4" s="8" t="s">
        <v>72</v>
      </c>
      <c r="M4" s="8" t="s">
        <v>73</v>
      </c>
    </row>
    <row r="5">
      <c r="B5" s="8" t="s">
        <v>10</v>
      </c>
      <c r="D5" s="16"/>
      <c r="F5" s="8"/>
    </row>
    <row r="6">
      <c r="B6" s="8" t="s">
        <v>11</v>
      </c>
      <c r="C6" s="8">
        <v>6.0</v>
      </c>
      <c r="D6" s="16">
        <f t="shared" ref="D6:D8" si="1">C6/200</f>
        <v>0.03</v>
      </c>
      <c r="E6" s="8">
        <v>1.74</v>
      </c>
      <c r="F6" s="8">
        <v>131.8</v>
      </c>
      <c r="G6" s="18">
        <f t="shared" ref="G6:G8" si="2">Divide(0.716*D$9*D$10*E6,F$10)</f>
        <v>0.001205487912</v>
      </c>
      <c r="H6" s="16">
        <f t="shared" ref="H6:H8" si="3">D6</f>
        <v>0.03</v>
      </c>
      <c r="I6" s="18">
        <f t="shared" ref="I6:I8" si="4">SQRT(2*F6/J$2)</f>
        <v>0.00003881089685</v>
      </c>
      <c r="J6" s="2">
        <v>0.00111</v>
      </c>
      <c r="K6" s="20">
        <f t="shared" ref="K6:K8" si="5">G6-J6</f>
        <v>0.0000954879118</v>
      </c>
    </row>
    <row r="7">
      <c r="B7" s="8" t="s">
        <v>12</v>
      </c>
      <c r="C7" s="8">
        <v>8.0</v>
      </c>
      <c r="D7" s="16">
        <f t="shared" si="1"/>
        <v>0.04</v>
      </c>
      <c r="E7" s="8">
        <v>1.739</v>
      </c>
      <c r="F7" s="8">
        <v>212.7</v>
      </c>
      <c r="G7" s="18">
        <f t="shared" si="2"/>
        <v>0.001204795103</v>
      </c>
      <c r="H7" s="16">
        <f t="shared" si="3"/>
        <v>0.04</v>
      </c>
      <c r="I7" s="18">
        <f t="shared" si="4"/>
        <v>0.00004930372342</v>
      </c>
      <c r="J7" s="2">
        <v>0.00111</v>
      </c>
      <c r="K7" s="20">
        <f t="shared" si="5"/>
        <v>0.00009479510265</v>
      </c>
    </row>
    <row r="8">
      <c r="B8" s="8" t="s">
        <v>13</v>
      </c>
      <c r="C8" s="8">
        <v>10.0</v>
      </c>
      <c r="D8" s="18">
        <f t="shared" si="1"/>
        <v>0.05</v>
      </c>
      <c r="E8" s="8">
        <v>1.739</v>
      </c>
      <c r="F8" s="8">
        <v>326.2</v>
      </c>
      <c r="G8" s="18">
        <f t="shared" si="2"/>
        <v>0.001204795103</v>
      </c>
      <c r="H8" s="18">
        <f t="shared" si="3"/>
        <v>0.05</v>
      </c>
      <c r="I8" s="18">
        <f t="shared" si="4"/>
        <v>0.00006105735009</v>
      </c>
      <c r="J8" s="2">
        <v>0.00111</v>
      </c>
      <c r="K8" s="20">
        <f t="shared" si="5"/>
        <v>0.00009479510265</v>
      </c>
    </row>
    <row r="9">
      <c r="B9" s="1" t="s">
        <v>14</v>
      </c>
      <c r="C9" s="8" t="s">
        <v>15</v>
      </c>
      <c r="D9" s="18">
        <f>PI()*4*10^(-7)</f>
        <v>0.000001256637061</v>
      </c>
      <c r="E9" s="16"/>
      <c r="F9" s="8"/>
    </row>
    <row r="10">
      <c r="A10" s="22"/>
      <c r="B10" s="22"/>
      <c r="C10" s="27" t="s">
        <v>16</v>
      </c>
      <c r="D10" s="27">
        <v>154.0</v>
      </c>
      <c r="E10" s="28" t="s">
        <v>17</v>
      </c>
      <c r="F10" s="27">
        <f>0.2</f>
        <v>0.2</v>
      </c>
      <c r="G10" s="27">
        <v>1.0E-4</v>
      </c>
    </row>
    <row r="14">
      <c r="A14" s="11" t="s">
        <v>39</v>
      </c>
      <c r="B14" s="11"/>
      <c r="C14" s="11"/>
      <c r="D14" s="11"/>
      <c r="E14" s="5" t="s">
        <v>40</v>
      </c>
      <c r="F14" s="6"/>
      <c r="G14" s="6"/>
    </row>
    <row r="15">
      <c r="A15" s="9"/>
      <c r="J15" s="8" t="s">
        <v>74</v>
      </c>
      <c r="K15" s="18">
        <f>MEDIAN(G6:G8)</f>
        <v>0.001204795103</v>
      </c>
    </row>
    <row r="16">
      <c r="B16" s="8" t="s">
        <v>5</v>
      </c>
      <c r="C16" s="8" t="s">
        <v>30</v>
      </c>
      <c r="D16" s="1" t="s">
        <v>41</v>
      </c>
      <c r="E16" s="1" t="s">
        <v>32</v>
      </c>
      <c r="F16" s="1" t="s">
        <v>8</v>
      </c>
      <c r="G16" s="1" t="s">
        <v>9</v>
      </c>
      <c r="H16" s="1" t="s">
        <v>75</v>
      </c>
      <c r="J16" s="8" t="s">
        <v>76</v>
      </c>
      <c r="K16" s="18">
        <f>MEDIAN(G29:G31)</f>
        <v>0.001195095775</v>
      </c>
    </row>
    <row r="17">
      <c r="B17" s="8" t="s">
        <v>10</v>
      </c>
      <c r="D17" s="16"/>
      <c r="F17" s="8"/>
      <c r="J17" s="8" t="s">
        <v>77</v>
      </c>
      <c r="K17" s="20">
        <f>K16-K15</f>
        <v>-0.000009699328026</v>
      </c>
    </row>
    <row r="18">
      <c r="B18" s="8" t="s">
        <v>11</v>
      </c>
      <c r="C18" s="8">
        <v>6.0</v>
      </c>
      <c r="D18" s="16">
        <f t="shared" ref="D18:D20" si="6">C18/200</f>
        <v>0.03</v>
      </c>
      <c r="E18" s="8">
        <v>1.739</v>
      </c>
      <c r="F18" s="8">
        <v>131.5</v>
      </c>
      <c r="G18" s="18">
        <f t="shared" ref="G18:G20" si="7">Divide(0.716*D$21*D$22*E18,F$22)</f>
        <v>0.001204795103</v>
      </c>
    </row>
    <row r="19">
      <c r="B19" s="8" t="s">
        <v>12</v>
      </c>
      <c r="C19" s="8">
        <v>8.0</v>
      </c>
      <c r="D19" s="16">
        <f t="shared" si="6"/>
        <v>0.04</v>
      </c>
      <c r="E19" s="8">
        <v>1.285</v>
      </c>
      <c r="F19" s="8">
        <v>131.4</v>
      </c>
      <c r="G19" s="18">
        <f t="shared" si="7"/>
        <v>0.000890259751</v>
      </c>
    </row>
    <row r="20">
      <c r="B20" s="8" t="s">
        <v>13</v>
      </c>
      <c r="C20" s="8">
        <v>10.0</v>
      </c>
      <c r="D20" s="16">
        <f t="shared" si="6"/>
        <v>0.05</v>
      </c>
      <c r="E20" s="8">
        <v>1.062</v>
      </c>
      <c r="F20" s="8">
        <v>131.4</v>
      </c>
      <c r="G20" s="18">
        <f t="shared" si="7"/>
        <v>0.0007357633117</v>
      </c>
    </row>
    <row r="21">
      <c r="B21" s="1" t="s">
        <v>14</v>
      </c>
      <c r="C21" s="8" t="s">
        <v>15</v>
      </c>
      <c r="D21" s="18">
        <f>PI()*4*10^(-7)</f>
        <v>0.000001256637061</v>
      </c>
      <c r="E21" s="16"/>
      <c r="F21" s="8"/>
    </row>
    <row r="22">
      <c r="A22" s="22"/>
      <c r="B22" s="22"/>
      <c r="C22" s="27" t="s">
        <v>16</v>
      </c>
      <c r="D22" s="27">
        <v>154.0</v>
      </c>
      <c r="E22" s="28" t="s">
        <v>17</v>
      </c>
      <c r="F22" s="27">
        <f>F10</f>
        <v>0.2</v>
      </c>
      <c r="G22" s="22"/>
    </row>
    <row r="24">
      <c r="A24" s="1" t="s">
        <v>29</v>
      </c>
    </row>
    <row r="25">
      <c r="A25" s="3" t="s">
        <v>2</v>
      </c>
      <c r="B25" s="4"/>
      <c r="C25" s="4"/>
      <c r="D25" s="4"/>
      <c r="E25" s="5" t="s">
        <v>45</v>
      </c>
      <c r="F25" s="6"/>
      <c r="G25" s="6"/>
    </row>
    <row r="26">
      <c r="A26" s="9"/>
    </row>
    <row r="27">
      <c r="B27" s="8" t="s">
        <v>5</v>
      </c>
      <c r="C27" s="8" t="s">
        <v>30</v>
      </c>
      <c r="D27" s="1" t="s">
        <v>41</v>
      </c>
      <c r="E27" s="1" t="s">
        <v>32</v>
      </c>
      <c r="F27" s="1" t="s">
        <v>8</v>
      </c>
      <c r="G27" s="1" t="s">
        <v>9</v>
      </c>
      <c r="H27" s="8" t="s">
        <v>42</v>
      </c>
      <c r="I27" s="8" t="s">
        <v>70</v>
      </c>
      <c r="J27" s="8" t="s">
        <v>71</v>
      </c>
    </row>
    <row r="28">
      <c r="B28" s="8" t="s">
        <v>10</v>
      </c>
      <c r="D28" s="16"/>
      <c r="F28" s="8"/>
    </row>
    <row r="29">
      <c r="B29" s="8" t="s">
        <v>11</v>
      </c>
      <c r="C29" s="8">
        <v>6.0</v>
      </c>
      <c r="D29" s="16">
        <f t="shared" ref="D29:D31" si="8">C29/200</f>
        <v>0.03</v>
      </c>
      <c r="E29" s="8">
        <v>1.725</v>
      </c>
      <c r="F29" s="8">
        <v>130.0</v>
      </c>
      <c r="G29" s="18">
        <f t="shared" ref="G29:G31" si="9">Divide(0.716*D$9*D$10*E29,F$10)</f>
        <v>0.001195095775</v>
      </c>
      <c r="H29" s="16">
        <f t="shared" ref="H29:H31" si="10">D29</f>
        <v>0.03</v>
      </c>
      <c r="I29" s="18">
        <f t="shared" ref="I29:I31" si="11">SQRT(2*F29/J$2)</f>
        <v>0.00003854496447</v>
      </c>
      <c r="J29" s="2">
        <v>0.00112</v>
      </c>
      <c r="K29" s="20">
        <f t="shared" ref="K29:K31" si="12">-J29+G29</f>
        <v>0.00007509577463</v>
      </c>
    </row>
    <row r="30">
      <c r="B30" s="8" t="s">
        <v>12</v>
      </c>
      <c r="C30" s="8">
        <v>8.0</v>
      </c>
      <c r="D30" s="16">
        <f t="shared" si="8"/>
        <v>0.04</v>
      </c>
      <c r="E30" s="8">
        <v>1.725</v>
      </c>
      <c r="F30" s="8">
        <v>214.6</v>
      </c>
      <c r="G30" s="18">
        <f t="shared" si="9"/>
        <v>0.001195095775</v>
      </c>
      <c r="H30" s="16">
        <f t="shared" si="10"/>
        <v>0.04</v>
      </c>
      <c r="I30" s="18">
        <f t="shared" si="11"/>
        <v>0.00004952344322</v>
      </c>
      <c r="J30" s="2">
        <v>0.00112</v>
      </c>
      <c r="K30" s="20">
        <f t="shared" si="12"/>
        <v>0.00007509577463</v>
      </c>
    </row>
    <row r="31">
      <c r="B31" s="8" t="s">
        <v>13</v>
      </c>
      <c r="C31" s="18">
        <f>C30+2</f>
        <v>10</v>
      </c>
      <c r="D31" s="18">
        <f t="shared" si="8"/>
        <v>0.05</v>
      </c>
      <c r="E31" s="8">
        <v>1.725</v>
      </c>
      <c r="F31" s="8">
        <v>325.9</v>
      </c>
      <c r="G31" s="18">
        <f t="shared" si="9"/>
        <v>0.001195095775</v>
      </c>
      <c r="H31" s="18">
        <f t="shared" si="10"/>
        <v>0.05</v>
      </c>
      <c r="I31" s="18">
        <f t="shared" si="11"/>
        <v>0.00006102926698</v>
      </c>
      <c r="J31" s="2">
        <v>0.00112</v>
      </c>
      <c r="K31" s="20">
        <f t="shared" si="12"/>
        <v>0.00007509577463</v>
      </c>
    </row>
    <row r="32">
      <c r="B32" s="1" t="s">
        <v>14</v>
      </c>
      <c r="C32" s="8" t="s">
        <v>15</v>
      </c>
      <c r="D32" s="18">
        <f>PI()*4*10^(-7)</f>
        <v>0.000001256637061</v>
      </c>
      <c r="E32" s="16"/>
      <c r="F32" s="8"/>
    </row>
    <row r="33">
      <c r="A33" s="22"/>
      <c r="B33" s="22"/>
      <c r="C33" s="27" t="s">
        <v>16</v>
      </c>
      <c r="D33" s="27">
        <v>154.0</v>
      </c>
      <c r="E33" s="28" t="s">
        <v>17</v>
      </c>
      <c r="F33" s="27">
        <f>0.2075</f>
        <v>0.2075</v>
      </c>
      <c r="G33" s="27">
        <v>1.0E-4</v>
      </c>
    </row>
    <row r="37">
      <c r="A37" s="11" t="s">
        <v>39</v>
      </c>
      <c r="B37" s="11"/>
      <c r="C37" s="11"/>
      <c r="D37" s="11"/>
      <c r="E37" s="5" t="s">
        <v>46</v>
      </c>
      <c r="F37" s="6"/>
      <c r="G37" s="6"/>
    </row>
    <row r="38">
      <c r="A38" s="9"/>
    </row>
    <row r="39">
      <c r="B39" s="8" t="s">
        <v>5</v>
      </c>
      <c r="C39" s="8" t="s">
        <v>30</v>
      </c>
      <c r="D39" s="1" t="s">
        <v>21</v>
      </c>
      <c r="E39" s="1" t="s">
        <v>32</v>
      </c>
      <c r="F39" s="1" t="s">
        <v>8</v>
      </c>
      <c r="G39" s="1" t="s">
        <v>9</v>
      </c>
    </row>
    <row r="40">
      <c r="B40" s="8" t="s">
        <v>10</v>
      </c>
      <c r="D40" s="16"/>
      <c r="F40" s="8"/>
    </row>
    <row r="41">
      <c r="B41" s="8" t="s">
        <v>11</v>
      </c>
      <c r="C41" s="8">
        <v>6.0</v>
      </c>
      <c r="D41" s="16">
        <f t="shared" ref="D41:D43" si="13">C41/200</f>
        <v>0.03</v>
      </c>
      <c r="E41" s="8">
        <v>2.088</v>
      </c>
      <c r="F41" s="8">
        <v>176.2</v>
      </c>
      <c r="G41" s="18">
        <f t="shared" ref="G41:G43" si="14">Divide(0.716*D$21*D$22*E41,F$22)</f>
        <v>0.001446585494</v>
      </c>
    </row>
    <row r="42">
      <c r="B42" s="8" t="s">
        <v>12</v>
      </c>
      <c r="C42" s="8">
        <v>8.0</v>
      </c>
      <c r="D42" s="16">
        <f t="shared" si="13"/>
        <v>0.04</v>
      </c>
      <c r="E42" s="8">
        <v>1.526</v>
      </c>
      <c r="F42" s="8">
        <v>176.2</v>
      </c>
      <c r="G42" s="18">
        <f t="shared" si="14"/>
        <v>0.001057226755</v>
      </c>
    </row>
    <row r="43">
      <c r="B43" s="8" t="s">
        <v>13</v>
      </c>
      <c r="C43" s="18">
        <f>C42+2</f>
        <v>10</v>
      </c>
      <c r="D43" s="16">
        <f t="shared" si="13"/>
        <v>0.05</v>
      </c>
      <c r="E43" s="8">
        <v>1.203</v>
      </c>
      <c r="F43" s="8">
        <v>176.2</v>
      </c>
      <c r="G43" s="18">
        <f t="shared" si="14"/>
        <v>0.0008334494011</v>
      </c>
    </row>
    <row r="44">
      <c r="B44" s="1" t="s">
        <v>14</v>
      </c>
      <c r="C44" s="8" t="s">
        <v>15</v>
      </c>
      <c r="D44" s="18">
        <f>PI()*4*10^(-7)</f>
        <v>0.000001256637061</v>
      </c>
      <c r="E44" s="16"/>
      <c r="F44" s="8"/>
    </row>
    <row r="45">
      <c r="A45" s="22"/>
      <c r="B45" s="22"/>
      <c r="C45" s="27" t="s">
        <v>16</v>
      </c>
      <c r="D45" s="27">
        <v>154.0</v>
      </c>
      <c r="E45" s="28" t="s">
        <v>17</v>
      </c>
      <c r="F45" s="27">
        <f>F33</f>
        <v>0.2075</v>
      </c>
      <c r="G45" s="22"/>
    </row>
    <row r="47">
      <c r="A47" s="11" t="s">
        <v>39</v>
      </c>
      <c r="B47" s="11"/>
      <c r="C47" s="11"/>
      <c r="D47" s="11"/>
      <c r="E47" s="5" t="s">
        <v>47</v>
      </c>
      <c r="F47" s="6"/>
      <c r="G47" s="6"/>
    </row>
    <row r="48">
      <c r="A48" s="9"/>
    </row>
    <row r="49">
      <c r="B49" s="8" t="s">
        <v>5</v>
      </c>
      <c r="C49" s="8" t="s">
        <v>30</v>
      </c>
      <c r="D49" s="1" t="s">
        <v>21</v>
      </c>
      <c r="E49" s="1" t="s">
        <v>32</v>
      </c>
      <c r="F49" s="1" t="s">
        <v>8</v>
      </c>
      <c r="G49" s="1" t="s">
        <v>9</v>
      </c>
    </row>
    <row r="50">
      <c r="B50" s="8" t="s">
        <v>10</v>
      </c>
      <c r="D50" s="16"/>
      <c r="F50" s="8"/>
    </row>
    <row r="51">
      <c r="B51" s="8" t="s">
        <v>11</v>
      </c>
      <c r="C51" s="8">
        <v>6.0</v>
      </c>
      <c r="D51" s="16">
        <f t="shared" ref="D51:D53" si="15">C51/200</f>
        <v>0.03</v>
      </c>
      <c r="E51" s="8">
        <v>1.673</v>
      </c>
      <c r="F51" s="8">
        <v>131.7</v>
      </c>
      <c r="G51" s="18">
        <f t="shared" ref="G51:G53" si="16">Divide(0.716*D$21*D$22*E51,F$22)</f>
        <v>0.001159069699</v>
      </c>
    </row>
    <row r="52">
      <c r="B52" s="8" t="s">
        <v>12</v>
      </c>
      <c r="C52" s="8">
        <v>8.0</v>
      </c>
      <c r="D52" s="16">
        <f t="shared" si="15"/>
        <v>0.04</v>
      </c>
      <c r="E52" s="8">
        <v>1.245</v>
      </c>
      <c r="F52" s="8">
        <v>132.2</v>
      </c>
      <c r="G52" s="18">
        <f t="shared" si="16"/>
        <v>0.0008625473852</v>
      </c>
    </row>
    <row r="53">
      <c r="B53" s="8" t="s">
        <v>13</v>
      </c>
      <c r="C53" s="18">
        <f>C52+2</f>
        <v>10</v>
      </c>
      <c r="D53" s="16">
        <f t="shared" si="15"/>
        <v>0.05</v>
      </c>
      <c r="E53" s="8">
        <v>1.014</v>
      </c>
      <c r="F53" s="8">
        <v>132.2</v>
      </c>
      <c r="G53" s="18">
        <f t="shared" si="16"/>
        <v>0.0007025084727</v>
      </c>
    </row>
    <row r="54">
      <c r="B54" s="1" t="s">
        <v>14</v>
      </c>
      <c r="C54" s="8" t="s">
        <v>15</v>
      </c>
      <c r="D54" s="18">
        <f>PI()*4*10^(-7)</f>
        <v>0.000001256637061</v>
      </c>
      <c r="E54" s="16"/>
      <c r="F54" s="8"/>
      <c r="J54" s="50" t="s">
        <v>78</v>
      </c>
      <c r="K54" s="4"/>
      <c r="L54" s="51"/>
    </row>
    <row r="55">
      <c r="A55" s="22"/>
      <c r="B55" s="22"/>
      <c r="C55" s="27" t="s">
        <v>16</v>
      </c>
      <c r="D55" s="27">
        <v>154.0</v>
      </c>
      <c r="E55" s="28" t="s">
        <v>17</v>
      </c>
      <c r="F55" s="27">
        <f>0.2</f>
        <v>0.2</v>
      </c>
      <c r="G55" s="22"/>
      <c r="J55" s="25" t="s">
        <v>32</v>
      </c>
      <c r="K55" s="1" t="s">
        <v>8</v>
      </c>
      <c r="L55" s="14" t="s">
        <v>79</v>
      </c>
    </row>
    <row r="56">
      <c r="I56" s="52">
        <f t="shared" ref="I56:I57" si="17">-(E61-F61)/2</f>
        <v>0.000004965132204</v>
      </c>
      <c r="J56" s="15">
        <v>1.725</v>
      </c>
      <c r="K56" s="8">
        <v>130.0</v>
      </c>
      <c r="L56" s="10">
        <v>0.001195095774626216</v>
      </c>
    </row>
    <row r="57">
      <c r="I57" s="52">
        <f t="shared" si="17"/>
        <v>0.00001778210138</v>
      </c>
      <c r="J57" s="15">
        <v>1.725</v>
      </c>
      <c r="K57" s="8">
        <v>214.6</v>
      </c>
      <c r="L57" s="10">
        <v>0.001195095774626216</v>
      </c>
    </row>
    <row r="58">
      <c r="J58" s="21">
        <v>1.725</v>
      </c>
      <c r="K58" s="27">
        <v>325.9</v>
      </c>
      <c r="L58" s="29">
        <v>0.001195095774626216</v>
      </c>
    </row>
    <row r="59">
      <c r="D59" s="53"/>
      <c r="E59" s="54" t="s">
        <v>80</v>
      </c>
      <c r="F59" s="55"/>
      <c r="G59" s="55"/>
      <c r="H59" s="56"/>
      <c r="J59" s="21" t="s">
        <v>81</v>
      </c>
      <c r="K59" s="22"/>
      <c r="L59" s="57">
        <f>AVERAGE(L56:L58)</f>
        <v>0.001195095775</v>
      </c>
    </row>
    <row r="60">
      <c r="D60" s="58"/>
      <c r="E60" s="59" t="s">
        <v>82</v>
      </c>
      <c r="F60" s="59" t="s">
        <v>83</v>
      </c>
      <c r="G60" s="59" t="s">
        <v>84</v>
      </c>
      <c r="H60" s="60" t="s">
        <v>85</v>
      </c>
    </row>
    <row r="61">
      <c r="D61" s="61" t="s">
        <v>86</v>
      </c>
      <c r="E61" s="62">
        <f>L59</f>
        <v>0.001195095775</v>
      </c>
      <c r="F61" s="63">
        <f>L74</f>
        <v>0.001205026039</v>
      </c>
      <c r="G61" s="63">
        <f t="shared" ref="G61:G62" si="18">(E61+F61)/2</f>
        <v>0.001200060907</v>
      </c>
      <c r="H61" s="64">
        <v>0.049651322037609635</v>
      </c>
      <c r="I61" s="18">
        <f t="shared" ref="I61:I62" si="19">I56*10000</f>
        <v>0.04965132204</v>
      </c>
      <c r="J61" s="50" t="s">
        <v>87</v>
      </c>
      <c r="K61" s="4"/>
      <c r="L61" s="51"/>
    </row>
    <row r="62">
      <c r="D62" s="61" t="s">
        <v>88</v>
      </c>
      <c r="E62" s="65">
        <f>L66</f>
        <v>0.0009080418523</v>
      </c>
      <c r="F62" s="66">
        <f>L81</f>
        <v>0.0009436060551</v>
      </c>
      <c r="G62" s="66">
        <f t="shared" si="18"/>
        <v>0.0009258239537</v>
      </c>
      <c r="H62" s="67">
        <v>0.1778210138091179</v>
      </c>
      <c r="I62" s="18">
        <f t="shared" si="19"/>
        <v>0.1778210138</v>
      </c>
      <c r="J62" s="25" t="s">
        <v>32</v>
      </c>
      <c r="K62" s="1" t="s">
        <v>8</v>
      </c>
      <c r="L62" s="14" t="s">
        <v>79</v>
      </c>
    </row>
    <row r="63">
      <c r="J63" s="15">
        <v>1.673</v>
      </c>
      <c r="K63" s="8">
        <v>131.7</v>
      </c>
      <c r="L63" s="10">
        <v>0.0011590696991012517</v>
      </c>
    </row>
    <row r="64">
      <c r="D64" s="53"/>
      <c r="E64" s="44" t="s">
        <v>89</v>
      </c>
      <c r="F64" s="55"/>
      <c r="G64" s="55"/>
      <c r="H64" s="56"/>
      <c r="J64" s="15">
        <v>1.245</v>
      </c>
      <c r="K64" s="8">
        <v>132.2</v>
      </c>
      <c r="L64" s="10">
        <v>8.62547385165008E-4</v>
      </c>
    </row>
    <row r="65">
      <c r="D65" s="58"/>
      <c r="E65" s="59" t="s">
        <v>82</v>
      </c>
      <c r="F65" s="59" t="s">
        <v>83</v>
      </c>
      <c r="G65" s="59" t="s">
        <v>84</v>
      </c>
      <c r="H65" s="60" t="s">
        <v>85</v>
      </c>
      <c r="J65" s="21">
        <v>1.014</v>
      </c>
      <c r="K65" s="27">
        <v>132.2</v>
      </c>
      <c r="L65" s="29">
        <v>7.025084727368017E-4</v>
      </c>
    </row>
    <row r="66">
      <c r="D66" s="61" t="s">
        <v>86</v>
      </c>
      <c r="E66" s="62">
        <v>0.001195095774626216</v>
      </c>
      <c r="F66" s="63">
        <v>0.001205026039033738</v>
      </c>
      <c r="G66" s="63">
        <v>0.001200060906829977</v>
      </c>
      <c r="H66" s="64">
        <v>0.049651322037609635</v>
      </c>
      <c r="J66" s="21" t="s">
        <v>81</v>
      </c>
      <c r="K66" s="22"/>
      <c r="L66" s="57">
        <f>AVERAGE(L63:L65)</f>
        <v>0.0009080418523</v>
      </c>
    </row>
    <row r="67">
      <c r="D67" s="61" t="s">
        <v>88</v>
      </c>
      <c r="E67" s="65">
        <v>9.080418523343538E-4</v>
      </c>
      <c r="F67" s="66">
        <v>9.436060550961773E-4</v>
      </c>
      <c r="G67" s="66">
        <v>9.258239537152655E-4</v>
      </c>
      <c r="H67" s="67">
        <v>0.1778210138091179</v>
      </c>
      <c r="J67" s="18">
        <f>STDEV(L63:L65)</f>
        <v>0.0002316556675</v>
      </c>
      <c r="K67" s="18">
        <f>J67*10000</f>
        <v>2.316556675</v>
      </c>
    </row>
    <row r="69">
      <c r="J69" s="50" t="s">
        <v>90</v>
      </c>
      <c r="K69" s="4"/>
      <c r="L69" s="51"/>
    </row>
    <row r="70">
      <c r="J70" s="25" t="s">
        <v>32</v>
      </c>
      <c r="K70" s="1" t="s">
        <v>8</v>
      </c>
      <c r="L70" s="14" t="s">
        <v>79</v>
      </c>
    </row>
    <row r="71">
      <c r="J71" s="15">
        <v>1.74</v>
      </c>
      <c r="K71" s="8">
        <v>131.8</v>
      </c>
      <c r="L71" s="10">
        <v>0.0012054879117968785</v>
      </c>
    </row>
    <row r="72">
      <c r="J72" s="15">
        <v>1.739</v>
      </c>
      <c r="K72" s="8">
        <v>212.7</v>
      </c>
      <c r="L72" s="10">
        <v>0.0012047951026521678</v>
      </c>
    </row>
    <row r="73">
      <c r="J73" s="21">
        <v>1.739</v>
      </c>
      <c r="K73" s="27">
        <v>326.2</v>
      </c>
      <c r="L73" s="29">
        <v>0.0012047951026521678</v>
      </c>
    </row>
    <row r="74">
      <c r="J74" s="21" t="s">
        <v>81</v>
      </c>
      <c r="K74" s="22"/>
      <c r="L74" s="57">
        <f>AVERAGE(L71:L73)</f>
        <v>0.001205026039</v>
      </c>
    </row>
    <row r="76">
      <c r="J76" s="50" t="s">
        <v>91</v>
      </c>
      <c r="K76" s="4"/>
      <c r="L76" s="51"/>
    </row>
    <row r="77">
      <c r="J77" s="25" t="s">
        <v>32</v>
      </c>
      <c r="K77" s="1" t="s">
        <v>8</v>
      </c>
      <c r="L77" s="14" t="s">
        <v>79</v>
      </c>
    </row>
    <row r="78">
      <c r="J78" s="15">
        <v>1.739</v>
      </c>
      <c r="K78" s="8">
        <v>131.5</v>
      </c>
      <c r="L78" s="10">
        <v>0.0012047951026521678</v>
      </c>
    </row>
    <row r="79">
      <c r="J79" s="15">
        <v>1.285</v>
      </c>
      <c r="K79" s="8">
        <v>131.4</v>
      </c>
      <c r="L79" s="10">
        <v>8.902597509534419E-4</v>
      </c>
    </row>
    <row r="80">
      <c r="J80" s="21">
        <v>1.062</v>
      </c>
      <c r="K80" s="27">
        <v>131.4</v>
      </c>
      <c r="L80" s="29">
        <v>7.357633116829225E-4</v>
      </c>
    </row>
    <row r="81">
      <c r="J81" s="21" t="s">
        <v>81</v>
      </c>
      <c r="K81" s="22"/>
      <c r="L81" s="57">
        <f>AVERAGE(L78:L80)</f>
        <v>0.0009436060551</v>
      </c>
    </row>
  </sheetData>
  <mergeCells count="12">
    <mergeCell ref="D59:D60"/>
    <mergeCell ref="D64:D65"/>
    <mergeCell ref="E64:H64"/>
    <mergeCell ref="J69:L69"/>
    <mergeCell ref="J76:L76"/>
    <mergeCell ref="A1:B1"/>
    <mergeCell ref="A2:D2"/>
    <mergeCell ref="A24:B24"/>
    <mergeCell ref="A25:D25"/>
    <mergeCell ref="J54:L54"/>
    <mergeCell ref="E59:H59"/>
    <mergeCell ref="J61:L61"/>
  </mergeCells>
  <drawing r:id="rId1"/>
</worksheet>
</file>