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4500" tabRatio="500" activeTab="5"/>
  </bookViews>
  <sheets>
    <sheet name="basic_info" sheetId="1" r:id="rId1"/>
    <sheet name="facilities" sheetId="2" r:id="rId2"/>
    <sheet name="raw_materials" sheetId="3" r:id="rId3"/>
    <sheet name="shipping_manufacturing" sheetId="4" r:id="rId4"/>
    <sheet name="pricing" sheetId="5" r:id="rId5"/>
    <sheet name="FCOJ_Calc" sheetId="6" r:id="rId6"/>
  </sheets>
  <externalReferences>
    <externalReference r:id="rId7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9" i="6" l="1"/>
  <c r="P20" i="6"/>
  <c r="P21" i="6"/>
  <c r="P22" i="6"/>
  <c r="P23" i="6"/>
  <c r="P24" i="6"/>
  <c r="P25" i="6"/>
  <c r="P26" i="6"/>
  <c r="P18" i="6"/>
  <c r="D28" i="6"/>
  <c r="E28" i="6"/>
  <c r="F28" i="6"/>
  <c r="G28" i="6"/>
  <c r="H28" i="6"/>
  <c r="I28" i="6"/>
  <c r="J28" i="6"/>
  <c r="K28" i="6"/>
  <c r="L28" i="6"/>
  <c r="M28" i="6"/>
  <c r="N28" i="6"/>
  <c r="C28" i="6"/>
  <c r="P16" i="6"/>
  <c r="C19" i="6"/>
  <c r="D19" i="6"/>
  <c r="E19" i="6"/>
  <c r="F19" i="6"/>
  <c r="G19" i="6"/>
  <c r="H19" i="6"/>
  <c r="I19" i="6"/>
  <c r="J19" i="6"/>
  <c r="K19" i="6"/>
  <c r="L19" i="6"/>
  <c r="M19" i="6"/>
  <c r="N19" i="6"/>
  <c r="C20" i="6"/>
  <c r="D20" i="6"/>
  <c r="E20" i="6"/>
  <c r="F20" i="6"/>
  <c r="G20" i="6"/>
  <c r="H20" i="6"/>
  <c r="I20" i="6"/>
  <c r="J20" i="6"/>
  <c r="K20" i="6"/>
  <c r="L20" i="6"/>
  <c r="M20" i="6"/>
  <c r="N20" i="6"/>
  <c r="C21" i="6"/>
  <c r="D21" i="6"/>
  <c r="E21" i="6"/>
  <c r="F21" i="6"/>
  <c r="G21" i="6"/>
  <c r="H21" i="6"/>
  <c r="I21" i="6"/>
  <c r="J21" i="6"/>
  <c r="K21" i="6"/>
  <c r="L21" i="6"/>
  <c r="M21" i="6"/>
  <c r="N21" i="6"/>
  <c r="C22" i="6"/>
  <c r="D22" i="6"/>
  <c r="E22" i="6"/>
  <c r="F22" i="6"/>
  <c r="G22" i="6"/>
  <c r="H22" i="6"/>
  <c r="I22" i="6"/>
  <c r="J22" i="6"/>
  <c r="K22" i="6"/>
  <c r="L22" i="6"/>
  <c r="M22" i="6"/>
  <c r="N22" i="6"/>
  <c r="C23" i="6"/>
  <c r="D23" i="6"/>
  <c r="E23" i="6"/>
  <c r="F23" i="6"/>
  <c r="G23" i="6"/>
  <c r="H23" i="6"/>
  <c r="I23" i="6"/>
  <c r="J23" i="6"/>
  <c r="K23" i="6"/>
  <c r="L23" i="6"/>
  <c r="M23" i="6"/>
  <c r="N23" i="6"/>
  <c r="C24" i="6"/>
  <c r="D24" i="6"/>
  <c r="E24" i="6"/>
  <c r="F24" i="6"/>
  <c r="G24" i="6"/>
  <c r="H24" i="6"/>
  <c r="I24" i="6"/>
  <c r="J24" i="6"/>
  <c r="K24" i="6"/>
  <c r="L24" i="6"/>
  <c r="M24" i="6"/>
  <c r="N24" i="6"/>
  <c r="C25" i="6"/>
  <c r="D25" i="6"/>
  <c r="E25" i="6"/>
  <c r="F25" i="6"/>
  <c r="G25" i="6"/>
  <c r="H25" i="6"/>
  <c r="I25" i="6"/>
  <c r="J25" i="6"/>
  <c r="K25" i="6"/>
  <c r="L25" i="6"/>
  <c r="M25" i="6"/>
  <c r="N25" i="6"/>
  <c r="C26" i="6"/>
  <c r="D26" i="6"/>
  <c r="E26" i="6"/>
  <c r="F26" i="6"/>
  <c r="G26" i="6"/>
  <c r="H26" i="6"/>
  <c r="I26" i="6"/>
  <c r="J26" i="6"/>
  <c r="K26" i="6"/>
  <c r="L26" i="6"/>
  <c r="M26" i="6"/>
  <c r="N26" i="6"/>
  <c r="D18" i="6"/>
  <c r="E18" i="6"/>
  <c r="F18" i="6"/>
  <c r="G18" i="6"/>
  <c r="H18" i="6"/>
  <c r="I18" i="6"/>
  <c r="J18" i="6"/>
  <c r="K18" i="6"/>
  <c r="L18" i="6"/>
  <c r="M18" i="6"/>
  <c r="N18" i="6"/>
  <c r="C18" i="6"/>
  <c r="D16" i="6"/>
  <c r="E16" i="6"/>
  <c r="F16" i="6"/>
  <c r="G16" i="6"/>
  <c r="H16" i="6"/>
  <c r="I16" i="6"/>
  <c r="J16" i="6"/>
  <c r="K16" i="6"/>
  <c r="L16" i="6"/>
  <c r="M16" i="6"/>
  <c r="N16" i="6"/>
  <c r="C16" i="6"/>
  <c r="B16" i="6"/>
  <c r="C19" i="4"/>
  <c r="D15" i="6"/>
  <c r="E15" i="6"/>
  <c r="F15" i="6"/>
  <c r="G15" i="6"/>
  <c r="H15" i="6"/>
  <c r="I15" i="6"/>
  <c r="J15" i="6"/>
  <c r="K15" i="6"/>
  <c r="L15" i="6"/>
  <c r="M15" i="6"/>
  <c r="N15" i="6"/>
  <c r="C15" i="6"/>
  <c r="B15" i="6"/>
  <c r="C6" i="4"/>
  <c r="D14" i="6"/>
  <c r="E14" i="6"/>
  <c r="F14" i="6"/>
  <c r="G14" i="6"/>
  <c r="H14" i="6"/>
  <c r="I14" i="6"/>
  <c r="J14" i="6"/>
  <c r="K14" i="6"/>
  <c r="L14" i="6"/>
  <c r="M14" i="6"/>
  <c r="N14" i="6"/>
  <c r="C14" i="6"/>
  <c r="N37" i="4"/>
  <c r="M37" i="4"/>
  <c r="L37" i="4"/>
  <c r="H37" i="4"/>
  <c r="G37" i="4"/>
  <c r="D37" i="4"/>
  <c r="N36" i="4"/>
  <c r="M36" i="4"/>
  <c r="G36" i="4"/>
  <c r="F36" i="4"/>
  <c r="E36" i="4"/>
  <c r="C36" i="4"/>
  <c r="E28" i="4"/>
  <c r="E27" i="4"/>
  <c r="D27" i="4" a="1"/>
  <c r="D27" i="4"/>
  <c r="D28" i="4"/>
  <c r="E11" i="4"/>
  <c r="D11" i="4"/>
  <c r="E6" i="4"/>
  <c r="D6" i="4"/>
  <c r="E29" i="4"/>
  <c r="D29" i="4"/>
  <c r="C29" i="4"/>
  <c r="D19" i="4"/>
  <c r="F11" i="4"/>
  <c r="F10" i="4"/>
  <c r="F9" i="4"/>
  <c r="F8" i="4"/>
  <c r="F7" i="4"/>
  <c r="F6" i="4"/>
  <c r="O48" i="3"/>
  <c r="O47" i="3"/>
  <c r="P41" i="3"/>
  <c r="C41" i="3"/>
  <c r="P40" i="3"/>
  <c r="C40" i="3"/>
  <c r="P39" i="3"/>
  <c r="C39" i="3"/>
  <c r="P38" i="3"/>
  <c r="C38" i="3"/>
  <c r="P37" i="3"/>
  <c r="C37" i="3"/>
  <c r="P36" i="3"/>
  <c r="C36" i="3"/>
  <c r="P35" i="3"/>
  <c r="C35" i="3"/>
  <c r="P34" i="3"/>
  <c r="C34" i="3"/>
  <c r="P33" i="3"/>
  <c r="C33" i="3"/>
  <c r="P32" i="3"/>
  <c r="C32" i="3"/>
  <c r="P31" i="3"/>
  <c r="C31" i="3"/>
  <c r="P30" i="3"/>
  <c r="C30" i="3"/>
  <c r="N28" i="3"/>
  <c r="L28" i="3"/>
  <c r="J28" i="3"/>
  <c r="H28" i="3"/>
  <c r="F28" i="3"/>
  <c r="D28" i="3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D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D31" i="2"/>
  <c r="G30" i="2"/>
  <c r="G29" i="2"/>
  <c r="G28" i="2"/>
  <c r="G27" i="2"/>
  <c r="G26" i="2"/>
  <c r="G25" i="2"/>
  <c r="G24" i="2"/>
  <c r="G23" i="2"/>
  <c r="G22" i="2"/>
  <c r="G21" i="2"/>
  <c r="G6" i="2"/>
  <c r="G7" i="2"/>
  <c r="G8" i="2"/>
  <c r="G9" i="2"/>
  <c r="G10" i="2"/>
  <c r="G11" i="2"/>
  <c r="G12" i="2"/>
  <c r="G13" i="2"/>
  <c r="G14" i="2"/>
  <c r="G15" i="2"/>
  <c r="G16" i="2"/>
  <c r="D16" i="2"/>
  <c r="H15" i="2"/>
  <c r="H14" i="2"/>
  <c r="H13" i="2"/>
  <c r="H12" i="2"/>
  <c r="H11" i="2"/>
  <c r="H10" i="2"/>
  <c r="H9" i="2"/>
  <c r="H8" i="2"/>
  <c r="H7" i="2"/>
  <c r="H6" i="2"/>
</calcChain>
</file>

<file path=xl/sharedStrings.xml><?xml version="1.0" encoding="utf-8"?>
<sst xmlns="http://schemas.openxmlformats.org/spreadsheetml/2006/main" count="521" uniqueCount="168">
  <si>
    <t>Basic Information</t>
  </si>
  <si>
    <t>Company Name</t>
  </si>
  <si>
    <t>MomPop</t>
  </si>
  <si>
    <t>Year</t>
  </si>
  <si>
    <t>Facilities</t>
  </si>
  <si>
    <t>Plants(tons)</t>
  </si>
  <si>
    <t>Location</t>
  </si>
  <si>
    <t>Buy/Sell capacity</t>
  </si>
  <si>
    <t>This year</t>
  </si>
  <si>
    <t>Next year</t>
  </si>
  <si>
    <t>P01</t>
  </si>
  <si>
    <t/>
  </si>
  <si>
    <t xml:space="preserve"> -&gt;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</si>
  <si>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</si>
  <si>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</si>
  <si>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</si>
  <si>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</si>
  <si>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</si>
  <si>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</si>
  <si>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</si>
  <si>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</si>
  <si>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</si>
  <si>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Plants</t>
  </si>
  <si>
    <t>TankCars(unit of cars)</t>
  </si>
  <si>
    <t>Buy/Sell tankcars</t>
  </si>
  <si>
    <t>TankCars</t>
  </si>
  <si>
    <t>Storages(tons)</t>
  </si>
  <si>
    <t>S01</t>
  </si>
  <si>
    <t>S13</t>
  </si>
  <si>
    <t>S14</t>
  </si>
  <si>
    <t>S15</t>
  </si>
  <si>
    <t>S21</t>
  </si>
  <si>
    <t>S22</t>
  </si>
  <si>
    <t>S23</t>
  </si>
  <si>
    <t>S24</t>
  </si>
  <si>
    <t>S25</t>
  </si>
  <si>
    <t>S26</t>
  </si>
  <si>
    <t>S27</t>
  </si>
  <si>
    <t>S31</t>
  </si>
  <si>
    <t>S32</t>
  </si>
  <si>
    <t>S33</t>
  </si>
  <si>
    <t>S34</t>
  </si>
  <si>
    <t>S35</t>
  </si>
  <si>
    <t>S36</t>
  </si>
  <si>
    <t>S37</t>
  </si>
  <si>
    <t>S38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</si>
  <si>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</si>
  <si>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</si>
  <si>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</si>
  <si>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</si>
  <si>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</si>
  <si>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</si>
  <si>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</si>
  <si>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</si>
  <si>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</si>
  <si>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</si>
  <si>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</si>
  <si>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</si>
  <si>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</si>
  <si>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</si>
  <si>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</si>
  <si>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</si>
  <si>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</si>
  <si>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</si>
  <si>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</si>
  <si>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</si>
  <si>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</si>
  <si>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</si>
  <si>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</si>
  <si>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</si>
  <si>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</si>
  <si>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</si>
  <si>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</si>
  <si>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</si>
  <si>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</si>
  <si>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</si>
  <si>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</si>
  <si>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S72</t>
  </si>
  <si>
    <t>S73</t>
  </si>
  <si>
    <t>S74</t>
  </si>
  <si>
    <t>S75</t>
  </si>
  <si>
    <t>S76</t>
  </si>
  <si>
    <t>S77</t>
  </si>
  <si>
    <t>S78</t>
  </si>
  <si>
    <t>S79</t>
  </si>
  <si>
    <t>S83</t>
  </si>
  <si>
    <t>S84</t>
  </si>
  <si>
    <t>S85</t>
  </si>
  <si>
    <t>S86</t>
  </si>
  <si>
    <t>S87</t>
  </si>
  <si>
    <t>S88</t>
  </si>
  <si>
    <t>S89</t>
  </si>
  <si>
    <t>S94</t>
  </si>
  <si>
    <t>S95</t>
  </si>
  <si>
    <t>S96</t>
  </si>
  <si>
    <t>S97</t>
  </si>
  <si>
    <t>S98</t>
  </si>
  <si>
    <t>S99</t>
  </si>
  <si>
    <t>Storages</t>
  </si>
  <si>
    <t>Raw Materials</t>
  </si>
  <si>
    <r>
      <t xml:space="preserve">Purchases at the Spot Market(tons per </t>
    </r>
    <r>
      <rPr>
        <b/>
        <i/>
        <sz val="10"/>
        <rFont val="Arial"/>
        <family val="2"/>
      </rPr>
      <t>week</t>
    </r>
    <r>
      <rPr>
        <i/>
        <sz val="10"/>
        <rFont val="Arial"/>
        <family val="2"/>
      </rPr>
      <t xml:space="preserve"> in a month) (ORA)</t>
    </r>
  </si>
  <si>
    <t>Grove:Month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</si>
  <si>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</si>
  <si>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</si>
  <si>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</si>
  <si>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</si>
  <si>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</si>
  <si>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</si>
  <si>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</si>
  <si>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</si>
  <si>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</si>
  <si>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</si>
  <si>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</si>
  <si>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</si>
  <si>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FLA</t>
  </si>
  <si>
    <t>CAL</t>
  </si>
  <si>
    <t>TEX</t>
  </si>
  <si>
    <t>ARZ</t>
  </si>
  <si>
    <t>BRA</t>
  </si>
  <si>
    <t>SPA</t>
  </si>
  <si>
    <t>Quantity Multipliers(unit, $/lb)</t>
  </si>
  <si>
    <t>Grove:Multiplier</t>
  </si>
  <si>
    <t>Multiplier</t>
  </si>
  <si>
    <t>Price 1</t>
  </si>
  <si>
    <t>Price 2</t>
  </si>
  <si>
    <t>Price 3</t>
  </si>
  <si>
    <t xml:space="preserve"> </t>
  </si>
  <si>
    <t>Purchases at the Futures Market(tons) (ORA and FCOJ)</t>
  </si>
  <si>
    <t>Type</t>
  </si>
  <si>
    <t>Maturity</t>
  </si>
  <si>
    <t>Price</t>
  </si>
  <si>
    <t>Quantity</t>
  </si>
  <si>
    <t>Sum</t>
  </si>
  <si>
    <t>ORA Contracts</t>
  </si>
  <si>
    <t>Matured Amount:</t>
  </si>
  <si>
    <t>FCOJ Contracts</t>
  </si>
  <si>
    <t>Arrival of matured ORA Futures and FCOJ Futures(%)</t>
  </si>
  <si>
    <t>Type:Month</t>
  </si>
  <si>
    <t>Shipping</t>
  </si>
  <si>
    <t>Ship ORA from Groves to Plants or Storages(%)</t>
  </si>
  <si>
    <t>From:To</t>
  </si>
  <si>
    <r>
      <t xml:space="preserve">FLA </t>
    </r>
    <r>
      <rPr>
        <i/>
        <sz val="10"/>
        <rFont val="Arial"/>
        <family val="2"/>
      </rPr>
      <t>(spot &amp; futures)</t>
    </r>
  </si>
  <si>
    <t>Manufacturing</t>
  </si>
  <si>
    <t>Process ORA into POJ or FCOJ(%)</t>
  </si>
  <si>
    <t>Plant</t>
  </si>
  <si>
    <t>Product</t>
  </si>
  <si>
    <t>POJ</t>
  </si>
  <si>
    <t>FCOJ</t>
  </si>
  <si>
    <t>Proportion</t>
  </si>
  <si>
    <t>Ship FCOJ (futures) from FLA to Storages; Ship POJ, FCOJ from Plants to Storages(%)</t>
  </si>
  <si>
    <t>From</t>
  </si>
  <si>
    <t>Futures</t>
  </si>
  <si>
    <t>Reconstitution</t>
  </si>
  <si>
    <t>Reconstitute FCOJ into ROJ at Storages(%)</t>
  </si>
  <si>
    <t>Storage:Month</t>
  </si>
  <si>
    <t>Pricing</t>
  </si>
  <si>
    <t>Pricing for each product in each region($/lb)</t>
  </si>
  <si>
    <t>ORA</t>
  </si>
  <si>
    <t>Region:Month</t>
  </si>
  <si>
    <t>NE</t>
  </si>
  <si>
    <t>MA</t>
  </si>
  <si>
    <t>SE</t>
  </si>
  <si>
    <t>MW</t>
  </si>
  <si>
    <t>DS</t>
  </si>
  <si>
    <t>NW</t>
  </si>
  <si>
    <t>SW</t>
  </si>
  <si>
    <t>ROJ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</si>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</sst>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</borders>
  <cellStyleXfs count="1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 applyAlignment="1">
      <alignment horizontal="right"/>
    </xf>
    <xf numFmtId="0" fontId="0" fillId="3" borderId="4" xfId="0" applyFill="1" applyBorder="1"/>
    <xf numFmtId="0" fontId="0" fillId="3" borderId="5" xfId="0" applyFill="1" applyBorder="1" applyAlignment="1">
      <alignment horizontal="right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3" borderId="7" xfId="0" applyFill="1" applyBorder="1" applyAlignment="1"/>
    <xf numFmtId="0" fontId="0" fillId="3" borderId="8" xfId="0" applyFill="1" applyBorder="1" applyAlignment="1"/>
    <xf numFmtId="0" fontId="0" fillId="0" borderId="7" xfId="0" applyFill="1" applyBorder="1" applyAlignment="1" applyProtection="1">
      <protection locked="0"/>
    </xf>
    <xf numFmtId="0" fontId="0" fillId="3" borderId="0" xfId="0" applyFill="1" applyBorder="1" applyAlignment="1"/>
    <xf numFmtId="0" fontId="0" fillId="3" borderId="2" xfId="0" applyFill="1" applyBorder="1" applyAlignment="1"/>
    <xf numFmtId="0" fontId="0" fillId="3" borderId="9" xfId="0" applyFill="1" applyBorder="1" applyAlignment="1"/>
    <xf numFmtId="0" fontId="0" fillId="3" borderId="4" xfId="0" applyFill="1" applyBorder="1" applyAlignment="1"/>
    <xf numFmtId="0" fontId="0" fillId="3" borderId="6" xfId="0" applyFill="1" applyBorder="1" applyAlignment="1"/>
    <xf numFmtId="0" fontId="0" fillId="3" borderId="5" xfId="0" applyFill="1" applyBorder="1" applyAlignment="1"/>
    <xf numFmtId="0" fontId="0" fillId="2" borderId="3" xfId="0" applyFill="1" applyBorder="1" applyAlignment="1"/>
    <xf numFmtId="0" fontId="3" fillId="2" borderId="0" xfId="0" applyFont="1" applyFill="1" applyBorder="1" applyAlignment="1"/>
    <xf numFmtId="0" fontId="0" fillId="0" borderId="7" xfId="0" applyBorder="1" applyAlignment="1" applyProtection="1">
      <protection locked="0"/>
    </xf>
    <xf numFmtId="0" fontId="0" fillId="2" borderId="0" xfId="0" applyFill="1" applyBorder="1" applyAlignment="1"/>
    <xf numFmtId="0" fontId="0" fillId="3" borderId="10" xfId="0" applyFill="1" applyBorder="1" applyAlignment="1"/>
    <xf numFmtId="0" fontId="0" fillId="3" borderId="11" xfId="0" applyFill="1" applyBorder="1" applyAlignment="1"/>
    <xf numFmtId="0" fontId="0" fillId="3" borderId="1" xfId="0" applyFill="1" applyBorder="1" applyAlignment="1"/>
    <xf numFmtId="0" fontId="0" fillId="3" borderId="3" xfId="0" applyFill="1" applyBorder="1" applyAlignment="1"/>
    <xf numFmtId="0" fontId="0" fillId="3" borderId="12" xfId="0" applyFill="1" applyBorder="1" applyAlignment="1"/>
    <xf numFmtId="0" fontId="3" fillId="2" borderId="0" xfId="0" applyFont="1" applyFill="1" applyAlignment="1"/>
    <xf numFmtId="0" fontId="0" fillId="0" borderId="0" xfId="0" applyNumberFormat="1" applyAlignment="1"/>
    <xf numFmtId="0" fontId="1" fillId="0" borderId="0" xfId="0" applyNumberFormat="1" applyFon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0" fillId="2" borderId="0" xfId="0" applyNumberFormat="1" applyFill="1" applyAlignment="1"/>
    <xf numFmtId="0" fontId="0" fillId="3" borderId="7" xfId="0" applyNumberFormat="1" applyFill="1" applyBorder="1" applyAlignment="1"/>
    <xf numFmtId="0" fontId="0" fillId="3" borderId="13" xfId="0" applyNumberFormat="1" applyFill="1" applyBorder="1" applyAlignment="1"/>
    <xf numFmtId="0" fontId="0" fillId="3" borderId="14" xfId="0" applyNumberFormat="1" applyFill="1" applyBorder="1" applyAlignment="1"/>
    <xf numFmtId="0" fontId="0" fillId="3" borderId="12" xfId="0" applyNumberFormat="1" applyFill="1" applyBorder="1" applyAlignment="1"/>
    <xf numFmtId="0" fontId="0" fillId="0" borderId="5" xfId="0" applyNumberFormat="1" applyFill="1" applyBorder="1" applyAlignment="1" applyProtection="1">
      <protection locked="0"/>
    </xf>
    <xf numFmtId="0" fontId="0" fillId="0" borderId="15" xfId="0" applyNumberFormat="1" applyFill="1" applyBorder="1" applyAlignment="1" applyProtection="1">
      <protection locked="0"/>
    </xf>
    <xf numFmtId="0" fontId="0" fillId="0" borderId="14" xfId="0" applyNumberFormat="1" applyFill="1" applyBorder="1" applyAlignment="1" applyProtection="1">
      <protection locked="0"/>
    </xf>
    <xf numFmtId="0" fontId="0" fillId="0" borderId="7" xfId="0" applyNumberFormat="1" applyFill="1" applyBorder="1" applyAlignment="1" applyProtection="1">
      <protection locked="0"/>
    </xf>
    <xf numFmtId="0" fontId="0" fillId="3" borderId="15" xfId="0" applyNumberFormat="1" applyFill="1" applyBorder="1" applyAlignment="1"/>
    <xf numFmtId="0" fontId="0" fillId="2" borderId="4" xfId="0" applyNumberFormat="1" applyFill="1" applyBorder="1" applyAlignment="1"/>
    <xf numFmtId="0" fontId="0" fillId="2" borderId="6" xfId="0" applyNumberFormat="1" applyFill="1" applyBorder="1" applyAlignment="1"/>
    <xf numFmtId="0" fontId="0" fillId="2" borderId="5" xfId="0" applyNumberFormat="1" applyFill="1" applyBorder="1" applyAlignment="1"/>
    <xf numFmtId="0" fontId="0" fillId="2" borderId="0" xfId="0" applyNumberFormat="1" applyFill="1" applyBorder="1" applyAlignment="1"/>
    <xf numFmtId="0" fontId="0" fillId="3" borderId="10" xfId="0" applyNumberFormat="1" applyFill="1" applyBorder="1" applyAlignment="1"/>
    <xf numFmtId="0" fontId="5" fillId="0" borderId="15" xfId="0" applyNumberFormat="1" applyFont="1" applyFill="1" applyBorder="1" applyAlignment="1" applyProtection="1">
      <protection locked="0"/>
    </xf>
    <xf numFmtId="0" fontId="5" fillId="0" borderId="7" xfId="0" applyNumberFormat="1" applyFont="1" applyFill="1" applyBorder="1" applyAlignment="1" applyProtection="1">
      <protection locked="0"/>
    </xf>
    <xf numFmtId="0" fontId="0" fillId="0" borderId="0" xfId="0" applyNumberFormat="1" applyFill="1" applyAlignment="1"/>
    <xf numFmtId="0" fontId="0" fillId="0" borderId="0" xfId="0" applyNumberFormat="1" applyFill="1" applyBorder="1" applyAlignment="1"/>
    <xf numFmtId="0" fontId="0" fillId="2" borderId="3" xfId="0" applyNumberFormat="1" applyFill="1" applyBorder="1" applyAlignment="1"/>
    <xf numFmtId="0" fontId="5" fillId="2" borderId="3" xfId="0" applyNumberFormat="1" applyFont="1" applyFill="1" applyBorder="1" applyAlignment="1"/>
    <xf numFmtId="0" fontId="0" fillId="3" borderId="0" xfId="0" applyNumberFormat="1" applyFill="1" applyBorder="1" applyAlignment="1"/>
    <xf numFmtId="0" fontId="0" fillId="3" borderId="11" xfId="0" applyNumberFormat="1" applyFill="1" applyBorder="1" applyAlignment="1"/>
    <xf numFmtId="0" fontId="0" fillId="3" borderId="8" xfId="0" applyNumberFormat="1" applyFill="1" applyBorder="1" applyAlignment="1"/>
    <xf numFmtId="0" fontId="0" fillId="3" borderId="9" xfId="0" applyNumberFormat="1" applyFill="1" applyBorder="1" applyAlignment="1"/>
    <xf numFmtId="0" fontId="0" fillId="0" borderId="8" xfId="0" applyNumberFormat="1" applyBorder="1" applyAlignment="1"/>
    <xf numFmtId="0" fontId="0" fillId="0" borderId="9" xfId="0" applyNumberFormat="1" applyBorder="1" applyAlignment="1">
      <alignment horizontal="right"/>
    </xf>
    <xf numFmtId="0" fontId="0" fillId="4" borderId="8" xfId="0" applyNumberFormat="1" applyFill="1" applyBorder="1" applyAlignment="1"/>
    <xf numFmtId="0" fontId="0" fillId="4" borderId="0" xfId="0" applyNumberFormat="1" applyFill="1" applyBorder="1" applyAlignment="1"/>
    <xf numFmtId="0" fontId="0" fillId="3" borderId="16" xfId="0" applyNumberFormat="1" applyFill="1" applyBorder="1" applyAlignment="1"/>
    <xf numFmtId="0" fontId="0" fillId="3" borderId="17" xfId="0" applyNumberFormat="1" applyFill="1" applyBorder="1" applyAlignment="1"/>
    <xf numFmtId="0" fontId="0" fillId="3" borderId="18" xfId="0" applyNumberFormat="1" applyFill="1" applyBorder="1" applyAlignment="1"/>
    <xf numFmtId="0" fontId="0" fillId="3" borderId="19" xfId="0" applyNumberFormat="1" applyFill="1" applyBorder="1" applyAlignment="1"/>
    <xf numFmtId="0" fontId="0" fillId="3" borderId="20" xfId="0" applyNumberFormat="1" applyFill="1" applyBorder="1" applyAlignment="1"/>
    <xf numFmtId="0" fontId="0" fillId="3" borderId="4" xfId="0" applyNumberFormat="1" applyFill="1" applyBorder="1" applyAlignment="1"/>
    <xf numFmtId="0" fontId="0" fillId="4" borderId="4" xfId="0" applyNumberFormat="1" applyFill="1" applyBorder="1" applyAlignment="1"/>
    <xf numFmtId="0" fontId="0" fillId="4" borderId="6" xfId="0" applyNumberFormat="1" applyFill="1" applyBorder="1" applyAlignment="1"/>
    <xf numFmtId="0" fontId="0" fillId="0" borderId="6" xfId="0" applyNumberFormat="1" applyBorder="1" applyAlignment="1"/>
    <xf numFmtId="0" fontId="0" fillId="0" borderId="5" xfId="0" applyNumberFormat="1" applyBorder="1" applyAlignment="1"/>
    <xf numFmtId="0" fontId="0" fillId="3" borderId="21" xfId="0" applyNumberFormat="1" applyFill="1" applyBorder="1" applyAlignment="1"/>
    <xf numFmtId="0" fontId="0" fillId="3" borderId="22" xfId="0" applyNumberFormat="1" applyFill="1" applyBorder="1" applyAlignment="1"/>
    <xf numFmtId="0" fontId="0" fillId="3" borderId="23" xfId="0" applyNumberFormat="1" applyFill="1" applyBorder="1" applyAlignment="1"/>
    <xf numFmtId="0" fontId="0" fillId="3" borderId="24" xfId="0" applyNumberFormat="1" applyFill="1" applyBorder="1" applyAlignment="1"/>
    <xf numFmtId="0" fontId="0" fillId="3" borderId="25" xfId="0" applyNumberFormat="1" applyFill="1" applyBorder="1" applyAlignment="1"/>
    <xf numFmtId="0" fontId="0" fillId="3" borderId="26" xfId="0" applyNumberFormat="1" applyFill="1" applyBorder="1" applyAlignment="1"/>
    <xf numFmtId="0" fontId="0" fillId="0" borderId="25" xfId="0" applyNumberFormat="1" applyBorder="1" applyAlignment="1"/>
    <xf numFmtId="0" fontId="0" fillId="0" borderId="7" xfId="0" applyNumberFormat="1" applyBorder="1" applyAlignment="1" applyProtection="1">
      <protection locked="0"/>
    </xf>
    <xf numFmtId="0" fontId="2" fillId="2" borderId="0" xfId="0" applyNumberFormat="1" applyFont="1" applyFill="1" applyBorder="1" applyAlignment="1"/>
    <xf numFmtId="0" fontId="0" fillId="0" borderId="1" xfId="0" applyNumberFormat="1" applyFill="1" applyBorder="1" applyAlignment="1" applyProtection="1">
      <protection locked="0"/>
    </xf>
    <xf numFmtId="0" fontId="0" fillId="3" borderId="10" xfId="0" applyNumberFormat="1" applyFill="1" applyBorder="1" applyAlignment="1" applyProtection="1"/>
    <xf numFmtId="0" fontId="0" fillId="0" borderId="11" xfId="0" applyNumberFormat="1" applyFill="1" applyBorder="1" applyAlignment="1" applyProtection="1">
      <protection locked="0"/>
    </xf>
    <xf numFmtId="0" fontId="0" fillId="3" borderId="7" xfId="0" applyNumberFormat="1" applyFill="1" applyBorder="1" applyAlignment="1" applyProtection="1"/>
    <xf numFmtId="0" fontId="1" fillId="0" borderId="0" xfId="0" applyNumberFormat="1" applyFont="1" applyFill="1" applyBorder="1" applyAlignment="1"/>
    <xf numFmtId="0" fontId="2" fillId="0" borderId="0" xfId="0" applyNumberFormat="1" applyFont="1" applyFill="1" applyAlignment="1"/>
    <xf numFmtId="0" fontId="1" fillId="2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10" xfId="0" applyNumberFormat="1" applyFill="1" applyBorder="1" applyAlignment="1" applyProtection="1">
      <protection locked="0"/>
    </xf>
    <xf numFmtId="0" fontId="0" fillId="3" borderId="11" xfId="0" applyNumberFormat="1" applyFill="1" applyBorder="1" applyAlignment="1" applyProtection="1"/>
    <xf numFmtId="0" fontId="5" fillId="0" borderId="0" xfId="0" applyNumberFormat="1" applyFont="1" applyFill="1" applyAlignment="1"/>
    <xf numFmtId="0" fontId="1" fillId="2" borderId="0" xfId="0" applyNumberFormat="1" applyFont="1" applyFill="1" applyAlignment="1"/>
    <xf numFmtId="0" fontId="2" fillId="0" borderId="0" xfId="0" applyNumberFormat="1" applyFont="1" applyAlignment="1">
      <alignment horizontal="right"/>
    </xf>
    <xf numFmtId="0" fontId="3" fillId="3" borderId="7" xfId="0" applyNumberFormat="1" applyFont="1" applyFill="1" applyBorder="1" applyAlignment="1"/>
    <xf numFmtId="0" fontId="8" fillId="0" borderId="1" xfId="0" applyFont="1" applyBorder="1" applyProtection="1">
      <protection locked="0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mPop/Decisions/MomPop2016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asic_info"/>
      <sheetName val="facilities"/>
      <sheetName val="raw_materials"/>
      <sheetName val="shipping_manufacturing"/>
      <sheetName val="pricing"/>
    </sheetNames>
    <sheetDataSet>
      <sheetData sheetId="0">
        <row r="5">
          <cell r="D5">
            <v>2016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sqref="A1:G8"/>
    </sheetView>
  </sheetViews>
  <sheetFormatPr baseColWidth="10" defaultRowHeight="15" x14ac:dyDescent="0"/>
  <sheetData>
    <row r="2" spans="2:6">
      <c r="B2" s="1" t="s">
        <v>0</v>
      </c>
    </row>
    <row r="3" spans="2:6">
      <c r="B3" s="2"/>
      <c r="C3" s="3"/>
      <c r="D3" s="3"/>
      <c r="E3" s="3"/>
      <c r="F3" s="3"/>
    </row>
    <row r="4" spans="2:6">
      <c r="B4" s="4"/>
      <c r="C4" s="5" t="s">
        <v>1</v>
      </c>
      <c r="D4" s="99" t="s">
        <v>2</v>
      </c>
      <c r="E4" s="100"/>
      <c r="F4" s="101"/>
    </row>
    <row r="5" spans="2:6">
      <c r="B5" s="6"/>
      <c r="C5" s="7" t="s">
        <v>3</v>
      </c>
      <c r="D5" s="102">
        <v>2016</v>
      </c>
      <c r="E5" s="103"/>
      <c r="F5" s="104"/>
    </row>
    <row r="6" spans="2:6">
      <c r="B6" s="3"/>
      <c r="C6" s="3"/>
      <c r="D6" s="3"/>
      <c r="E6" s="3"/>
      <c r="F6" s="3"/>
    </row>
  </sheetData>
  <mergeCells count="2">
    <mergeCell ref="D4:F4"/>
    <mergeCell ref="D5:F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opLeftCell="A33" workbookViewId="0">
      <selection sqref="A1:J146"/>
    </sheetView>
  </sheetViews>
  <sheetFormatPr baseColWidth="10" defaultRowHeight="15" x14ac:dyDescent="0"/>
  <sheetData>
    <row r="1" spans="1:10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>
      <c r="A2" s="8"/>
      <c r="B2" s="9" t="s">
        <v>4</v>
      </c>
      <c r="C2" s="8"/>
      <c r="D2" s="8"/>
      <c r="E2" s="8"/>
      <c r="F2" s="8"/>
      <c r="G2" s="8"/>
      <c r="H2" s="8"/>
      <c r="I2" s="8"/>
      <c r="J2" s="8"/>
    </row>
    <row r="3" spans="1:10">
      <c r="A3" s="8"/>
      <c r="B3" s="10" t="s">
        <v>5</v>
      </c>
      <c r="C3" s="8"/>
      <c r="D3" s="8"/>
      <c r="E3" s="8"/>
      <c r="F3" s="8"/>
      <c r="G3" s="8"/>
      <c r="H3" s="8"/>
      <c r="I3" s="8"/>
      <c r="J3" s="8"/>
    </row>
    <row r="4" spans="1:10">
      <c r="A4" s="8"/>
      <c r="B4" s="11"/>
      <c r="C4" s="12"/>
      <c r="D4" s="12"/>
      <c r="E4" s="12"/>
      <c r="F4" s="12"/>
      <c r="G4" s="12"/>
      <c r="H4" s="12"/>
      <c r="I4" s="8"/>
      <c r="J4" s="8"/>
    </row>
    <row r="5" spans="1:10">
      <c r="A5" s="8"/>
      <c r="B5" s="13" t="s">
        <v>6</v>
      </c>
      <c r="C5" s="13" t="s">
        <v>7</v>
      </c>
      <c r="D5" s="13" t="s">
        <v>8</v>
      </c>
      <c r="E5" s="13"/>
      <c r="F5" s="13"/>
      <c r="G5" s="13" t="s">
        <v>9</v>
      </c>
      <c r="H5" s="13"/>
      <c r="I5" s="8"/>
      <c r="J5" s="8"/>
    </row>
    <row r="6" spans="1:10">
      <c r="A6" s="8"/>
      <c r="B6" s="14" t="s">
        <v>10</v>
      </c>
      <c r="C6" s="15"/>
      <c r="D6" s="16">
        <v>0</v>
      </c>
      <c r="E6" s="16" t="s">
        <v>11</v>
      </c>
      <c r="F6" s="16" t="s">
        <v>12</v>
      </c>
      <c r="G6" s="16">
        <f t="shared" ref="G6:G15" si="0">$D6+$C6</f>
        <v>0</v>
      </c>
      <c r="H6" s="17" t="str">
        <f t="shared" ref="H6:H15" si="1">IF(AND($D6=0, $G6&gt;0),"new", IF(AND($D6&gt;0, $G6=0),"sold",""))</f>
        <v/>
      </c>
      <c r="I6" s="8"/>
      <c r="J6" s="8"/>
    </row>
    <row r="7" spans="1:10">
      <c r="A7" s="8"/>
      <c r="B7" s="14" t="s">
        <v>13</v>
      </c>
      <c r="C7" s="15"/>
      <c r="D7" s="16">
        <v>0</v>
      </c>
      <c r="E7" s="16" t="s">
        <v>11</v>
      </c>
      <c r="F7" s="16" t="s">
        <v>12</v>
      </c>
      <c r="G7" s="16">
        <f t="shared" si="0"/>
        <v>0</v>
      </c>
      <c r="H7" s="18" t="str">
        <f t="shared" si="1"/>
        <v/>
      </c>
      <c r="I7" s="8"/>
      <c r="J7" s="8"/>
    </row>
    <row r="8" spans="1:10">
      <c r="A8" s="8"/>
      <c r="B8" s="14" t="s">
        <v>14</v>
      </c>
      <c r="C8" s="15"/>
      <c r="D8" s="16">
        <v>0</v>
      </c>
      <c r="E8" s="16" t="s">
        <v>11</v>
      </c>
      <c r="F8" s="16" t="s">
        <v>12</v>
      </c>
      <c r="G8" s="16">
        <f t="shared" si="0"/>
        <v>0</v>
      </c>
      <c r="H8" s="18" t="str">
        <f t="shared" si="1"/>
        <v/>
      </c>
      <c r="I8" s="8"/>
      <c r="J8" s="8"/>
    </row>
    <row r="9" spans="1:10">
      <c r="A9" s="8"/>
      <c r="B9" s="14" t="s">
        <v>15</v>
      </c>
      <c r="C9" s="15"/>
      <c r="D9" s="16">
        <v>0</v>
      </c>
      <c r="E9" s="16" t="s">
        <v>11</v>
      </c>
      <c r="F9" s="16" t="s">
        <v>12</v>
      </c>
      <c r="G9" s="16">
        <f t="shared" si="0"/>
        <v>0</v>
      </c>
      <c r="H9" s="18" t="str">
        <f t="shared" si="1"/>
        <v/>
      </c>
      <c r="I9" s="8"/>
      <c r="J9" s="8"/>
    </row>
    <row r="10" spans="1:10">
      <c r="A10" s="8"/>
      <c r="B10" s="14" t="s">
        <v>16</v>
      </c>
      <c r="C10" s="15"/>
      <c r="D10" s="16">
        <v>0</v>
      </c>
      <c r="E10" s="16" t="s">
        <v>11</v>
      </c>
      <c r="F10" s="16" t="s">
        <v>12</v>
      </c>
      <c r="G10" s="16">
        <f t="shared" si="0"/>
        <v>0</v>
      </c>
      <c r="H10" s="18" t="str">
        <f t="shared" si="1"/>
        <v/>
      </c>
      <c r="I10" s="8"/>
      <c r="J10" s="8"/>
    </row>
    <row r="11" spans="1:10">
      <c r="A11" s="8"/>
      <c r="B11" s="14" t="s">
        <v>17</v>
      </c>
      <c r="C11" s="15"/>
      <c r="D11" s="16">
        <v>0</v>
      </c>
      <c r="E11" s="16" t="s">
        <v>11</v>
      </c>
      <c r="F11" s="16" t="s">
        <v>12</v>
      </c>
      <c r="G11" s="16">
        <f t="shared" si="0"/>
        <v>0</v>
      </c>
      <c r="H11" s="18" t="str">
        <f t="shared" si="1"/>
        <v/>
      </c>
      <c r="I11" s="8"/>
      <c r="J11" s="8"/>
    </row>
    <row r="12" spans="1:10">
      <c r="A12" s="8"/>
      <c r="B12" s="14" t="s">
        <v>18</v>
      </c>
      <c r="C12" s="15"/>
      <c r="D12" s="16">
        <v>3748</v>
      </c>
      <c r="E12" s="16" t="s">
        <v>11</v>
      </c>
      <c r="F12" s="16" t="s">
        <v>12</v>
      </c>
      <c r="G12" s="16">
        <f t="shared" si="0"/>
        <v>3748</v>
      </c>
      <c r="H12" s="18" t="str">
        <f t="shared" si="1"/>
        <v/>
      </c>
      <c r="I12" s="8"/>
      <c r="J12" s="8"/>
    </row>
    <row r="13" spans="1:10">
      <c r="A13" s="8"/>
      <c r="B13" s="14" t="s">
        <v>19</v>
      </c>
      <c r="C13" s="15"/>
      <c r="D13" s="16">
        <v>0</v>
      </c>
      <c r="E13" s="16" t="s">
        <v>11</v>
      </c>
      <c r="F13" s="16" t="s">
        <v>12</v>
      </c>
      <c r="G13" s="16">
        <f t="shared" si="0"/>
        <v>0</v>
      </c>
      <c r="H13" s="18" t="str">
        <f t="shared" si="1"/>
        <v/>
      </c>
      <c r="I13" s="8"/>
      <c r="J13" s="8"/>
    </row>
    <row r="14" spans="1:10">
      <c r="A14" s="8"/>
      <c r="B14" s="14" t="s">
        <v>20</v>
      </c>
      <c r="C14" s="15"/>
      <c r="D14" s="16">
        <v>0</v>
      </c>
      <c r="E14" s="16" t="s">
        <v>11</v>
      </c>
      <c r="F14" s="16" t="s">
        <v>12</v>
      </c>
      <c r="G14" s="16">
        <f t="shared" si="0"/>
        <v>0</v>
      </c>
      <c r="H14" s="18" t="str">
        <f t="shared" si="1"/>
        <v/>
      </c>
      <c r="I14" s="8"/>
      <c r="J14" s="8"/>
    </row>
    <row r="15" spans="1:10">
      <c r="A15" s="8"/>
      <c r="B15" s="19" t="s">
        <v>21</v>
      </c>
      <c r="C15" s="15"/>
      <c r="D15" s="16">
        <v>0</v>
      </c>
      <c r="E15" s="16" t="s">
        <v>11</v>
      </c>
      <c r="F15" s="20" t="s">
        <v>12</v>
      </c>
      <c r="G15" s="16">
        <f t="shared" si="0"/>
        <v>0</v>
      </c>
      <c r="H15" s="21" t="str">
        <f t="shared" si="1"/>
        <v/>
      </c>
      <c r="I15" s="8"/>
      <c r="J15" s="8"/>
    </row>
    <row r="16" spans="1:10">
      <c r="A16" s="8"/>
      <c r="B16" s="22"/>
      <c r="C16" s="22"/>
      <c r="D16" s="22">
        <f>COUNTIF($D$6:$D$15,"&gt;0")</f>
        <v>1</v>
      </c>
      <c r="E16" s="22" t="s">
        <v>22</v>
      </c>
      <c r="F16" s="12"/>
      <c r="G16" s="22">
        <f>COUNTIF(G6:G15,"&gt;0")</f>
        <v>1</v>
      </c>
      <c r="H16" s="23" t="s">
        <v>22</v>
      </c>
      <c r="I16" s="8"/>
      <c r="J16" s="8"/>
    </row>
    <row r="17" spans="1:10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>
      <c r="A18" s="8"/>
      <c r="B18" s="10" t="s">
        <v>23</v>
      </c>
      <c r="C18" s="8"/>
      <c r="D18" s="8"/>
      <c r="E18" s="8"/>
      <c r="F18" s="8"/>
      <c r="G18" s="8"/>
      <c r="H18" s="8"/>
      <c r="I18" s="8"/>
      <c r="J18" s="8"/>
    </row>
    <row r="19" spans="1:10">
      <c r="A19" s="8"/>
      <c r="B19" s="11"/>
      <c r="C19" s="12"/>
      <c r="D19" s="12"/>
      <c r="E19" s="12"/>
      <c r="F19" s="12"/>
      <c r="G19" s="12"/>
      <c r="H19" s="12"/>
      <c r="I19" s="8"/>
      <c r="J19" s="8"/>
    </row>
    <row r="20" spans="1:10">
      <c r="A20" s="8"/>
      <c r="B20" s="13" t="s">
        <v>6</v>
      </c>
      <c r="C20" s="13" t="s">
        <v>24</v>
      </c>
      <c r="D20" s="13" t="s">
        <v>8</v>
      </c>
      <c r="E20" s="13"/>
      <c r="F20" s="13"/>
      <c r="G20" s="13" t="s">
        <v>9</v>
      </c>
      <c r="H20" s="13"/>
      <c r="I20" s="8"/>
      <c r="J20" s="8"/>
    </row>
    <row r="21" spans="1:10">
      <c r="A21" s="8"/>
      <c r="B21" s="14" t="s">
        <v>10</v>
      </c>
      <c r="C21" s="24"/>
      <c r="D21" s="16">
        <v>0</v>
      </c>
      <c r="E21" s="16"/>
      <c r="F21" s="16" t="s">
        <v>12</v>
      </c>
      <c r="G21" s="16">
        <f t="shared" ref="G21:G30" si="2">$D21+$C21</f>
        <v>0</v>
      </c>
      <c r="H21" s="18"/>
      <c r="I21" s="8"/>
      <c r="J21" s="8"/>
    </row>
    <row r="22" spans="1:10">
      <c r="A22" s="8"/>
      <c r="B22" s="14" t="s">
        <v>13</v>
      </c>
      <c r="C22" s="24"/>
      <c r="D22" s="16">
        <v>0</v>
      </c>
      <c r="E22" s="16"/>
      <c r="F22" s="16" t="s">
        <v>12</v>
      </c>
      <c r="G22" s="16">
        <f t="shared" si="2"/>
        <v>0</v>
      </c>
      <c r="H22" s="18"/>
      <c r="I22" s="8"/>
      <c r="J22" s="8"/>
    </row>
    <row r="23" spans="1:10">
      <c r="A23" s="8"/>
      <c r="B23" s="14" t="s">
        <v>14</v>
      </c>
      <c r="C23" s="24"/>
      <c r="D23" s="16">
        <v>0</v>
      </c>
      <c r="E23" s="16"/>
      <c r="F23" s="16" t="s">
        <v>12</v>
      </c>
      <c r="G23" s="16">
        <f t="shared" si="2"/>
        <v>0</v>
      </c>
      <c r="H23" s="18"/>
      <c r="I23" s="8"/>
      <c r="J23" s="8"/>
    </row>
    <row r="24" spans="1:10">
      <c r="A24" s="8"/>
      <c r="B24" s="14" t="s">
        <v>15</v>
      </c>
      <c r="C24" s="24"/>
      <c r="D24" s="16">
        <v>0</v>
      </c>
      <c r="E24" s="16"/>
      <c r="F24" s="16" t="s">
        <v>12</v>
      </c>
      <c r="G24" s="16">
        <f t="shared" si="2"/>
        <v>0</v>
      </c>
      <c r="H24" s="18"/>
      <c r="I24" s="8"/>
      <c r="J24" s="8"/>
    </row>
    <row r="25" spans="1:10">
      <c r="A25" s="8"/>
      <c r="B25" s="14" t="s">
        <v>16</v>
      </c>
      <c r="C25" s="24"/>
      <c r="D25" s="16">
        <v>0</v>
      </c>
      <c r="E25" s="16"/>
      <c r="F25" s="16" t="s">
        <v>12</v>
      </c>
      <c r="G25" s="16">
        <f t="shared" si="2"/>
        <v>0</v>
      </c>
      <c r="H25" s="18"/>
      <c r="I25" s="8"/>
      <c r="J25" s="8"/>
    </row>
    <row r="26" spans="1:10">
      <c r="A26" s="8"/>
      <c r="B26" s="14" t="s">
        <v>17</v>
      </c>
      <c r="C26" s="24"/>
      <c r="D26" s="16">
        <v>0</v>
      </c>
      <c r="E26" s="16"/>
      <c r="F26" s="16" t="s">
        <v>12</v>
      </c>
      <c r="G26" s="16">
        <f t="shared" si="2"/>
        <v>0</v>
      </c>
      <c r="H26" s="18"/>
      <c r="I26" s="8"/>
      <c r="J26" s="8"/>
    </row>
    <row r="27" spans="1:10">
      <c r="A27" s="8"/>
      <c r="B27" s="14" t="s">
        <v>18</v>
      </c>
      <c r="C27" s="24"/>
      <c r="D27" s="16">
        <v>0</v>
      </c>
      <c r="E27" s="16"/>
      <c r="F27" s="16" t="s">
        <v>12</v>
      </c>
      <c r="G27" s="16">
        <f t="shared" si="2"/>
        <v>0</v>
      </c>
      <c r="H27" s="18"/>
      <c r="I27" s="8"/>
      <c r="J27" s="8"/>
    </row>
    <row r="28" spans="1:10">
      <c r="A28" s="8"/>
      <c r="B28" s="14" t="s">
        <v>19</v>
      </c>
      <c r="C28" s="24"/>
      <c r="D28" s="16">
        <v>0</v>
      </c>
      <c r="E28" s="16"/>
      <c r="F28" s="16" t="s">
        <v>12</v>
      </c>
      <c r="G28" s="16">
        <f t="shared" si="2"/>
        <v>0</v>
      </c>
      <c r="H28" s="18"/>
      <c r="I28" s="8"/>
      <c r="J28" s="8"/>
    </row>
    <row r="29" spans="1:10">
      <c r="A29" s="8"/>
      <c r="B29" s="14" t="s">
        <v>20</v>
      </c>
      <c r="C29" s="24"/>
      <c r="D29" s="16">
        <v>0</v>
      </c>
      <c r="E29" s="16"/>
      <c r="F29" s="16" t="s">
        <v>12</v>
      </c>
      <c r="G29" s="16">
        <f t="shared" si="2"/>
        <v>0</v>
      </c>
      <c r="H29" s="18"/>
      <c r="I29" s="8"/>
      <c r="J29" s="8"/>
    </row>
    <row r="30" spans="1:10">
      <c r="A30" s="8"/>
      <c r="B30" s="19" t="s">
        <v>21</v>
      </c>
      <c r="C30" s="24"/>
      <c r="D30" s="16">
        <v>0</v>
      </c>
      <c r="E30" s="16"/>
      <c r="F30" s="20" t="s">
        <v>12</v>
      </c>
      <c r="G30" s="16">
        <f t="shared" si="2"/>
        <v>0</v>
      </c>
      <c r="H30" s="21"/>
      <c r="I30" s="8"/>
      <c r="J30" s="8"/>
    </row>
    <row r="31" spans="1:10">
      <c r="A31" s="8"/>
      <c r="B31" s="22"/>
      <c r="C31" s="22"/>
      <c r="D31" s="22">
        <f>SUM($D$21:$D$30)</f>
        <v>0</v>
      </c>
      <c r="E31" s="22" t="s">
        <v>25</v>
      </c>
      <c r="F31" s="22"/>
      <c r="G31" s="22"/>
      <c r="H31" s="25"/>
      <c r="I31" s="8"/>
      <c r="J31" s="8"/>
    </row>
    <row r="32" spans="1:10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>
      <c r="A33" s="8"/>
      <c r="B33" s="10" t="s">
        <v>26</v>
      </c>
      <c r="C33" s="8"/>
      <c r="D33" s="8"/>
      <c r="E33" s="8"/>
      <c r="F33" s="8"/>
      <c r="G33" s="8"/>
      <c r="H33" s="8"/>
      <c r="I33" s="8"/>
      <c r="J33" s="8"/>
    </row>
    <row r="34" spans="1:10">
      <c r="A34" s="8"/>
      <c r="B34" s="11"/>
      <c r="C34" s="12"/>
      <c r="D34" s="12"/>
      <c r="E34" s="12"/>
      <c r="F34" s="12"/>
      <c r="G34" s="12"/>
      <c r="H34" s="12"/>
      <c r="I34" s="8"/>
      <c r="J34" s="8"/>
    </row>
    <row r="35" spans="1:10">
      <c r="A35" s="8"/>
      <c r="B35" s="13" t="s">
        <v>6</v>
      </c>
      <c r="C35" s="13" t="s">
        <v>7</v>
      </c>
      <c r="D35" s="26" t="s">
        <v>8</v>
      </c>
      <c r="E35" s="26"/>
      <c r="F35" s="26"/>
      <c r="G35" s="27" t="s">
        <v>9</v>
      </c>
      <c r="H35" s="13"/>
      <c r="I35" s="8"/>
      <c r="J35" s="8"/>
    </row>
    <row r="36" spans="1:10">
      <c r="A36" s="8"/>
      <c r="B36" s="28" t="s">
        <v>27</v>
      </c>
      <c r="C36" s="15"/>
      <c r="D36" s="28">
        <v>0</v>
      </c>
      <c r="E36" s="29" t="s">
        <v>11</v>
      </c>
      <c r="F36" s="29" t="s">
        <v>12</v>
      </c>
      <c r="G36" s="16">
        <f t="shared" ref="G36:G99" si="3">$D36+$C36</f>
        <v>0</v>
      </c>
      <c r="H36" s="18" t="str">
        <f t="shared" ref="H36:H99" si="4">IF(AND($D36=0, $G36&gt;0),"new", IF(AND($D36&gt;0, $G36=0),"sold",""))</f>
        <v/>
      </c>
      <c r="I36" s="8"/>
      <c r="J36" s="8"/>
    </row>
    <row r="37" spans="1:10">
      <c r="A37" s="8"/>
      <c r="B37" s="14" t="s">
        <v>28</v>
      </c>
      <c r="C37" s="15"/>
      <c r="D37" s="14">
        <v>0</v>
      </c>
      <c r="E37" s="16" t="s">
        <v>11</v>
      </c>
      <c r="F37" s="16" t="s">
        <v>12</v>
      </c>
      <c r="G37" s="16">
        <f t="shared" si="3"/>
        <v>0</v>
      </c>
      <c r="H37" s="18" t="str">
        <f t="shared" si="4"/>
        <v/>
      </c>
      <c r="I37" s="8"/>
      <c r="J37" s="8"/>
    </row>
    <row r="38" spans="1:10">
      <c r="A38" s="8"/>
      <c r="B38" s="14" t="s">
        <v>29</v>
      </c>
      <c r="C38" s="15"/>
      <c r="D38" s="14">
        <v>0</v>
      </c>
      <c r="E38" s="16" t="s">
        <v>11</v>
      </c>
      <c r="F38" s="16" t="s">
        <v>12</v>
      </c>
      <c r="G38" s="16">
        <f t="shared" si="3"/>
        <v>0</v>
      </c>
      <c r="H38" s="18" t="str">
        <f t="shared" si="4"/>
        <v/>
      </c>
      <c r="I38" s="8"/>
      <c r="J38" s="8"/>
    </row>
    <row r="39" spans="1:10">
      <c r="A39" s="8"/>
      <c r="B39" s="14" t="s">
        <v>30</v>
      </c>
      <c r="C39" s="15"/>
      <c r="D39" s="14">
        <v>50000</v>
      </c>
      <c r="E39" s="16" t="s">
        <v>11</v>
      </c>
      <c r="F39" s="16" t="s">
        <v>12</v>
      </c>
      <c r="G39" s="16">
        <f t="shared" si="3"/>
        <v>50000</v>
      </c>
      <c r="H39" s="18" t="str">
        <f t="shared" si="4"/>
        <v/>
      </c>
      <c r="I39" s="8"/>
      <c r="J39" s="8"/>
    </row>
    <row r="40" spans="1:10">
      <c r="A40" s="8"/>
      <c r="B40" s="14" t="s">
        <v>31</v>
      </c>
      <c r="C40" s="15"/>
      <c r="D40" s="14">
        <v>0</v>
      </c>
      <c r="E40" s="16" t="s">
        <v>11</v>
      </c>
      <c r="F40" s="16" t="s">
        <v>12</v>
      </c>
      <c r="G40" s="16">
        <f t="shared" si="3"/>
        <v>0</v>
      </c>
      <c r="H40" s="18" t="str">
        <f t="shared" si="4"/>
        <v/>
      </c>
      <c r="I40" s="8"/>
      <c r="J40" s="8"/>
    </row>
    <row r="41" spans="1:10">
      <c r="A41" s="8"/>
      <c r="B41" s="14" t="s">
        <v>32</v>
      </c>
      <c r="C41" s="15"/>
      <c r="D41" s="14">
        <v>0</v>
      </c>
      <c r="E41" s="16" t="s">
        <v>11</v>
      </c>
      <c r="F41" s="16" t="s">
        <v>12</v>
      </c>
      <c r="G41" s="16">
        <f t="shared" si="3"/>
        <v>0</v>
      </c>
      <c r="H41" s="18" t="str">
        <f t="shared" si="4"/>
        <v/>
      </c>
      <c r="I41" s="8"/>
      <c r="J41" s="8"/>
    </row>
    <row r="42" spans="1:10">
      <c r="A42" s="8"/>
      <c r="B42" s="14" t="s">
        <v>33</v>
      </c>
      <c r="C42" s="15"/>
      <c r="D42" s="14">
        <v>0</v>
      </c>
      <c r="E42" s="16" t="s">
        <v>11</v>
      </c>
      <c r="F42" s="16" t="s">
        <v>12</v>
      </c>
      <c r="G42" s="16">
        <f t="shared" si="3"/>
        <v>0</v>
      </c>
      <c r="H42" s="18" t="str">
        <f t="shared" si="4"/>
        <v/>
      </c>
      <c r="I42" s="8"/>
      <c r="J42" s="8"/>
    </row>
    <row r="43" spans="1:10">
      <c r="A43" s="8"/>
      <c r="B43" s="14" t="s">
        <v>34</v>
      </c>
      <c r="C43" s="15"/>
      <c r="D43" s="14">
        <v>0</v>
      </c>
      <c r="E43" s="16" t="s">
        <v>11</v>
      </c>
      <c r="F43" s="16" t="s">
        <v>12</v>
      </c>
      <c r="G43" s="16">
        <f t="shared" si="3"/>
        <v>0</v>
      </c>
      <c r="H43" s="18" t="str">
        <f t="shared" si="4"/>
        <v/>
      </c>
      <c r="I43" s="8"/>
      <c r="J43" s="8"/>
    </row>
    <row r="44" spans="1:10">
      <c r="A44" s="8"/>
      <c r="B44" s="14" t="s">
        <v>35</v>
      </c>
      <c r="C44" s="15"/>
      <c r="D44" s="14">
        <v>0</v>
      </c>
      <c r="E44" s="16" t="s">
        <v>11</v>
      </c>
      <c r="F44" s="16" t="s">
        <v>12</v>
      </c>
      <c r="G44" s="16">
        <f t="shared" si="3"/>
        <v>0</v>
      </c>
      <c r="H44" s="18" t="str">
        <f t="shared" si="4"/>
        <v/>
      </c>
      <c r="I44" s="8"/>
      <c r="J44" s="8"/>
    </row>
    <row r="45" spans="1:10">
      <c r="A45" s="8"/>
      <c r="B45" s="14" t="s">
        <v>36</v>
      </c>
      <c r="C45" s="15"/>
      <c r="D45" s="14">
        <v>0</v>
      </c>
      <c r="E45" s="16" t="s">
        <v>11</v>
      </c>
      <c r="F45" s="16" t="s">
        <v>12</v>
      </c>
      <c r="G45" s="16">
        <f t="shared" si="3"/>
        <v>0</v>
      </c>
      <c r="H45" s="18" t="str">
        <f t="shared" si="4"/>
        <v/>
      </c>
      <c r="I45" s="8"/>
      <c r="J45" s="8"/>
    </row>
    <row r="46" spans="1:10">
      <c r="A46" s="8"/>
      <c r="B46" s="14" t="s">
        <v>37</v>
      </c>
      <c r="C46" s="15"/>
      <c r="D46" s="14">
        <v>0</v>
      </c>
      <c r="E46" s="16" t="s">
        <v>11</v>
      </c>
      <c r="F46" s="16" t="s">
        <v>12</v>
      </c>
      <c r="G46" s="16">
        <f t="shared" si="3"/>
        <v>0</v>
      </c>
      <c r="H46" s="18" t="str">
        <f t="shared" si="4"/>
        <v/>
      </c>
      <c r="I46" s="8"/>
      <c r="J46" s="8"/>
    </row>
    <row r="47" spans="1:10">
      <c r="A47" s="8"/>
      <c r="B47" s="14" t="s">
        <v>38</v>
      </c>
      <c r="C47" s="15"/>
      <c r="D47" s="14">
        <v>0</v>
      </c>
      <c r="E47" s="16" t="s">
        <v>11</v>
      </c>
      <c r="F47" s="16" t="s">
        <v>12</v>
      </c>
      <c r="G47" s="16">
        <f t="shared" si="3"/>
        <v>0</v>
      </c>
      <c r="H47" s="18" t="str">
        <f t="shared" si="4"/>
        <v/>
      </c>
      <c r="I47" s="8"/>
      <c r="J47" s="8"/>
    </row>
    <row r="48" spans="1:10">
      <c r="A48" s="8"/>
      <c r="B48" s="14" t="s">
        <v>39</v>
      </c>
      <c r="C48" s="15"/>
      <c r="D48" s="14">
        <v>0</v>
      </c>
      <c r="E48" s="16" t="s">
        <v>11</v>
      </c>
      <c r="F48" s="16" t="s">
        <v>12</v>
      </c>
      <c r="G48" s="16">
        <f t="shared" si="3"/>
        <v>0</v>
      </c>
      <c r="H48" s="18" t="str">
        <f t="shared" si="4"/>
        <v/>
      </c>
      <c r="I48" s="8"/>
      <c r="J48" s="8"/>
    </row>
    <row r="49" spans="1:10">
      <c r="A49" s="8"/>
      <c r="B49" s="14" t="s">
        <v>40</v>
      </c>
      <c r="C49" s="15"/>
      <c r="D49" s="14">
        <v>0</v>
      </c>
      <c r="E49" s="16" t="s">
        <v>11</v>
      </c>
      <c r="F49" s="16" t="s">
        <v>12</v>
      </c>
      <c r="G49" s="16">
        <f t="shared" si="3"/>
        <v>0</v>
      </c>
      <c r="H49" s="18" t="str">
        <f t="shared" si="4"/>
        <v/>
      </c>
      <c r="I49" s="8"/>
      <c r="J49" s="8"/>
    </row>
    <row r="50" spans="1:10">
      <c r="A50" s="8"/>
      <c r="B50" s="14" t="s">
        <v>41</v>
      </c>
      <c r="C50" s="15"/>
      <c r="D50" s="14">
        <v>0</v>
      </c>
      <c r="E50" s="16" t="s">
        <v>11</v>
      </c>
      <c r="F50" s="16" t="s">
        <v>12</v>
      </c>
      <c r="G50" s="16">
        <f t="shared" si="3"/>
        <v>0</v>
      </c>
      <c r="H50" s="18" t="str">
        <f t="shared" si="4"/>
        <v/>
      </c>
      <c r="I50" s="8"/>
      <c r="J50" s="8"/>
    </row>
    <row r="51" spans="1:10">
      <c r="A51" s="8"/>
      <c r="B51" s="14" t="s">
        <v>42</v>
      </c>
      <c r="C51" s="15"/>
      <c r="D51" s="14">
        <v>0</v>
      </c>
      <c r="E51" s="16" t="s">
        <v>11</v>
      </c>
      <c r="F51" s="16" t="s">
        <v>12</v>
      </c>
      <c r="G51" s="16">
        <f t="shared" si="3"/>
        <v>0</v>
      </c>
      <c r="H51" s="18" t="str">
        <f t="shared" si="4"/>
        <v/>
      </c>
      <c r="I51" s="8"/>
      <c r="J51" s="8"/>
    </row>
    <row r="52" spans="1:10">
      <c r="A52" s="8"/>
      <c r="B52" s="14" t="s">
        <v>43</v>
      </c>
      <c r="C52" s="15"/>
      <c r="D52" s="14">
        <v>0</v>
      </c>
      <c r="E52" s="16" t="s">
        <v>11</v>
      </c>
      <c r="F52" s="16" t="s">
        <v>12</v>
      </c>
      <c r="G52" s="16">
        <f t="shared" si="3"/>
        <v>0</v>
      </c>
      <c r="H52" s="18" t="str">
        <f t="shared" si="4"/>
        <v/>
      </c>
      <c r="I52" s="8"/>
      <c r="J52" s="8"/>
    </row>
    <row r="53" spans="1:10">
      <c r="A53" s="8"/>
      <c r="B53" s="14" t="s">
        <v>44</v>
      </c>
      <c r="C53" s="15"/>
      <c r="D53" s="14">
        <v>0</v>
      </c>
      <c r="E53" s="16" t="s">
        <v>11</v>
      </c>
      <c r="F53" s="16" t="s">
        <v>12</v>
      </c>
      <c r="G53" s="16">
        <f t="shared" si="3"/>
        <v>0</v>
      </c>
      <c r="H53" s="18" t="str">
        <f t="shared" si="4"/>
        <v/>
      </c>
      <c r="I53" s="8"/>
      <c r="J53" s="8"/>
    </row>
    <row r="54" spans="1:10">
      <c r="A54" s="8"/>
      <c r="B54" s="14" t="s">
        <v>45</v>
      </c>
      <c r="C54" s="15"/>
      <c r="D54" s="14">
        <v>0</v>
      </c>
      <c r="E54" s="16" t="s">
        <v>11</v>
      </c>
      <c r="F54" s="16" t="s">
        <v>12</v>
      </c>
      <c r="G54" s="16">
        <f t="shared" si="3"/>
        <v>0</v>
      </c>
      <c r="H54" s="18" t="str">
        <f t="shared" si="4"/>
        <v/>
      </c>
      <c r="I54" s="8"/>
      <c r="J54" s="8"/>
    </row>
    <row r="55" spans="1:10">
      <c r="A55" s="8"/>
      <c r="B55" s="14" t="s">
        <v>46</v>
      </c>
      <c r="C55" s="15"/>
      <c r="D55" s="14">
        <v>0</v>
      </c>
      <c r="E55" s="16" t="s">
        <v>11</v>
      </c>
      <c r="F55" s="16" t="s">
        <v>12</v>
      </c>
      <c r="G55" s="16">
        <f t="shared" si="3"/>
        <v>0</v>
      </c>
      <c r="H55" s="18" t="str">
        <f t="shared" si="4"/>
        <v/>
      </c>
      <c r="I55" s="8"/>
      <c r="J55" s="8"/>
    </row>
    <row r="56" spans="1:10">
      <c r="A56" s="8"/>
      <c r="B56" s="14" t="s">
        <v>47</v>
      </c>
      <c r="C56" s="15"/>
      <c r="D56" s="14">
        <v>0</v>
      </c>
      <c r="E56" s="16" t="s">
        <v>11</v>
      </c>
      <c r="F56" s="16" t="s">
        <v>12</v>
      </c>
      <c r="G56" s="16">
        <f t="shared" si="3"/>
        <v>0</v>
      </c>
      <c r="H56" s="18" t="str">
        <f t="shared" si="4"/>
        <v/>
      </c>
      <c r="I56" s="8"/>
      <c r="J56" s="8"/>
    </row>
    <row r="57" spans="1:10">
      <c r="A57" s="8"/>
      <c r="B57" s="14" t="s">
        <v>48</v>
      </c>
      <c r="C57" s="15"/>
      <c r="D57" s="14">
        <v>0</v>
      </c>
      <c r="E57" s="16" t="s">
        <v>11</v>
      </c>
      <c r="F57" s="16" t="s">
        <v>12</v>
      </c>
      <c r="G57" s="16">
        <f t="shared" si="3"/>
        <v>0</v>
      </c>
      <c r="H57" s="18" t="str">
        <f t="shared" si="4"/>
        <v/>
      </c>
      <c r="I57" s="8"/>
      <c r="J57" s="8"/>
    </row>
    <row r="58" spans="1:10">
      <c r="A58" s="8"/>
      <c r="B58" s="14" t="s">
        <v>49</v>
      </c>
      <c r="C58" s="15"/>
      <c r="D58" s="14">
        <v>0</v>
      </c>
      <c r="E58" s="16" t="s">
        <v>11</v>
      </c>
      <c r="F58" s="16" t="s">
        <v>12</v>
      </c>
      <c r="G58" s="16">
        <f t="shared" si="3"/>
        <v>0</v>
      </c>
      <c r="H58" s="18" t="str">
        <f t="shared" si="4"/>
        <v/>
      </c>
      <c r="I58" s="8"/>
      <c r="J58" s="8"/>
    </row>
    <row r="59" spans="1:10">
      <c r="A59" s="8"/>
      <c r="B59" s="14" t="s">
        <v>50</v>
      </c>
      <c r="C59" s="15"/>
      <c r="D59" s="14">
        <v>0</v>
      </c>
      <c r="E59" s="16" t="s">
        <v>11</v>
      </c>
      <c r="F59" s="16" t="s">
        <v>12</v>
      </c>
      <c r="G59" s="16">
        <f t="shared" si="3"/>
        <v>0</v>
      </c>
      <c r="H59" s="18" t="str">
        <f t="shared" si="4"/>
        <v/>
      </c>
      <c r="I59" s="8"/>
      <c r="J59" s="8"/>
    </row>
    <row r="60" spans="1:10">
      <c r="A60" s="8"/>
      <c r="B60" s="14" t="s">
        <v>51</v>
      </c>
      <c r="C60" s="15"/>
      <c r="D60" s="16">
        <v>0</v>
      </c>
      <c r="E60" s="16" t="s">
        <v>11</v>
      </c>
      <c r="F60" s="16" t="s">
        <v>12</v>
      </c>
      <c r="G60" s="16">
        <f t="shared" si="3"/>
        <v>0</v>
      </c>
      <c r="H60" s="18" t="str">
        <f t="shared" si="4"/>
        <v/>
      </c>
      <c r="I60" s="8"/>
      <c r="J60" s="8"/>
    </row>
    <row r="61" spans="1:10">
      <c r="A61" s="8"/>
      <c r="B61" s="14" t="s">
        <v>52</v>
      </c>
      <c r="C61" s="24"/>
      <c r="D61" s="16">
        <v>0</v>
      </c>
      <c r="E61" s="16" t="s">
        <v>11</v>
      </c>
      <c r="F61" s="16" t="s">
        <v>12</v>
      </c>
      <c r="G61" s="16">
        <f t="shared" si="3"/>
        <v>0</v>
      </c>
      <c r="H61" s="18" t="str">
        <f t="shared" si="4"/>
        <v/>
      </c>
      <c r="I61" s="8"/>
      <c r="J61" s="8"/>
    </row>
    <row r="62" spans="1:10">
      <c r="A62" s="8"/>
      <c r="B62" s="14" t="s">
        <v>53</v>
      </c>
      <c r="C62" s="24"/>
      <c r="D62" s="16">
        <v>0</v>
      </c>
      <c r="E62" s="16" t="s">
        <v>11</v>
      </c>
      <c r="F62" s="16" t="s">
        <v>12</v>
      </c>
      <c r="G62" s="16">
        <f t="shared" si="3"/>
        <v>0</v>
      </c>
      <c r="H62" s="18" t="str">
        <f t="shared" si="4"/>
        <v/>
      </c>
      <c r="I62" s="8"/>
      <c r="J62" s="8"/>
    </row>
    <row r="63" spans="1:10">
      <c r="A63" s="8"/>
      <c r="B63" s="14" t="s">
        <v>54</v>
      </c>
      <c r="C63" s="24"/>
      <c r="D63" s="16">
        <v>0</v>
      </c>
      <c r="E63" s="16" t="s">
        <v>11</v>
      </c>
      <c r="F63" s="16" t="s">
        <v>12</v>
      </c>
      <c r="G63" s="16">
        <f t="shared" si="3"/>
        <v>0</v>
      </c>
      <c r="H63" s="18" t="str">
        <f t="shared" si="4"/>
        <v/>
      </c>
      <c r="I63" s="8"/>
      <c r="J63" s="8"/>
    </row>
    <row r="64" spans="1:10">
      <c r="A64" s="8"/>
      <c r="B64" s="14" t="s">
        <v>55</v>
      </c>
      <c r="C64" s="24"/>
      <c r="D64" s="16">
        <v>0</v>
      </c>
      <c r="E64" s="16" t="s">
        <v>11</v>
      </c>
      <c r="F64" s="16" t="s">
        <v>12</v>
      </c>
      <c r="G64" s="16">
        <f t="shared" si="3"/>
        <v>0</v>
      </c>
      <c r="H64" s="18" t="str">
        <f t="shared" si="4"/>
        <v/>
      </c>
      <c r="I64" s="8"/>
      <c r="J64" s="8"/>
    </row>
    <row r="65" spans="1:10">
      <c r="A65" s="8"/>
      <c r="B65" s="14" t="s">
        <v>56</v>
      </c>
      <c r="C65" s="24"/>
      <c r="D65" s="16">
        <v>0</v>
      </c>
      <c r="E65" s="16" t="s">
        <v>11</v>
      </c>
      <c r="F65" s="16" t="s">
        <v>12</v>
      </c>
      <c r="G65" s="16">
        <f t="shared" si="3"/>
        <v>0</v>
      </c>
      <c r="H65" s="18" t="str">
        <f t="shared" si="4"/>
        <v/>
      </c>
      <c r="I65" s="8"/>
      <c r="J65" s="8"/>
    </row>
    <row r="66" spans="1:10">
      <c r="A66" s="8"/>
      <c r="B66" s="14" t="s">
        <v>57</v>
      </c>
      <c r="C66" s="24"/>
      <c r="D66" s="16">
        <v>0</v>
      </c>
      <c r="E66" s="16" t="s">
        <v>11</v>
      </c>
      <c r="F66" s="16" t="s">
        <v>12</v>
      </c>
      <c r="G66" s="16">
        <f t="shared" si="3"/>
        <v>0</v>
      </c>
      <c r="H66" s="18" t="str">
        <f t="shared" si="4"/>
        <v/>
      </c>
      <c r="I66" s="8"/>
      <c r="J66" s="8"/>
    </row>
    <row r="67" spans="1:10">
      <c r="A67" s="8"/>
      <c r="B67" s="14" t="s">
        <v>58</v>
      </c>
      <c r="C67" s="24"/>
      <c r="D67" s="16">
        <v>0</v>
      </c>
      <c r="E67" s="16" t="s">
        <v>11</v>
      </c>
      <c r="F67" s="16" t="s">
        <v>12</v>
      </c>
      <c r="G67" s="16">
        <f t="shared" si="3"/>
        <v>0</v>
      </c>
      <c r="H67" s="18" t="str">
        <f t="shared" si="4"/>
        <v/>
      </c>
      <c r="I67" s="8"/>
      <c r="J67" s="8"/>
    </row>
    <row r="68" spans="1:10">
      <c r="A68" s="8"/>
      <c r="B68" s="14" t="s">
        <v>59</v>
      </c>
      <c r="C68" s="24"/>
      <c r="D68" s="16">
        <v>0</v>
      </c>
      <c r="E68" s="16" t="s">
        <v>11</v>
      </c>
      <c r="F68" s="16" t="s">
        <v>12</v>
      </c>
      <c r="G68" s="16">
        <f t="shared" si="3"/>
        <v>0</v>
      </c>
      <c r="H68" s="18" t="str">
        <f t="shared" si="4"/>
        <v/>
      </c>
      <c r="I68" s="8"/>
      <c r="J68" s="8"/>
    </row>
    <row r="69" spans="1:10">
      <c r="A69" s="8"/>
      <c r="B69" s="14" t="s">
        <v>60</v>
      </c>
      <c r="C69" s="24"/>
      <c r="D69" s="16">
        <v>0</v>
      </c>
      <c r="E69" s="16" t="s">
        <v>11</v>
      </c>
      <c r="F69" s="16" t="s">
        <v>12</v>
      </c>
      <c r="G69" s="16">
        <f t="shared" si="3"/>
        <v>0</v>
      </c>
      <c r="H69" s="18" t="str">
        <f t="shared" si="4"/>
        <v/>
      </c>
      <c r="I69" s="8"/>
      <c r="J69" s="8"/>
    </row>
    <row r="70" spans="1:10">
      <c r="A70" s="8"/>
      <c r="B70" s="14" t="s">
        <v>61</v>
      </c>
      <c r="C70" s="24"/>
      <c r="D70" s="16">
        <v>0</v>
      </c>
      <c r="E70" s="16" t="s">
        <v>11</v>
      </c>
      <c r="F70" s="16" t="s">
        <v>12</v>
      </c>
      <c r="G70" s="16">
        <f t="shared" si="3"/>
        <v>0</v>
      </c>
      <c r="H70" s="18" t="str">
        <f t="shared" si="4"/>
        <v/>
      </c>
      <c r="I70" s="8"/>
      <c r="J70" s="8"/>
    </row>
    <row r="71" spans="1:10">
      <c r="A71" s="8"/>
      <c r="B71" s="14" t="s">
        <v>62</v>
      </c>
      <c r="C71" s="24"/>
      <c r="D71" s="16">
        <v>0</v>
      </c>
      <c r="E71" s="16" t="s">
        <v>11</v>
      </c>
      <c r="F71" s="16" t="s">
        <v>12</v>
      </c>
      <c r="G71" s="16">
        <f t="shared" si="3"/>
        <v>0</v>
      </c>
      <c r="H71" s="18" t="str">
        <f t="shared" si="4"/>
        <v/>
      </c>
      <c r="I71" s="8"/>
      <c r="J71" s="8"/>
    </row>
    <row r="72" spans="1:10">
      <c r="A72" s="8"/>
      <c r="B72" s="14" t="s">
        <v>63</v>
      </c>
      <c r="C72" s="24"/>
      <c r="D72" s="16">
        <v>0</v>
      </c>
      <c r="E72" s="16" t="s">
        <v>11</v>
      </c>
      <c r="F72" s="16" t="s">
        <v>12</v>
      </c>
      <c r="G72" s="16">
        <f t="shared" si="3"/>
        <v>0</v>
      </c>
      <c r="H72" s="18" t="str">
        <f t="shared" si="4"/>
        <v/>
      </c>
      <c r="I72" s="8"/>
      <c r="J72" s="8"/>
    </row>
    <row r="73" spans="1:10">
      <c r="A73" s="8"/>
      <c r="B73" s="14" t="s">
        <v>64</v>
      </c>
      <c r="C73" s="24"/>
      <c r="D73" s="16">
        <v>0</v>
      </c>
      <c r="E73" s="16" t="s">
        <v>11</v>
      </c>
      <c r="F73" s="16" t="s">
        <v>12</v>
      </c>
      <c r="G73" s="16">
        <f t="shared" si="3"/>
        <v>0</v>
      </c>
      <c r="H73" s="18" t="str">
        <f t="shared" si="4"/>
        <v/>
      </c>
      <c r="I73" s="8"/>
      <c r="J73" s="8"/>
    </row>
    <row r="74" spans="1:10">
      <c r="A74" s="8"/>
      <c r="B74" s="14" t="s">
        <v>65</v>
      </c>
      <c r="C74" s="24"/>
      <c r="D74" s="16">
        <v>0</v>
      </c>
      <c r="E74" s="16" t="s">
        <v>11</v>
      </c>
      <c r="F74" s="16" t="s">
        <v>12</v>
      </c>
      <c r="G74" s="16">
        <f t="shared" si="3"/>
        <v>0</v>
      </c>
      <c r="H74" s="18" t="str">
        <f t="shared" si="4"/>
        <v/>
      </c>
      <c r="I74" s="8"/>
      <c r="J74" s="8"/>
    </row>
    <row r="75" spans="1:10">
      <c r="A75" s="8"/>
      <c r="B75" s="14" t="s">
        <v>66</v>
      </c>
      <c r="C75" s="24"/>
      <c r="D75" s="16">
        <v>0</v>
      </c>
      <c r="E75" s="16" t="s">
        <v>11</v>
      </c>
      <c r="F75" s="16" t="s">
        <v>12</v>
      </c>
      <c r="G75" s="16">
        <f t="shared" si="3"/>
        <v>0</v>
      </c>
      <c r="H75" s="18" t="str">
        <f t="shared" si="4"/>
        <v/>
      </c>
      <c r="I75" s="8"/>
      <c r="J75" s="8"/>
    </row>
    <row r="76" spans="1:10">
      <c r="A76" s="8"/>
      <c r="B76" s="14" t="s">
        <v>67</v>
      </c>
      <c r="C76" s="24"/>
      <c r="D76" s="16">
        <v>51000</v>
      </c>
      <c r="E76" s="16" t="s">
        <v>11</v>
      </c>
      <c r="F76" s="16" t="s">
        <v>12</v>
      </c>
      <c r="G76" s="16">
        <f t="shared" si="3"/>
        <v>51000</v>
      </c>
      <c r="H76" s="18" t="str">
        <f t="shared" si="4"/>
        <v/>
      </c>
      <c r="I76" s="8"/>
      <c r="J76" s="8"/>
    </row>
    <row r="77" spans="1:10">
      <c r="A77" s="8"/>
      <c r="B77" s="14" t="s">
        <v>68</v>
      </c>
      <c r="C77" s="24"/>
      <c r="D77" s="16">
        <v>0</v>
      </c>
      <c r="E77" s="16" t="s">
        <v>11</v>
      </c>
      <c r="F77" s="16" t="s">
        <v>12</v>
      </c>
      <c r="G77" s="16">
        <f t="shared" si="3"/>
        <v>0</v>
      </c>
      <c r="H77" s="18" t="str">
        <f t="shared" si="4"/>
        <v/>
      </c>
      <c r="I77" s="8"/>
      <c r="J77" s="8"/>
    </row>
    <row r="78" spans="1:10">
      <c r="A78" s="8"/>
      <c r="B78" s="14" t="s">
        <v>69</v>
      </c>
      <c r="C78" s="24"/>
      <c r="D78" s="16">
        <v>0</v>
      </c>
      <c r="E78" s="16" t="s">
        <v>11</v>
      </c>
      <c r="F78" s="16" t="s">
        <v>12</v>
      </c>
      <c r="G78" s="16">
        <f t="shared" si="3"/>
        <v>0</v>
      </c>
      <c r="H78" s="18" t="str">
        <f t="shared" si="4"/>
        <v/>
      </c>
      <c r="I78" s="8"/>
      <c r="J78" s="8"/>
    </row>
    <row r="79" spans="1:10">
      <c r="A79" s="8"/>
      <c r="B79" s="14" t="s">
        <v>70</v>
      </c>
      <c r="C79" s="24"/>
      <c r="D79" s="16">
        <v>0</v>
      </c>
      <c r="E79" s="16" t="s">
        <v>11</v>
      </c>
      <c r="F79" s="16" t="s">
        <v>12</v>
      </c>
      <c r="G79" s="16">
        <f t="shared" si="3"/>
        <v>0</v>
      </c>
      <c r="H79" s="18" t="str">
        <f t="shared" si="4"/>
        <v/>
      </c>
      <c r="I79" s="8"/>
      <c r="J79" s="8"/>
    </row>
    <row r="80" spans="1:10">
      <c r="A80" s="8"/>
      <c r="B80" s="14" t="s">
        <v>71</v>
      </c>
      <c r="C80" s="24"/>
      <c r="D80" s="16">
        <v>0</v>
      </c>
      <c r="E80" s="16" t="s">
        <v>11</v>
      </c>
      <c r="F80" s="16" t="s">
        <v>12</v>
      </c>
      <c r="G80" s="16">
        <f t="shared" si="3"/>
        <v>0</v>
      </c>
      <c r="H80" s="18" t="str">
        <f t="shared" si="4"/>
        <v/>
      </c>
      <c r="I80" s="8"/>
      <c r="J80" s="8"/>
    </row>
    <row r="81" spans="1:10">
      <c r="A81" s="8"/>
      <c r="B81" s="14" t="s">
        <v>72</v>
      </c>
      <c r="C81" s="24"/>
      <c r="D81" s="16">
        <v>0</v>
      </c>
      <c r="E81" s="16" t="s">
        <v>11</v>
      </c>
      <c r="F81" s="16" t="s">
        <v>12</v>
      </c>
      <c r="G81" s="16">
        <f t="shared" si="3"/>
        <v>0</v>
      </c>
      <c r="H81" s="18" t="str">
        <f t="shared" si="4"/>
        <v/>
      </c>
      <c r="I81" s="8"/>
      <c r="J81" s="8"/>
    </row>
    <row r="82" spans="1:10">
      <c r="A82" s="8"/>
      <c r="B82" s="14" t="s">
        <v>73</v>
      </c>
      <c r="C82" s="24"/>
      <c r="D82" s="16">
        <v>0</v>
      </c>
      <c r="E82" s="16" t="s">
        <v>11</v>
      </c>
      <c r="F82" s="16" t="s">
        <v>12</v>
      </c>
      <c r="G82" s="16">
        <f t="shared" si="3"/>
        <v>0</v>
      </c>
      <c r="H82" s="18" t="str">
        <f t="shared" si="4"/>
        <v/>
      </c>
      <c r="I82" s="8"/>
      <c r="J82" s="8"/>
    </row>
    <row r="83" spans="1:10">
      <c r="A83" s="8"/>
      <c r="B83" s="30" t="s">
        <v>74</v>
      </c>
      <c r="C83" s="24"/>
      <c r="D83" s="14">
        <v>0</v>
      </c>
      <c r="E83" s="16" t="s">
        <v>11</v>
      </c>
      <c r="F83" s="16" t="s">
        <v>12</v>
      </c>
      <c r="G83" s="16">
        <f t="shared" si="3"/>
        <v>0</v>
      </c>
      <c r="H83" s="18" t="str">
        <f t="shared" si="4"/>
        <v/>
      </c>
      <c r="I83" s="8"/>
      <c r="J83" s="8"/>
    </row>
    <row r="84" spans="1:10">
      <c r="A84" s="8"/>
      <c r="B84" s="14" t="s">
        <v>75</v>
      </c>
      <c r="C84" s="24"/>
      <c r="D84" s="16">
        <v>0</v>
      </c>
      <c r="E84" s="16" t="s">
        <v>11</v>
      </c>
      <c r="F84" s="16" t="s">
        <v>12</v>
      </c>
      <c r="G84" s="16">
        <f t="shared" si="3"/>
        <v>0</v>
      </c>
      <c r="H84" s="18" t="str">
        <f t="shared" si="4"/>
        <v/>
      </c>
      <c r="I84" s="8"/>
      <c r="J84" s="8"/>
    </row>
    <row r="85" spans="1:10">
      <c r="A85" s="8"/>
      <c r="B85" s="14" t="s">
        <v>76</v>
      </c>
      <c r="C85" s="24"/>
      <c r="D85" s="16">
        <v>0</v>
      </c>
      <c r="E85" s="16" t="s">
        <v>11</v>
      </c>
      <c r="F85" s="16" t="s">
        <v>12</v>
      </c>
      <c r="G85" s="16">
        <f t="shared" si="3"/>
        <v>0</v>
      </c>
      <c r="H85" s="18" t="str">
        <f t="shared" si="4"/>
        <v/>
      </c>
      <c r="I85" s="8"/>
      <c r="J85" s="8"/>
    </row>
    <row r="86" spans="1:10">
      <c r="A86" s="8"/>
      <c r="B86" s="14" t="s">
        <v>77</v>
      </c>
      <c r="C86" s="24"/>
      <c r="D86" s="16">
        <v>0</v>
      </c>
      <c r="E86" s="16" t="s">
        <v>11</v>
      </c>
      <c r="F86" s="16" t="s">
        <v>12</v>
      </c>
      <c r="G86" s="16">
        <f t="shared" si="3"/>
        <v>0</v>
      </c>
      <c r="H86" s="18" t="str">
        <f t="shared" si="4"/>
        <v/>
      </c>
      <c r="I86" s="8"/>
      <c r="J86" s="8"/>
    </row>
    <row r="87" spans="1:10">
      <c r="A87" s="8"/>
      <c r="B87" s="14" t="s">
        <v>78</v>
      </c>
      <c r="C87" s="24"/>
      <c r="D87" s="16">
        <v>0</v>
      </c>
      <c r="E87" s="16" t="s">
        <v>11</v>
      </c>
      <c r="F87" s="16" t="s">
        <v>12</v>
      </c>
      <c r="G87" s="16">
        <f t="shared" si="3"/>
        <v>0</v>
      </c>
      <c r="H87" s="18" t="str">
        <f t="shared" si="4"/>
        <v/>
      </c>
      <c r="I87" s="8"/>
      <c r="J87" s="8"/>
    </row>
    <row r="88" spans="1:10">
      <c r="A88" s="8"/>
      <c r="B88" s="14" t="s">
        <v>79</v>
      </c>
      <c r="C88" s="24"/>
      <c r="D88" s="16">
        <v>0</v>
      </c>
      <c r="E88" s="16" t="s">
        <v>11</v>
      </c>
      <c r="F88" s="16" t="s">
        <v>12</v>
      </c>
      <c r="G88" s="16">
        <f t="shared" si="3"/>
        <v>0</v>
      </c>
      <c r="H88" s="18" t="str">
        <f t="shared" si="4"/>
        <v/>
      </c>
      <c r="I88" s="8"/>
      <c r="J88" s="8"/>
    </row>
    <row r="89" spans="1:10">
      <c r="A89" s="8"/>
      <c r="B89" s="14" t="s">
        <v>80</v>
      </c>
      <c r="C89" s="24"/>
      <c r="D89" s="16">
        <v>0</v>
      </c>
      <c r="E89" s="16" t="s">
        <v>11</v>
      </c>
      <c r="F89" s="16" t="s">
        <v>12</v>
      </c>
      <c r="G89" s="16">
        <f t="shared" si="3"/>
        <v>0</v>
      </c>
      <c r="H89" s="18" t="str">
        <f t="shared" si="4"/>
        <v/>
      </c>
      <c r="I89" s="8"/>
      <c r="J89" s="8"/>
    </row>
    <row r="90" spans="1:10">
      <c r="A90" s="8"/>
      <c r="B90" s="14" t="s">
        <v>81</v>
      </c>
      <c r="C90" s="24"/>
      <c r="D90" s="16">
        <v>0</v>
      </c>
      <c r="E90" s="16" t="s">
        <v>11</v>
      </c>
      <c r="F90" s="16" t="s">
        <v>12</v>
      </c>
      <c r="G90" s="16">
        <f t="shared" si="3"/>
        <v>0</v>
      </c>
      <c r="H90" s="18" t="str">
        <f t="shared" si="4"/>
        <v/>
      </c>
      <c r="I90" s="8"/>
      <c r="J90" s="8"/>
    </row>
    <row r="91" spans="1:10">
      <c r="A91" s="8"/>
      <c r="B91" s="14" t="s">
        <v>82</v>
      </c>
      <c r="C91" s="24"/>
      <c r="D91" s="16">
        <v>0</v>
      </c>
      <c r="E91" s="16" t="s">
        <v>11</v>
      </c>
      <c r="F91" s="16" t="s">
        <v>12</v>
      </c>
      <c r="G91" s="16">
        <f t="shared" si="3"/>
        <v>0</v>
      </c>
      <c r="H91" s="18" t="str">
        <f t="shared" si="4"/>
        <v/>
      </c>
      <c r="I91" s="8"/>
      <c r="J91" s="8"/>
    </row>
    <row r="92" spans="1:10">
      <c r="A92" s="8"/>
      <c r="B92" s="14" t="s">
        <v>83</v>
      </c>
      <c r="C92" s="24"/>
      <c r="D92" s="16">
        <v>0</v>
      </c>
      <c r="E92" s="16" t="s">
        <v>11</v>
      </c>
      <c r="F92" s="16" t="s">
        <v>12</v>
      </c>
      <c r="G92" s="16">
        <f t="shared" si="3"/>
        <v>0</v>
      </c>
      <c r="H92" s="18" t="str">
        <f t="shared" si="4"/>
        <v/>
      </c>
      <c r="I92" s="8"/>
      <c r="J92" s="8"/>
    </row>
    <row r="93" spans="1:10">
      <c r="A93" s="8"/>
      <c r="B93" s="14" t="s">
        <v>84</v>
      </c>
      <c r="C93" s="24"/>
      <c r="D93" s="16">
        <v>0</v>
      </c>
      <c r="E93" s="16" t="s">
        <v>11</v>
      </c>
      <c r="F93" s="16" t="s">
        <v>12</v>
      </c>
      <c r="G93" s="16">
        <f t="shared" si="3"/>
        <v>0</v>
      </c>
      <c r="H93" s="18" t="str">
        <f t="shared" si="4"/>
        <v/>
      </c>
      <c r="I93" s="8"/>
      <c r="J93" s="8"/>
    </row>
    <row r="94" spans="1:10">
      <c r="A94" s="8"/>
      <c r="B94" s="14" t="s">
        <v>85</v>
      </c>
      <c r="C94" s="24"/>
      <c r="D94" s="16">
        <v>0</v>
      </c>
      <c r="E94" s="16" t="s">
        <v>11</v>
      </c>
      <c r="F94" s="16" t="s">
        <v>12</v>
      </c>
      <c r="G94" s="16">
        <f t="shared" si="3"/>
        <v>0</v>
      </c>
      <c r="H94" s="18" t="str">
        <f t="shared" si="4"/>
        <v/>
      </c>
      <c r="I94" s="8"/>
      <c r="J94" s="8"/>
    </row>
    <row r="95" spans="1:10">
      <c r="A95" s="8"/>
      <c r="B95" s="14" t="s">
        <v>86</v>
      </c>
      <c r="C95" s="24"/>
      <c r="D95" s="16">
        <v>0</v>
      </c>
      <c r="E95" s="16" t="s">
        <v>11</v>
      </c>
      <c r="F95" s="16" t="s">
        <v>12</v>
      </c>
      <c r="G95" s="16">
        <f t="shared" si="3"/>
        <v>0</v>
      </c>
      <c r="H95" s="18" t="str">
        <f t="shared" si="4"/>
        <v/>
      </c>
      <c r="I95" s="8"/>
      <c r="J95" s="8"/>
    </row>
    <row r="96" spans="1:10">
      <c r="A96" s="8"/>
      <c r="B96" s="14" t="s">
        <v>87</v>
      </c>
      <c r="C96" s="24"/>
      <c r="D96" s="16">
        <v>0</v>
      </c>
      <c r="E96" s="16" t="s">
        <v>11</v>
      </c>
      <c r="F96" s="16" t="s">
        <v>12</v>
      </c>
      <c r="G96" s="16">
        <f t="shared" si="3"/>
        <v>0</v>
      </c>
      <c r="H96" s="18" t="str">
        <f t="shared" si="4"/>
        <v/>
      </c>
      <c r="I96" s="8"/>
      <c r="J96" s="8"/>
    </row>
    <row r="97" spans="1:10">
      <c r="A97" s="8"/>
      <c r="B97" s="14" t="s">
        <v>88</v>
      </c>
      <c r="C97" s="24"/>
      <c r="D97" s="16">
        <v>0</v>
      </c>
      <c r="E97" s="16" t="s">
        <v>11</v>
      </c>
      <c r="F97" s="16" t="s">
        <v>12</v>
      </c>
      <c r="G97" s="16">
        <f t="shared" si="3"/>
        <v>0</v>
      </c>
      <c r="H97" s="18" t="str">
        <f t="shared" si="4"/>
        <v/>
      </c>
      <c r="I97" s="8"/>
      <c r="J97" s="8"/>
    </row>
    <row r="98" spans="1:10">
      <c r="A98" s="8"/>
      <c r="B98" s="14" t="s">
        <v>89</v>
      </c>
      <c r="C98" s="24"/>
      <c r="D98" s="16">
        <v>0</v>
      </c>
      <c r="E98" s="16" t="s">
        <v>11</v>
      </c>
      <c r="F98" s="16" t="s">
        <v>12</v>
      </c>
      <c r="G98" s="16">
        <f t="shared" si="3"/>
        <v>0</v>
      </c>
      <c r="H98" s="18" t="str">
        <f t="shared" si="4"/>
        <v/>
      </c>
      <c r="I98" s="8"/>
      <c r="J98" s="8"/>
    </row>
    <row r="99" spans="1:10">
      <c r="A99" s="8"/>
      <c r="B99" s="14" t="s">
        <v>90</v>
      </c>
      <c r="C99" s="24"/>
      <c r="D99" s="16">
        <v>0</v>
      </c>
      <c r="E99" s="16" t="s">
        <v>11</v>
      </c>
      <c r="F99" s="16" t="s">
        <v>12</v>
      </c>
      <c r="G99" s="16">
        <f t="shared" si="3"/>
        <v>0</v>
      </c>
      <c r="H99" s="18" t="str">
        <f t="shared" si="4"/>
        <v/>
      </c>
      <c r="I99" s="8"/>
      <c r="J99" s="8"/>
    </row>
    <row r="100" spans="1:10">
      <c r="A100" s="8"/>
      <c r="B100" s="14" t="s">
        <v>91</v>
      </c>
      <c r="C100" s="24"/>
      <c r="D100" s="16">
        <v>0</v>
      </c>
      <c r="E100" s="16" t="s">
        <v>11</v>
      </c>
      <c r="F100" s="16" t="s">
        <v>12</v>
      </c>
      <c r="G100" s="16">
        <f t="shared" ref="G100:G106" si="5">$D100+$C100</f>
        <v>0</v>
      </c>
      <c r="H100" s="18" t="str">
        <f t="shared" ref="H100:H106" si="6">IF(AND($D100=0, $G100&gt;0),"new", IF(AND($D100&gt;0, $G100=0),"sold",""))</f>
        <v/>
      </c>
      <c r="I100" s="8"/>
      <c r="J100" s="8"/>
    </row>
    <row r="101" spans="1:10">
      <c r="A101" s="8"/>
      <c r="B101" s="14" t="s">
        <v>92</v>
      </c>
      <c r="C101" s="24"/>
      <c r="D101" s="16">
        <v>0</v>
      </c>
      <c r="E101" s="16" t="s">
        <v>11</v>
      </c>
      <c r="F101" s="16" t="s">
        <v>12</v>
      </c>
      <c r="G101" s="16">
        <f t="shared" si="5"/>
        <v>0</v>
      </c>
      <c r="H101" s="18" t="str">
        <f t="shared" si="6"/>
        <v/>
      </c>
      <c r="I101" s="8"/>
      <c r="J101" s="8"/>
    </row>
    <row r="102" spans="1:10">
      <c r="A102" s="8"/>
      <c r="B102" s="14" t="s">
        <v>93</v>
      </c>
      <c r="C102" s="24"/>
      <c r="D102" s="16">
        <v>0</v>
      </c>
      <c r="E102" s="16" t="s">
        <v>11</v>
      </c>
      <c r="F102" s="16" t="s">
        <v>12</v>
      </c>
      <c r="G102" s="16">
        <f t="shared" si="5"/>
        <v>0</v>
      </c>
      <c r="H102" s="18" t="str">
        <f t="shared" si="6"/>
        <v/>
      </c>
      <c r="I102" s="8"/>
      <c r="J102" s="8"/>
    </row>
    <row r="103" spans="1:10">
      <c r="A103" s="8"/>
      <c r="B103" s="14" t="s">
        <v>94</v>
      </c>
      <c r="C103" s="24"/>
      <c r="D103" s="16">
        <v>0</v>
      </c>
      <c r="E103" s="16" t="s">
        <v>11</v>
      </c>
      <c r="F103" s="16" t="s">
        <v>12</v>
      </c>
      <c r="G103" s="16">
        <f t="shared" si="5"/>
        <v>0</v>
      </c>
      <c r="H103" s="18" t="str">
        <f t="shared" si="6"/>
        <v/>
      </c>
      <c r="I103" s="8"/>
      <c r="J103" s="8"/>
    </row>
    <row r="104" spans="1:10">
      <c r="A104" s="8"/>
      <c r="B104" s="14" t="s">
        <v>95</v>
      </c>
      <c r="C104" s="24"/>
      <c r="D104" s="16">
        <v>0</v>
      </c>
      <c r="E104" s="16" t="s">
        <v>11</v>
      </c>
      <c r="F104" s="16" t="s">
        <v>12</v>
      </c>
      <c r="G104" s="16">
        <f t="shared" si="5"/>
        <v>0</v>
      </c>
      <c r="H104" s="18" t="str">
        <f t="shared" si="6"/>
        <v/>
      </c>
      <c r="I104" s="8"/>
      <c r="J104" s="8"/>
    </row>
    <row r="105" spans="1:10">
      <c r="A105" s="8"/>
      <c r="B105" s="14" t="s">
        <v>96</v>
      </c>
      <c r="C105" s="24"/>
      <c r="D105" s="16">
        <v>0</v>
      </c>
      <c r="E105" s="16" t="s">
        <v>11</v>
      </c>
      <c r="F105" s="16" t="s">
        <v>12</v>
      </c>
      <c r="G105" s="16">
        <f t="shared" si="5"/>
        <v>0</v>
      </c>
      <c r="H105" s="18" t="str">
        <f t="shared" si="6"/>
        <v/>
      </c>
      <c r="I105" s="8"/>
      <c r="J105" s="8"/>
    </row>
    <row r="106" spans="1:10">
      <c r="A106" s="8"/>
      <c r="B106" s="19" t="s">
        <v>97</v>
      </c>
      <c r="C106" s="24"/>
      <c r="D106" s="20">
        <v>0</v>
      </c>
      <c r="E106" s="20" t="s">
        <v>11</v>
      </c>
      <c r="F106" s="20" t="s">
        <v>12</v>
      </c>
      <c r="G106" s="20">
        <f t="shared" si="5"/>
        <v>0</v>
      </c>
      <c r="H106" s="21" t="str">
        <f t="shared" si="6"/>
        <v/>
      </c>
      <c r="I106" s="8"/>
      <c r="J106" s="8"/>
    </row>
    <row r="107" spans="1:10">
      <c r="A107" s="8"/>
      <c r="B107" s="12"/>
      <c r="C107" s="12"/>
      <c r="D107" s="12">
        <f>COUNTIF($D$36:$D$106,"&gt;0")</f>
        <v>2</v>
      </c>
      <c r="E107" s="12" t="s">
        <v>98</v>
      </c>
      <c r="F107" s="12"/>
      <c r="G107" s="12">
        <f>COUNTIF(G36:G106,"&gt;0")</f>
        <v>2</v>
      </c>
      <c r="H107" s="31" t="s">
        <v>98</v>
      </c>
      <c r="I107" s="8"/>
      <c r="J107" s="8"/>
    </row>
    <row r="108" spans="1:10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>
      <c r="A146" s="8"/>
      <c r="B146" s="8"/>
      <c r="C146" s="8"/>
      <c r="D146" s="8"/>
      <c r="E146" s="8"/>
      <c r="F146" s="8"/>
      <c r="G146" s="8"/>
      <c r="H146" s="8"/>
      <c r="I146" s="8"/>
      <c r="J146" s="8"/>
    </row>
  </sheetData>
  <dataValidations count="3">
    <dataValidation type="decimal" operator="greaterThanOrEqual" allowBlank="1" showInputMessage="1" showErrorMessage="1" errorTitle="Error" error="This error occurred because user was trying to sell more than owned" promptTitle="Storages" prompt="Enter Capacity (Positive number to buy, Negative number to sell)" sqref="C36:C106">
      <formula1>-D36:D106</formula1>
    </dataValidation>
    <dataValidation type="whole" operator="greaterThanOrEqual" allowBlank="1" showInputMessage="1" showErrorMessage="1" errorTitle="Error" error="This error occurred because a non-integer was entered or user was trying to sell more than owned" promptTitle="TankCars" prompt="Enter Unit of Cars (Positive integer to buy, Negative integer to sell)" sqref="C21:C30">
      <formula1>-D21:D30</formula1>
    </dataValidation>
    <dataValidation type="decimal" operator="greaterThanOrEqual" allowBlank="1" showInputMessage="1" showErrorMessage="1" errorTitle="Error" error="This error occurred because user was trying to sell more than owned" promptTitle="Plants" prompt="Enter Capacity (Positive number to buy, Negative number to sell)" sqref="C6:C15">
      <formula1>-D6:D15</formula1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opLeftCell="A21" workbookViewId="0">
      <selection activeCell="G54" sqref="G54"/>
    </sheetView>
  </sheetViews>
  <sheetFormatPr baseColWidth="10" defaultRowHeight="15" x14ac:dyDescent="0"/>
  <sheetData>
    <row r="1" spans="1:16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1:16">
      <c r="A2" s="32"/>
      <c r="B2" s="33" t="s">
        <v>99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6">
      <c r="A3" s="32"/>
      <c r="B3" s="34" t="s">
        <v>100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1:16">
      <c r="A4" s="32"/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2"/>
      <c r="P4" s="32"/>
    </row>
    <row r="5" spans="1:16">
      <c r="A5" s="32"/>
      <c r="B5" s="37" t="s">
        <v>101</v>
      </c>
      <c r="C5" s="38" t="s">
        <v>102</v>
      </c>
      <c r="D5" s="38" t="s">
        <v>103</v>
      </c>
      <c r="E5" s="38" t="s">
        <v>104</v>
      </c>
      <c r="F5" s="38" t="s">
        <v>105</v>
      </c>
      <c r="G5" s="38" t="s">
        <v>106</v>
      </c>
      <c r="H5" s="38" t="s">
        <v>107</v>
      </c>
      <c r="I5" s="38" t="s">
        <v>108</v>
      </c>
      <c r="J5" s="38" t="s">
        <v>109</v>
      </c>
      <c r="K5" s="38" t="s">
        <v>110</v>
      </c>
      <c r="L5" s="38" t="s">
        <v>111</v>
      </c>
      <c r="M5" s="38" t="s">
        <v>112</v>
      </c>
      <c r="N5" s="39" t="s">
        <v>113</v>
      </c>
      <c r="O5" s="32"/>
      <c r="P5" s="32"/>
    </row>
    <row r="6" spans="1:16">
      <c r="A6" s="32"/>
      <c r="B6" s="40" t="s">
        <v>114</v>
      </c>
      <c r="C6" s="41">
        <v>586.26074664847897</v>
      </c>
      <c r="D6" s="42">
        <v>412.138645329133</v>
      </c>
      <c r="E6" s="42">
        <v>297.75497036335298</v>
      </c>
      <c r="F6" s="42">
        <v>3778.3869528210098</v>
      </c>
      <c r="G6" s="42">
        <v>3480.8022887972302</v>
      </c>
      <c r="H6" s="42">
        <v>2845.9036455292198</v>
      </c>
      <c r="I6" s="42">
        <v>0</v>
      </c>
      <c r="J6" s="42">
        <v>4309.6357416808396</v>
      </c>
      <c r="K6" s="42">
        <v>3758.6462004679902</v>
      </c>
      <c r="L6" s="42">
        <v>2149.99653900673</v>
      </c>
      <c r="M6" s="42">
        <v>1937.19062984366</v>
      </c>
      <c r="N6" s="42">
        <v>2273.6468695879798</v>
      </c>
      <c r="O6" s="32"/>
      <c r="P6" s="32"/>
    </row>
    <row r="7" spans="1:16">
      <c r="A7" s="32"/>
      <c r="B7" s="40" t="s">
        <v>115</v>
      </c>
      <c r="C7" s="43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32"/>
      <c r="P7" s="32"/>
    </row>
    <row r="8" spans="1:16">
      <c r="A8" s="32"/>
      <c r="B8" s="40" t="s">
        <v>116</v>
      </c>
      <c r="C8" s="43">
        <v>302.05924854906198</v>
      </c>
      <c r="D8" s="44">
        <v>235.684593234495</v>
      </c>
      <c r="E8" s="44">
        <v>0</v>
      </c>
      <c r="F8" s="44">
        <v>0</v>
      </c>
      <c r="G8" s="44">
        <v>0</v>
      </c>
      <c r="H8" s="44">
        <v>0</v>
      </c>
      <c r="I8" s="44">
        <v>291.699051210687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32"/>
      <c r="P8" s="32"/>
    </row>
    <row r="9" spans="1:16">
      <c r="A9" s="32"/>
      <c r="B9" s="40" t="s">
        <v>117</v>
      </c>
      <c r="C9" s="43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32"/>
      <c r="P9" s="32"/>
    </row>
    <row r="10" spans="1:16">
      <c r="A10" s="32"/>
      <c r="B10" s="40" t="s">
        <v>118</v>
      </c>
      <c r="C10" s="43">
        <v>1611.81192825784</v>
      </c>
      <c r="D10" s="44">
        <v>621.26024573143195</v>
      </c>
      <c r="E10" s="44">
        <v>783.09284405379003</v>
      </c>
      <c r="F10" s="44">
        <v>0</v>
      </c>
      <c r="G10" s="44">
        <v>0</v>
      </c>
      <c r="H10" s="44">
        <v>0</v>
      </c>
      <c r="I10" s="44">
        <v>1790.26794602988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32"/>
      <c r="P10" s="32"/>
    </row>
    <row r="11" spans="1:16">
      <c r="A11" s="32"/>
      <c r="B11" s="45" t="s">
        <v>119</v>
      </c>
      <c r="C11" s="43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32"/>
      <c r="P11" s="32"/>
    </row>
    <row r="12" spans="1:16">
      <c r="A12" s="32"/>
      <c r="B12" s="46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8"/>
      <c r="O12" s="32"/>
      <c r="P12" s="32"/>
    </row>
    <row r="13" spans="1:16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</row>
    <row r="14" spans="1:16">
      <c r="A14" s="32"/>
      <c r="B14" s="34" t="s">
        <v>120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</row>
    <row r="15" spans="1:16">
      <c r="A15" s="32"/>
      <c r="B15" s="35"/>
      <c r="C15" s="36"/>
      <c r="D15" s="36"/>
      <c r="E15" s="49"/>
      <c r="F15" s="36"/>
      <c r="G15" s="36"/>
      <c r="H15" s="36"/>
      <c r="I15" s="32"/>
      <c r="J15" s="32"/>
      <c r="K15" s="32"/>
      <c r="L15" s="32"/>
      <c r="M15" s="32"/>
      <c r="N15" s="32"/>
      <c r="O15" s="32"/>
      <c r="P15" s="32"/>
    </row>
    <row r="16" spans="1:16">
      <c r="A16" s="32"/>
      <c r="B16" s="37" t="s">
        <v>121</v>
      </c>
      <c r="C16" s="38" t="s">
        <v>122</v>
      </c>
      <c r="D16" s="38" t="s">
        <v>123</v>
      </c>
      <c r="E16" s="38" t="s">
        <v>122</v>
      </c>
      <c r="F16" s="38" t="s">
        <v>124</v>
      </c>
      <c r="G16" s="38" t="s">
        <v>122</v>
      </c>
      <c r="H16" s="38" t="s">
        <v>125</v>
      </c>
      <c r="I16" s="32"/>
      <c r="J16" s="32"/>
      <c r="K16" s="32"/>
      <c r="L16" s="32"/>
      <c r="M16" s="32"/>
      <c r="N16" s="32"/>
      <c r="O16" s="32"/>
      <c r="P16" s="32"/>
    </row>
    <row r="17" spans="1:16">
      <c r="A17" s="32"/>
      <c r="B17" s="50" t="s">
        <v>114</v>
      </c>
      <c r="C17" s="51"/>
      <c r="D17" s="51"/>
      <c r="E17" s="51"/>
      <c r="F17" s="51"/>
      <c r="G17" s="51"/>
      <c r="H17" s="51"/>
      <c r="I17" s="32" t="s">
        <v>126</v>
      </c>
      <c r="J17" s="32"/>
      <c r="K17" s="32"/>
      <c r="L17" s="32"/>
      <c r="M17" s="32"/>
      <c r="N17" s="32"/>
      <c r="O17" s="32"/>
      <c r="P17" s="32"/>
    </row>
    <row r="18" spans="1:16">
      <c r="A18" s="32"/>
      <c r="B18" s="40" t="s">
        <v>115</v>
      </c>
      <c r="C18" s="52"/>
      <c r="D18" s="52"/>
      <c r="E18" s="52"/>
      <c r="F18" s="52"/>
      <c r="G18" s="52"/>
      <c r="H18" s="52"/>
      <c r="I18" s="32" t="s">
        <v>126</v>
      </c>
      <c r="J18" s="32"/>
      <c r="K18" s="32"/>
      <c r="L18" s="32"/>
      <c r="M18" s="32"/>
      <c r="N18" s="32"/>
      <c r="O18" s="32"/>
      <c r="P18" s="32"/>
    </row>
    <row r="19" spans="1:16">
      <c r="A19" s="32"/>
      <c r="B19" s="40" t="s">
        <v>116</v>
      </c>
      <c r="C19" s="52"/>
      <c r="D19" s="52"/>
      <c r="E19" s="52"/>
      <c r="F19" s="52"/>
      <c r="G19" s="52"/>
      <c r="H19" s="52"/>
      <c r="I19" s="32" t="s">
        <v>126</v>
      </c>
      <c r="J19" s="32"/>
      <c r="K19" s="32"/>
      <c r="L19" s="32"/>
      <c r="M19" s="32"/>
      <c r="N19" s="32"/>
      <c r="O19" s="32"/>
      <c r="P19" s="32"/>
    </row>
    <row r="20" spans="1:16">
      <c r="A20" s="32"/>
      <c r="B20" s="40" t="s">
        <v>117</v>
      </c>
      <c r="C20" s="52"/>
      <c r="D20" s="52"/>
      <c r="E20" s="52"/>
      <c r="F20" s="52"/>
      <c r="G20" s="52"/>
      <c r="H20" s="52"/>
      <c r="I20" s="32"/>
      <c r="J20" s="32"/>
      <c r="K20" s="32"/>
      <c r="L20" s="32"/>
      <c r="M20" s="32"/>
      <c r="N20" s="32"/>
      <c r="O20" s="32"/>
      <c r="P20" s="32"/>
    </row>
    <row r="21" spans="1:16">
      <c r="A21" s="32"/>
      <c r="B21" s="40" t="s">
        <v>118</v>
      </c>
      <c r="C21" s="52"/>
      <c r="D21" s="52"/>
      <c r="E21" s="52"/>
      <c r="F21" s="52"/>
      <c r="G21" s="52"/>
      <c r="H21" s="52"/>
      <c r="I21" s="32"/>
      <c r="J21" s="32"/>
      <c r="K21" s="32"/>
      <c r="L21" s="32"/>
      <c r="M21" s="32"/>
      <c r="N21" s="32"/>
      <c r="O21" s="32"/>
      <c r="P21" s="32"/>
    </row>
    <row r="22" spans="1:16">
      <c r="A22" s="32"/>
      <c r="B22" s="45" t="s">
        <v>119</v>
      </c>
      <c r="C22" s="52"/>
      <c r="D22" s="52"/>
      <c r="E22" s="52"/>
      <c r="F22" s="52"/>
      <c r="G22" s="52"/>
      <c r="H22" s="52"/>
      <c r="I22" s="32"/>
      <c r="J22" s="32"/>
      <c r="K22" s="53"/>
      <c r="L22" s="54"/>
      <c r="M22" s="54"/>
      <c r="N22" s="54"/>
      <c r="O22" s="54"/>
      <c r="P22" s="54"/>
    </row>
    <row r="23" spans="1:16">
      <c r="A23" s="32"/>
      <c r="B23" s="55"/>
      <c r="C23" s="56"/>
      <c r="D23" s="56"/>
      <c r="E23" s="56"/>
      <c r="F23" s="56"/>
      <c r="G23" s="56"/>
      <c r="H23" s="36"/>
      <c r="I23" s="32"/>
      <c r="J23" s="32"/>
      <c r="K23" s="53"/>
      <c r="L23" s="54"/>
      <c r="M23" s="54"/>
      <c r="N23" s="54"/>
      <c r="O23" s="54"/>
      <c r="P23" s="54"/>
    </row>
    <row r="24" spans="1:16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54"/>
      <c r="L24" s="53"/>
      <c r="M24" s="53"/>
      <c r="N24" s="53"/>
      <c r="O24" s="53"/>
      <c r="P24" s="53"/>
    </row>
    <row r="25" spans="1:16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54"/>
      <c r="L25" s="53"/>
      <c r="M25" s="53"/>
      <c r="N25" s="53"/>
      <c r="O25" s="53"/>
      <c r="P25" s="53"/>
    </row>
    <row r="26" spans="1:16">
      <c r="A26" s="32"/>
      <c r="B26" s="34" t="s">
        <v>127</v>
      </c>
      <c r="C26" s="32"/>
      <c r="D26" s="32"/>
      <c r="E26" s="32"/>
      <c r="F26" s="32"/>
      <c r="G26" s="32"/>
      <c r="H26" s="32"/>
      <c r="I26" s="32"/>
      <c r="J26" s="32"/>
      <c r="K26" s="54"/>
      <c r="L26" s="53"/>
      <c r="M26" s="53"/>
      <c r="N26" s="53"/>
      <c r="O26" s="53"/>
      <c r="P26" s="53"/>
    </row>
    <row r="27" spans="1:16">
      <c r="A27" s="32"/>
      <c r="B27" s="35"/>
      <c r="C27" s="36"/>
      <c r="D27" s="36"/>
      <c r="E27" s="36"/>
      <c r="F27" s="36"/>
      <c r="G27" s="36"/>
      <c r="H27" s="36"/>
      <c r="I27" s="36"/>
      <c r="J27" s="36"/>
      <c r="K27" s="49"/>
      <c r="L27" s="36"/>
      <c r="M27" s="36"/>
      <c r="N27" s="36"/>
      <c r="O27" s="36"/>
      <c r="P27" s="36"/>
    </row>
    <row r="28" spans="1:16">
      <c r="A28" s="32"/>
      <c r="B28" s="32"/>
      <c r="C28" s="32"/>
      <c r="D28" s="57">
        <f>[1]basic_info!$D$5-5</f>
        <v>2011</v>
      </c>
      <c r="E28" s="54"/>
      <c r="F28" s="57">
        <f>[1]basic_info!$D$5-4</f>
        <v>2012</v>
      </c>
      <c r="G28" s="54"/>
      <c r="H28" s="57">
        <f>[1]basic_info!$D$5-3</f>
        <v>2013</v>
      </c>
      <c r="I28" s="54"/>
      <c r="J28" s="57">
        <f>[1]basic_info!$D$5-2</f>
        <v>2014</v>
      </c>
      <c r="K28" s="54"/>
      <c r="L28" s="57">
        <f>[1]basic_info!$D$5-1</f>
        <v>2015</v>
      </c>
      <c r="M28" s="32"/>
      <c r="N28" s="57">
        <f>[1]basic_info!$D$5</f>
        <v>2016</v>
      </c>
      <c r="O28" s="32"/>
      <c r="P28" s="53"/>
    </row>
    <row r="29" spans="1:16">
      <c r="A29" s="32"/>
      <c r="B29" s="37" t="s">
        <v>128</v>
      </c>
      <c r="C29" s="37" t="s">
        <v>129</v>
      </c>
      <c r="D29" s="58" t="s">
        <v>130</v>
      </c>
      <c r="E29" s="39" t="s">
        <v>131</v>
      </c>
      <c r="F29" s="58" t="s">
        <v>130</v>
      </c>
      <c r="G29" s="39" t="s">
        <v>131</v>
      </c>
      <c r="H29" s="58" t="s">
        <v>130</v>
      </c>
      <c r="I29" s="39" t="s">
        <v>131</v>
      </c>
      <c r="J29" s="58" t="s">
        <v>130</v>
      </c>
      <c r="K29" s="39" t="s">
        <v>131</v>
      </c>
      <c r="L29" s="58" t="s">
        <v>130</v>
      </c>
      <c r="M29" s="39" t="s">
        <v>131</v>
      </c>
      <c r="N29" s="58" t="s">
        <v>130</v>
      </c>
      <c r="O29" s="39" t="s">
        <v>131</v>
      </c>
      <c r="P29" s="37" t="s">
        <v>132</v>
      </c>
    </row>
    <row r="30" spans="1:16">
      <c r="A30" s="32"/>
      <c r="B30" s="50" t="s">
        <v>133</v>
      </c>
      <c r="C30" s="40">
        <f>[1]basic_info!$D$5</f>
        <v>2016</v>
      </c>
      <c r="D30" s="58">
        <v>0.71552384896278387</v>
      </c>
      <c r="E30" s="39">
        <v>400000</v>
      </c>
      <c r="F30" s="59">
        <v>0.73352858177408109</v>
      </c>
      <c r="G30" s="60">
        <v>400000</v>
      </c>
      <c r="H30" s="59">
        <v>0.80596927418180841</v>
      </c>
      <c r="I30" s="60"/>
      <c r="J30" s="59">
        <v>0.7928423142468306</v>
      </c>
      <c r="K30" s="60"/>
      <c r="L30" s="59">
        <v>0.71750585281449886</v>
      </c>
      <c r="M30" s="60"/>
      <c r="N30" s="61"/>
      <c r="O30" s="62" t="s">
        <v>134</v>
      </c>
      <c r="P30" s="50">
        <f>M30+K30+I30+E30+G30</f>
        <v>800000</v>
      </c>
    </row>
    <row r="31" spans="1:16">
      <c r="A31" s="32"/>
      <c r="B31" s="40"/>
      <c r="C31" s="59">
        <f>[1]basic_info!$D$5+1</f>
        <v>2017</v>
      </c>
      <c r="D31" s="63"/>
      <c r="E31" s="64"/>
      <c r="F31" s="65">
        <v>0.68859153167605403</v>
      </c>
      <c r="G31" s="66">
        <v>400000</v>
      </c>
      <c r="H31" s="67">
        <v>0.76378054147734653</v>
      </c>
      <c r="I31" s="68">
        <v>400000</v>
      </c>
      <c r="J31" s="67">
        <v>0.76345216251861092</v>
      </c>
      <c r="K31" s="68"/>
      <c r="L31" s="67">
        <v>0.71336651790549455</v>
      </c>
      <c r="M31" s="68"/>
      <c r="N31" s="69">
        <v>0.79663835323969678</v>
      </c>
      <c r="O31" s="44"/>
      <c r="P31" s="69">
        <f>O31+M31+K31+I31+G31</f>
        <v>800000</v>
      </c>
    </row>
    <row r="32" spans="1:16">
      <c r="A32" s="32"/>
      <c r="B32" s="40"/>
      <c r="C32" s="59">
        <f>[1]basic_info!$D$5+2</f>
        <v>2018</v>
      </c>
      <c r="D32" s="63"/>
      <c r="E32" s="64"/>
      <c r="F32" s="64"/>
      <c r="G32" s="64"/>
      <c r="H32" s="65">
        <v>0.71205421746969233</v>
      </c>
      <c r="I32" s="66">
        <v>400000</v>
      </c>
      <c r="J32" s="67">
        <v>0.71138841414852361</v>
      </c>
      <c r="K32" s="68">
        <v>400000</v>
      </c>
      <c r="L32" s="67">
        <v>0.70385164023753377</v>
      </c>
      <c r="M32" s="68"/>
      <c r="N32" s="69">
        <v>0.72983412091618527</v>
      </c>
      <c r="O32" s="44"/>
      <c r="P32" s="69">
        <f>O32+M32+K32+I32</f>
        <v>800000</v>
      </c>
    </row>
    <row r="33" spans="1:16">
      <c r="A33" s="32"/>
      <c r="B33" s="40"/>
      <c r="C33" s="59">
        <f>[1]basic_info!$D$5+3</f>
        <v>2019</v>
      </c>
      <c r="D33" s="63"/>
      <c r="E33" s="64"/>
      <c r="F33" s="64"/>
      <c r="G33" s="64"/>
      <c r="H33" s="64"/>
      <c r="I33" s="64"/>
      <c r="J33" s="65">
        <v>0.64779822950959209</v>
      </c>
      <c r="K33" s="66">
        <v>400000</v>
      </c>
      <c r="L33" s="67">
        <v>0.70324457323394596</v>
      </c>
      <c r="M33" s="68">
        <v>400000</v>
      </c>
      <c r="N33" s="69">
        <v>0.69096273574501099</v>
      </c>
      <c r="O33" s="44"/>
      <c r="P33" s="69">
        <f>O33+M33+K33</f>
        <v>800000</v>
      </c>
    </row>
    <row r="34" spans="1:16">
      <c r="A34" s="32"/>
      <c r="B34" s="40"/>
      <c r="C34" s="59">
        <f>[1]basic_info!$D$5+4</f>
        <v>2020</v>
      </c>
      <c r="D34" s="63"/>
      <c r="E34" s="64"/>
      <c r="F34" s="64"/>
      <c r="G34" s="64"/>
      <c r="H34" s="64"/>
      <c r="I34" s="64"/>
      <c r="J34" s="64"/>
      <c r="K34" s="64"/>
      <c r="L34" s="65">
        <v>0.68883503439426419</v>
      </c>
      <c r="M34" s="66">
        <v>400000</v>
      </c>
      <c r="N34" s="69">
        <v>0.63561347387518119</v>
      </c>
      <c r="O34" s="44"/>
      <c r="P34" s="69">
        <f>O34+M34</f>
        <v>400000</v>
      </c>
    </row>
    <row r="35" spans="1:16">
      <c r="A35" s="32"/>
      <c r="B35" s="45"/>
      <c r="C35" s="70">
        <f>[1]basic_info!$D$5+5</f>
        <v>2021</v>
      </c>
      <c r="D35" s="71"/>
      <c r="E35" s="72"/>
      <c r="F35" s="72"/>
      <c r="G35" s="72"/>
      <c r="H35" s="72"/>
      <c r="I35" s="72"/>
      <c r="J35" s="72"/>
      <c r="K35" s="72"/>
      <c r="L35" s="73"/>
      <c r="M35" s="74"/>
      <c r="N35" s="75">
        <v>0.63826440133452411</v>
      </c>
      <c r="O35" s="44"/>
      <c r="P35" s="76">
        <f>O35</f>
        <v>0</v>
      </c>
    </row>
    <row r="36" spans="1:16">
      <c r="A36" s="32"/>
      <c r="B36" s="50" t="s">
        <v>135</v>
      </c>
      <c r="C36" s="40">
        <f>[1]basic_info!$D$5</f>
        <v>2016</v>
      </c>
      <c r="D36" s="58">
        <v>1.023757758513093</v>
      </c>
      <c r="E36" s="39">
        <v>300000</v>
      </c>
      <c r="F36" s="77">
        <v>1.057380701748182</v>
      </c>
      <c r="G36" s="78">
        <v>300000</v>
      </c>
      <c r="H36" s="77">
        <v>1.0326319130993309</v>
      </c>
      <c r="I36" s="78">
        <v>300000</v>
      </c>
      <c r="J36" s="77">
        <v>0.98761410383669901</v>
      </c>
      <c r="K36" s="78">
        <v>300000</v>
      </c>
      <c r="L36" s="79">
        <v>1.220323087273776</v>
      </c>
      <c r="M36" s="80">
        <v>600000</v>
      </c>
      <c r="N36" s="81"/>
      <c r="O36" s="62" t="s">
        <v>134</v>
      </c>
      <c r="P36" s="50">
        <f>M36+K36+I36+E36+G36</f>
        <v>1800000</v>
      </c>
    </row>
    <row r="37" spans="1:16">
      <c r="A37" s="32"/>
      <c r="B37" s="40"/>
      <c r="C37" s="59">
        <f>[1]basic_info!$D$5+1</f>
        <v>2017</v>
      </c>
      <c r="D37" s="63"/>
      <c r="E37" s="64"/>
      <c r="F37" s="65">
        <v>0.96417330466210838</v>
      </c>
      <c r="G37" s="66">
        <v>300000</v>
      </c>
      <c r="H37" s="67">
        <v>1.0068793309599473</v>
      </c>
      <c r="I37" s="68">
        <v>300000</v>
      </c>
      <c r="J37" s="67">
        <v>0.92888160054944402</v>
      </c>
      <c r="K37" s="68">
        <v>300000</v>
      </c>
      <c r="L37" s="67">
        <v>1.1965873199126678</v>
      </c>
      <c r="M37" s="68">
        <v>300000</v>
      </c>
      <c r="N37" s="67">
        <v>1.0462858466047913</v>
      </c>
      <c r="O37" s="44"/>
      <c r="P37" s="69">
        <f>O37+M37+K37+I37+G37</f>
        <v>1200000</v>
      </c>
    </row>
    <row r="38" spans="1:16">
      <c r="A38" s="32"/>
      <c r="B38" s="40"/>
      <c r="C38" s="59">
        <f>[1]basic_info!$D$5+2</f>
        <v>2018</v>
      </c>
      <c r="D38" s="63"/>
      <c r="E38" s="64"/>
      <c r="F38" s="64"/>
      <c r="G38" s="64"/>
      <c r="H38" s="65">
        <v>0.98247019918262957</v>
      </c>
      <c r="I38" s="66">
        <v>300000</v>
      </c>
      <c r="J38" s="67">
        <v>0.89159402523119113</v>
      </c>
      <c r="K38" s="68">
        <v>300000</v>
      </c>
      <c r="L38" s="67">
        <v>1.0960048363700774</v>
      </c>
      <c r="M38" s="68">
        <v>300000</v>
      </c>
      <c r="N38" s="67">
        <v>1.02224518434864</v>
      </c>
      <c r="O38" s="44"/>
      <c r="P38" s="69">
        <f>O38+M38+K38+I38</f>
        <v>900000</v>
      </c>
    </row>
    <row r="39" spans="1:16">
      <c r="A39" s="32"/>
      <c r="B39" s="40"/>
      <c r="C39" s="59">
        <f>[1]basic_info!$D$5+3</f>
        <v>2019</v>
      </c>
      <c r="D39" s="63"/>
      <c r="E39" s="64"/>
      <c r="F39" s="64"/>
      <c r="G39" s="64"/>
      <c r="H39" s="64"/>
      <c r="I39" s="64"/>
      <c r="J39" s="65">
        <v>0.88621167258918288</v>
      </c>
      <c r="K39" s="66">
        <v>300000</v>
      </c>
      <c r="L39" s="67">
        <v>1.056931589689706</v>
      </c>
      <c r="M39" s="68">
        <v>300000</v>
      </c>
      <c r="N39" s="67">
        <v>0.93281131383436111</v>
      </c>
      <c r="O39" s="44"/>
      <c r="P39" s="69">
        <f>O39+M39+K39</f>
        <v>600000</v>
      </c>
    </row>
    <row r="40" spans="1:16">
      <c r="A40" s="32"/>
      <c r="B40" s="40"/>
      <c r="C40" s="59">
        <f>[1]basic_info!$D$5+4</f>
        <v>2020</v>
      </c>
      <c r="D40" s="63"/>
      <c r="E40" s="64"/>
      <c r="F40" s="64"/>
      <c r="G40" s="64"/>
      <c r="H40" s="64"/>
      <c r="I40" s="64"/>
      <c r="J40" s="64"/>
      <c r="K40" s="64"/>
      <c r="L40" s="65">
        <v>1.0197174708992243</v>
      </c>
      <c r="M40" s="66">
        <v>300000</v>
      </c>
      <c r="N40" s="67">
        <v>0.86130552542183847</v>
      </c>
      <c r="O40" s="44"/>
      <c r="P40" s="69">
        <f>O40+M40</f>
        <v>300000</v>
      </c>
    </row>
    <row r="41" spans="1:16">
      <c r="A41" s="32"/>
      <c r="B41" s="45"/>
      <c r="C41" s="70">
        <f>[1]basic_info!$D$5+5</f>
        <v>2021</v>
      </c>
      <c r="D41" s="71"/>
      <c r="E41" s="72"/>
      <c r="F41" s="72"/>
      <c r="G41" s="72"/>
      <c r="H41" s="72"/>
      <c r="I41" s="72"/>
      <c r="J41" s="72"/>
      <c r="K41" s="72"/>
      <c r="L41" s="73"/>
      <c r="M41" s="74"/>
      <c r="N41" s="65">
        <v>0.87688502262532708</v>
      </c>
      <c r="O41" s="44"/>
      <c r="P41" s="75">
        <f>O41</f>
        <v>0</v>
      </c>
    </row>
    <row r="42" spans="1:16">
      <c r="A42" s="32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</row>
    <row r="43" spans="1:16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</row>
    <row r="44" spans="1:16">
      <c r="A44" s="32"/>
      <c r="B44" s="34" t="s">
        <v>136</v>
      </c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</row>
    <row r="45" spans="1:16">
      <c r="A45" s="32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2"/>
    </row>
    <row r="46" spans="1:16">
      <c r="A46" s="32"/>
      <c r="B46" s="37" t="s">
        <v>137</v>
      </c>
      <c r="C46" s="38" t="s">
        <v>102</v>
      </c>
      <c r="D46" s="38" t="s">
        <v>103</v>
      </c>
      <c r="E46" s="38" t="s">
        <v>104</v>
      </c>
      <c r="F46" s="38" t="s">
        <v>105</v>
      </c>
      <c r="G46" s="38" t="s">
        <v>106</v>
      </c>
      <c r="H46" s="38" t="s">
        <v>107</v>
      </c>
      <c r="I46" s="38" t="s">
        <v>108</v>
      </c>
      <c r="J46" s="38" t="s">
        <v>109</v>
      </c>
      <c r="K46" s="38" t="s">
        <v>110</v>
      </c>
      <c r="L46" s="38" t="s">
        <v>111</v>
      </c>
      <c r="M46" s="38" t="s">
        <v>112</v>
      </c>
      <c r="N46" s="39" t="s">
        <v>113</v>
      </c>
      <c r="O46" s="37" t="s">
        <v>132</v>
      </c>
      <c r="P46" s="32"/>
    </row>
    <row r="47" spans="1:16">
      <c r="A47" s="32"/>
      <c r="B47" s="50" t="s">
        <v>133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37">
        <f>SUM(C47:N47)</f>
        <v>0</v>
      </c>
      <c r="P47" s="32"/>
    </row>
    <row r="48" spans="1:16">
      <c r="A48" s="32"/>
      <c r="B48" s="45" t="s">
        <v>135</v>
      </c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37">
        <f>SUM(C48:N48)</f>
        <v>0</v>
      </c>
      <c r="P48" s="32"/>
    </row>
    <row r="49" spans="1:16">
      <c r="A49" s="32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2"/>
    </row>
    <row r="50" spans="1:16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</row>
    <row r="51" spans="1:16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</row>
    <row r="52" spans="1:16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</row>
    <row r="53" spans="1:16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</row>
    <row r="54" spans="1:16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</row>
    <row r="55" spans="1:16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</row>
    <row r="56" spans="1:1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</row>
    <row r="57" spans="1:16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</row>
    <row r="58" spans="1:16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</row>
    <row r="59" spans="1:16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</row>
    <row r="60" spans="1:16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</row>
    <row r="61" spans="1:16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</row>
    <row r="62" spans="1:16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</row>
    <row r="63" spans="1:16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</row>
    <row r="64" spans="1:16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</row>
    <row r="65" spans="1:16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</row>
    <row r="66" spans="1:1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</row>
    <row r="67" spans="1:16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</row>
    <row r="68" spans="1:16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</row>
    <row r="69" spans="1:16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</row>
    <row r="70" spans="1:16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</row>
    <row r="71" spans="1:16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</row>
    <row r="72" spans="1:16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</row>
    <row r="73" spans="1:16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</row>
    <row r="74" spans="1:16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</row>
    <row r="75" spans="1:16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</row>
    <row r="76" spans="1:1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</row>
    <row r="77" spans="1:16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</row>
    <row r="78" spans="1:16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</row>
    <row r="79" spans="1:16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</row>
    <row r="80" spans="1:16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</row>
    <row r="81" spans="1:16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</row>
    <row r="82" spans="1:16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</row>
    <row r="83" spans="1:16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</row>
    <row r="84" spans="1:16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</row>
    <row r="85" spans="1:16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</row>
    <row r="86" spans="1:1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</row>
    <row r="87" spans="1:16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</row>
    <row r="88" spans="1:16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</row>
    <row r="89" spans="1:16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</row>
    <row r="90" spans="1:16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</row>
  </sheetData>
  <dataValidations count="8">
    <dataValidation type="decimal" allowBlank="1" showInputMessage="1" showErrorMessage="1" errorTitle="Error" error="You must enter a number between 0 and 100 (inclusive)" promptTitle="Percentage" prompt="Enter a number between 0 and 100 (inclusive)" sqref="C47:N48">
      <formula1>0</formula1>
      <formula2>100</formula2>
    </dataValidation>
    <dataValidation type="decimal" operator="greaterThanOrEqual" allowBlank="1" showInputMessage="1" showErrorMessage="1" errorTitle="Error" error="This error occurred because a non-positive number was entered" promptTitle="Futures" prompt="Enter amount of FCOJ futures to purchase" sqref="O37:O41">
      <formula1>0</formula1>
    </dataValidation>
    <dataValidation type="decimal" operator="greaterThanOrEqual" allowBlank="1" showInputMessage="1" showErrorMessage="1" errorTitle="Error" error="This error occurred because a non-positive number was entered" promptTitle="Futures" prompt="Enter amount of ORA futures to purchase" sqref="O31:O35">
      <formula1>0</formula1>
    </dataValidation>
    <dataValidation type="decimal" operator="greaterThanOrEqual" allowBlank="1" showInputMessage="1" showErrorMessage="1" errorTitle="Error" error="This error occurred because a non-positive number was entered" promptTitle="Prices" prompt="Enter prices (Note Unit: $/lb)" sqref="D17:D22 F17:F22 H17:H22">
      <formula1>0</formula1>
    </dataValidation>
    <dataValidation type="decimal" operator="greaterThanOrEqual" allowBlank="1" showInputMessage="1" showErrorMessage="1" errorTitle="Error" error="This error occurred because a non-positive number was entered" promptTitle="Quantity Multipliers" prompt="Enter quantity multiplier when price 2 &lt; real price &lt;= price 3 (Note: quantity multiplier = 0 if real price &gt; price 3)" sqref="G17:G22">
      <formula1>0</formula1>
    </dataValidation>
    <dataValidation type="decimal" operator="greaterThanOrEqual" allowBlank="1" showInputMessage="1" showErrorMessage="1" errorTitle="Error" error="This error occurred because a non-positive number was entered" promptTitle="Quantity Multipliers" prompt="Enter quantity multiplier when price 1 &lt; real price &lt;= price 2" sqref="E17:E22">
      <formula1>0</formula1>
    </dataValidation>
    <dataValidation type="decimal" operator="greaterThanOrEqual" allowBlank="1" showInputMessage="1" showErrorMessage="1" errorTitle="Error" error="This error occurred because a non-positive number was entered" promptTitle="Quantity Multipliers" prompt="Enter quantity multiplier when 0 &lt; real price &lt;= price 1" sqref="C17:C22">
      <formula1>0</formula1>
    </dataValidation>
    <dataValidation type="decimal" operator="greaterThanOrEqual" allowBlank="1" showInputMessage="1" showErrorMessage="1" errorTitle="Error" error="This error occurred because a non-positive number was entered" promptTitle="Purchases" prompt="Enter amount of fresh oranges (ORA) to purchase" sqref="C6:N11">
      <formula1>0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workbookViewId="0">
      <selection activeCell="C20" sqref="C20"/>
    </sheetView>
  </sheetViews>
  <sheetFormatPr baseColWidth="10" defaultRowHeight="15" x14ac:dyDescent="0"/>
  <sheetData>
    <row r="1" spans="1:17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17">
      <c r="A2" s="32"/>
      <c r="B2" s="33" t="s">
        <v>138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>
      <c r="A3" s="32"/>
      <c r="B3" s="34" t="s">
        <v>139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</row>
    <row r="4" spans="1:17">
      <c r="A4" s="32"/>
      <c r="B4" s="83"/>
      <c r="C4" s="83"/>
      <c r="D4" s="83"/>
      <c r="E4" s="83"/>
      <c r="F4" s="83"/>
      <c r="G4" s="54"/>
      <c r="H4" s="54"/>
      <c r="I4" s="54"/>
      <c r="J4" s="54"/>
      <c r="K4" s="54"/>
      <c r="L4" s="54"/>
      <c r="M4" s="32"/>
      <c r="N4" s="32"/>
      <c r="O4" s="32"/>
      <c r="P4" s="32"/>
      <c r="Q4" s="32"/>
    </row>
    <row r="5" spans="1:17">
      <c r="A5" s="32"/>
      <c r="B5" s="57" t="s">
        <v>140</v>
      </c>
      <c r="C5" s="57" t="s">
        <v>18</v>
      </c>
      <c r="D5" s="57" t="s">
        <v>30</v>
      </c>
      <c r="E5" s="57" t="s">
        <v>67</v>
      </c>
      <c r="F5" s="57" t="s">
        <v>132</v>
      </c>
      <c r="G5" s="53"/>
      <c r="H5" s="53"/>
      <c r="I5" s="53"/>
      <c r="J5" s="53"/>
      <c r="K5" s="53"/>
      <c r="L5" s="53"/>
      <c r="M5" s="53"/>
      <c r="N5" s="53"/>
      <c r="O5" s="53"/>
      <c r="P5" s="32"/>
      <c r="Q5" s="32"/>
    </row>
    <row r="6" spans="1:17">
      <c r="A6" s="32"/>
      <c r="B6" s="57" t="s">
        <v>141</v>
      </c>
      <c r="C6" s="84">
        <f>7268.5690006566/(7268.5690006566+2412.57754356543+16149.2166858536) * 100</f>
        <v>28.139631393930337</v>
      </c>
      <c r="D6" s="84">
        <f>2412.57754356543/(7268.5690006566+2412.57754356543+16149.2166858536) * 100</f>
        <v>9.3400836917242458</v>
      </c>
      <c r="E6" s="84">
        <f>16149.2166858536/(7268.5690006566+2412.57754356543+16149.2166858536) * 100</f>
        <v>62.520284914345424</v>
      </c>
      <c r="F6" s="85">
        <f>SUM($C$6:$E$6)</f>
        <v>100</v>
      </c>
      <c r="G6" s="54"/>
      <c r="H6" s="54"/>
      <c r="I6" s="54"/>
      <c r="J6" s="54"/>
      <c r="K6" s="54"/>
      <c r="L6" s="54"/>
      <c r="M6" s="53"/>
      <c r="N6" s="53"/>
      <c r="O6" s="53"/>
      <c r="P6" s="32"/>
      <c r="Q6" s="32"/>
    </row>
    <row r="7" spans="1:17">
      <c r="A7" s="32"/>
      <c r="B7" s="57" t="s">
        <v>115</v>
      </c>
      <c r="C7" s="84"/>
      <c r="D7" s="84"/>
      <c r="E7" s="84"/>
      <c r="F7" s="85">
        <f>SUM($C$7:$E$7)</f>
        <v>0</v>
      </c>
      <c r="G7" s="54"/>
      <c r="H7" s="54"/>
      <c r="I7" s="54"/>
      <c r="J7" s="54"/>
      <c r="K7" s="54"/>
      <c r="L7" s="54"/>
      <c r="M7" s="53"/>
      <c r="N7" s="53"/>
      <c r="O7" s="53"/>
      <c r="P7" s="32"/>
      <c r="Q7" s="32"/>
    </row>
    <row r="8" spans="1:17">
      <c r="A8" s="32"/>
      <c r="B8" s="57" t="s">
        <v>116</v>
      </c>
      <c r="C8" s="84"/>
      <c r="D8" s="84">
        <v>100</v>
      </c>
      <c r="E8" s="84"/>
      <c r="F8" s="85">
        <f>SUM($C$8:$E$8)</f>
        <v>100</v>
      </c>
      <c r="G8" s="54"/>
      <c r="H8" s="54"/>
      <c r="I8" s="54"/>
      <c r="J8" s="54"/>
      <c r="K8" s="54"/>
      <c r="L8" s="54"/>
      <c r="M8" s="53"/>
      <c r="N8" s="53"/>
      <c r="O8" s="53"/>
      <c r="P8" s="32"/>
      <c r="Q8" s="32"/>
    </row>
    <row r="9" spans="1:17">
      <c r="A9" s="32"/>
      <c r="B9" s="57" t="s">
        <v>117</v>
      </c>
      <c r="C9" s="84"/>
      <c r="D9" s="84"/>
      <c r="E9" s="84"/>
      <c r="F9" s="85">
        <f>SUM($C$9:$E$9)</f>
        <v>0</v>
      </c>
      <c r="G9" s="54"/>
      <c r="H9" s="54"/>
      <c r="I9" s="54"/>
      <c r="J9" s="54"/>
      <c r="K9" s="54"/>
      <c r="L9" s="54"/>
      <c r="M9" s="53"/>
      <c r="N9" s="53"/>
      <c r="O9" s="53"/>
      <c r="P9" s="32"/>
      <c r="Q9" s="32"/>
    </row>
    <row r="10" spans="1:17">
      <c r="A10" s="32"/>
      <c r="B10" s="57" t="s">
        <v>118</v>
      </c>
      <c r="C10" s="84"/>
      <c r="D10" s="84"/>
      <c r="E10" s="84"/>
      <c r="F10" s="85">
        <f>SUM($C$10:$E$10)</f>
        <v>0</v>
      </c>
      <c r="G10" s="54"/>
      <c r="H10" s="54"/>
      <c r="I10" s="54"/>
      <c r="J10" s="54"/>
      <c r="K10" s="54"/>
      <c r="L10" s="54"/>
      <c r="M10" s="53"/>
      <c r="N10" s="53"/>
      <c r="O10" s="53"/>
      <c r="P10" s="32"/>
      <c r="Q10" s="32"/>
    </row>
    <row r="11" spans="1:17">
      <c r="A11" s="32"/>
      <c r="B11" s="57" t="s">
        <v>119</v>
      </c>
      <c r="C11" s="86"/>
      <c r="D11" s="86">
        <f>307.029206834713/(307.029206834713 + 4499.40375723824) * 100</f>
        <v>6.3878807658338292</v>
      </c>
      <c r="E11" s="86">
        <f>4499.40375723824/(307.029206834713 + 4499.40375723824) * 100</f>
        <v>93.612119234166158</v>
      </c>
      <c r="F11" s="87">
        <f>SUM($C$11:$E$11)</f>
        <v>99.999999999999986</v>
      </c>
      <c r="G11" s="54"/>
      <c r="H11" s="54"/>
      <c r="I11" s="54"/>
      <c r="J11" s="54"/>
      <c r="K11" s="54"/>
      <c r="L11" s="54"/>
      <c r="M11" s="53"/>
      <c r="N11" s="53"/>
      <c r="O11" s="53"/>
      <c r="P11" s="32"/>
      <c r="Q11" s="32"/>
    </row>
    <row r="12" spans="1:17">
      <c r="A12" s="32"/>
      <c r="B12" s="49"/>
      <c r="C12" s="49"/>
      <c r="D12" s="49"/>
      <c r="E12" s="49"/>
      <c r="F12" s="49"/>
      <c r="G12" s="54"/>
      <c r="H12" s="54"/>
      <c r="I12" s="54"/>
      <c r="J12" s="54"/>
      <c r="K12" s="54"/>
      <c r="L12" s="54"/>
      <c r="M12" s="53"/>
      <c r="N12" s="53"/>
      <c r="O12" s="53"/>
      <c r="P12" s="32"/>
      <c r="Q12" s="32"/>
    </row>
    <row r="13" spans="1:17">
      <c r="A13" s="32"/>
      <c r="B13" s="32"/>
      <c r="C13" s="54"/>
      <c r="D13" s="54"/>
      <c r="E13" s="54"/>
      <c r="F13" s="54"/>
      <c r="G13" s="54"/>
      <c r="H13" s="54"/>
      <c r="I13" s="53"/>
      <c r="J13" s="53"/>
      <c r="K13" s="53"/>
      <c r="L13" s="32"/>
      <c r="M13" s="32"/>
      <c r="N13" s="32"/>
      <c r="O13" s="32"/>
      <c r="P13" s="32"/>
      <c r="Q13" s="32"/>
    </row>
    <row r="14" spans="1:17">
      <c r="A14" s="32"/>
      <c r="B14" s="88" t="s">
        <v>142</v>
      </c>
      <c r="C14" s="54"/>
      <c r="D14" s="54"/>
      <c r="E14" s="54"/>
      <c r="F14" s="54"/>
      <c r="G14" s="54"/>
      <c r="H14" s="54"/>
      <c r="I14" s="53"/>
      <c r="J14" s="53"/>
      <c r="K14" s="53"/>
      <c r="L14" s="32"/>
      <c r="M14" s="32"/>
      <c r="N14" s="32"/>
      <c r="O14" s="32"/>
      <c r="P14" s="32"/>
      <c r="Q14" s="32"/>
    </row>
    <row r="15" spans="1:17">
      <c r="A15" s="32"/>
      <c r="B15" s="89" t="s">
        <v>143</v>
      </c>
      <c r="C15" s="53"/>
      <c r="D15" s="53"/>
      <c r="E15" s="53"/>
      <c r="F15" s="53"/>
      <c r="G15" s="53"/>
      <c r="H15" s="53"/>
      <c r="I15" s="53"/>
      <c r="J15" s="53"/>
      <c r="K15" s="53"/>
      <c r="L15" s="32"/>
      <c r="M15" s="32"/>
      <c r="N15" s="32"/>
      <c r="O15" s="32"/>
      <c r="P15" s="32"/>
      <c r="Q15" s="32"/>
    </row>
    <row r="16" spans="1:17">
      <c r="A16" s="32"/>
      <c r="B16" s="35"/>
      <c r="C16" s="35"/>
      <c r="D16" s="35"/>
      <c r="E16" s="53"/>
      <c r="F16" s="53"/>
      <c r="G16" s="53"/>
      <c r="H16" s="53"/>
      <c r="I16" s="32"/>
      <c r="J16" s="32"/>
      <c r="K16" s="53"/>
      <c r="L16" s="53"/>
      <c r="M16" s="53"/>
      <c r="N16" s="32"/>
      <c r="O16" s="32"/>
      <c r="P16" s="32"/>
      <c r="Q16" s="32"/>
    </row>
    <row r="17" spans="1:17">
      <c r="A17" s="32"/>
      <c r="B17" s="57" t="s">
        <v>144</v>
      </c>
      <c r="C17" s="57" t="s">
        <v>18</v>
      </c>
      <c r="D17" s="57"/>
      <c r="E17" s="53"/>
      <c r="F17" s="53"/>
      <c r="G17" s="53"/>
      <c r="H17" s="53"/>
      <c r="I17" s="32"/>
      <c r="J17" s="32"/>
      <c r="K17" s="53"/>
      <c r="L17" s="53"/>
      <c r="M17" s="53"/>
      <c r="N17" s="32"/>
      <c r="O17" s="32"/>
      <c r="P17" s="32"/>
      <c r="Q17" s="32"/>
    </row>
    <row r="18" spans="1:17">
      <c r="A18" s="32"/>
      <c r="B18" s="57" t="s">
        <v>145</v>
      </c>
      <c r="C18" s="57" t="s">
        <v>146</v>
      </c>
      <c r="D18" s="57" t="s">
        <v>147</v>
      </c>
      <c r="E18" s="53"/>
      <c r="F18" s="53"/>
      <c r="G18" s="53"/>
      <c r="H18" s="53"/>
      <c r="I18" s="53"/>
      <c r="J18" s="32"/>
      <c r="K18" s="53"/>
      <c r="L18" s="53"/>
      <c r="M18" s="53"/>
      <c r="N18" s="32"/>
      <c r="O18" s="32"/>
      <c r="P18" s="32"/>
      <c r="Q18" s="32"/>
    </row>
    <row r="19" spans="1:17">
      <c r="A19" s="32"/>
      <c r="B19" s="57" t="s">
        <v>148</v>
      </c>
      <c r="C19" s="86">
        <f>1150.4685281434/(1150.4685281434+4549.19384041814) * 100</f>
        <v>20.184854009760425</v>
      </c>
      <c r="D19" s="37">
        <f>100-$C$19</f>
        <v>79.815145990239571</v>
      </c>
      <c r="E19" s="32"/>
      <c r="F19" s="32"/>
      <c r="G19" s="32"/>
      <c r="H19" s="32"/>
      <c r="I19" s="32"/>
      <c r="J19" s="32"/>
      <c r="K19" s="53"/>
      <c r="L19" s="53"/>
      <c r="M19" s="53"/>
      <c r="N19" s="32"/>
      <c r="O19" s="32"/>
      <c r="P19" s="32"/>
      <c r="Q19" s="32"/>
    </row>
    <row r="20" spans="1:17">
      <c r="A20" s="32"/>
      <c r="B20" s="90"/>
      <c r="C20" s="90"/>
      <c r="D20" s="90"/>
      <c r="E20" s="53"/>
      <c r="F20" s="53"/>
      <c r="G20" s="53"/>
      <c r="H20" s="53"/>
      <c r="I20" s="32"/>
      <c r="J20" s="32"/>
      <c r="K20" s="53"/>
      <c r="L20" s="53"/>
      <c r="M20" s="53"/>
      <c r="N20" s="32"/>
      <c r="O20" s="32"/>
      <c r="P20" s="32"/>
      <c r="Q20" s="32"/>
    </row>
    <row r="21" spans="1:17">
      <c r="A21" s="32"/>
      <c r="B21" s="32"/>
      <c r="C21" s="32"/>
      <c r="D21" s="32"/>
      <c r="E21" s="32"/>
      <c r="F21" s="32"/>
      <c r="G21" s="32"/>
      <c r="H21" s="32"/>
      <c r="I21" s="53"/>
      <c r="J21" s="53"/>
      <c r="K21" s="53"/>
      <c r="L21" s="32"/>
      <c r="M21" s="32"/>
      <c r="N21" s="32"/>
      <c r="O21" s="32"/>
      <c r="P21" s="32"/>
      <c r="Q21" s="32"/>
    </row>
    <row r="22" spans="1:17">
      <c r="A22" s="32"/>
      <c r="B22" s="88" t="s">
        <v>138</v>
      </c>
      <c r="C22" s="32"/>
      <c r="D22" s="32"/>
      <c r="E22" s="32"/>
      <c r="F22" s="32"/>
      <c r="G22" s="32"/>
      <c r="H22" s="32"/>
      <c r="I22" s="53"/>
      <c r="J22" s="53"/>
      <c r="K22" s="53"/>
      <c r="L22" s="32"/>
      <c r="M22" s="32"/>
      <c r="N22" s="32"/>
      <c r="O22" s="32"/>
      <c r="P22" s="32"/>
      <c r="Q22" s="32"/>
    </row>
    <row r="23" spans="1:17">
      <c r="A23" s="32"/>
      <c r="B23" s="91" t="s">
        <v>149</v>
      </c>
      <c r="C23" s="32"/>
      <c r="D23" s="32"/>
      <c r="E23" s="32"/>
      <c r="F23" s="32"/>
      <c r="G23" s="32"/>
      <c r="H23" s="32"/>
      <c r="I23" s="53"/>
      <c r="J23" s="53"/>
      <c r="K23" s="53"/>
      <c r="L23" s="32"/>
      <c r="M23" s="32"/>
      <c r="N23" s="32"/>
      <c r="O23" s="32"/>
      <c r="P23" s="32"/>
      <c r="Q23" s="32"/>
    </row>
    <row r="24" spans="1:17">
      <c r="A24" s="32"/>
      <c r="B24" s="35"/>
      <c r="C24" s="35"/>
      <c r="D24" s="35"/>
      <c r="E24" s="35"/>
      <c r="F24" s="32"/>
      <c r="G24" s="32"/>
      <c r="H24" s="32"/>
      <c r="I24" s="32"/>
      <c r="J24" s="32"/>
      <c r="K24" s="32"/>
      <c r="L24" s="53"/>
      <c r="M24" s="53"/>
      <c r="N24" s="53"/>
      <c r="O24" s="32"/>
      <c r="P24" s="32"/>
      <c r="Q24" s="32"/>
    </row>
    <row r="25" spans="1:17">
      <c r="A25" s="32"/>
      <c r="B25" s="57" t="s">
        <v>150</v>
      </c>
      <c r="C25" s="57" t="s">
        <v>151</v>
      </c>
      <c r="D25" s="57" t="s">
        <v>18</v>
      </c>
      <c r="E25" s="57"/>
      <c r="F25" s="32"/>
      <c r="G25" s="32"/>
      <c r="H25" s="32"/>
      <c r="I25" s="32"/>
      <c r="J25" s="32"/>
      <c r="K25" s="32"/>
      <c r="L25" s="53"/>
      <c r="M25" s="53"/>
      <c r="N25" s="53"/>
      <c r="O25" s="32"/>
      <c r="P25" s="32"/>
      <c r="Q25" s="32"/>
    </row>
    <row r="26" spans="1:17">
      <c r="A26" s="32"/>
      <c r="B26" s="57" t="s">
        <v>145</v>
      </c>
      <c r="C26" s="57" t="s">
        <v>147</v>
      </c>
      <c r="D26" s="57" t="s">
        <v>146</v>
      </c>
      <c r="E26" s="57" t="s">
        <v>147</v>
      </c>
      <c r="F26" s="32"/>
      <c r="G26" s="32"/>
      <c r="H26" s="32"/>
      <c r="I26" s="32"/>
      <c r="J26" s="32"/>
      <c r="K26" s="32"/>
      <c r="L26" s="53"/>
      <c r="M26" s="53"/>
      <c r="N26" s="53"/>
      <c r="O26" s="32"/>
      <c r="P26" s="32"/>
      <c r="Q26" s="32"/>
    </row>
    <row r="27" spans="1:17">
      <c r="A27" s="32"/>
      <c r="B27" s="57" t="s">
        <v>30</v>
      </c>
      <c r="C27" s="84"/>
      <c r="D27" s="84">
        <f t="array" ref="D27">334.158101653206/(334.158101653206+816.310426490195) * 100</f>
        <v>29.045392679490543</v>
      </c>
      <c r="E27" s="92">
        <f>681.674528377854/(681.674528377854+3867.51931204029) * 100</f>
        <v>14.984512691488153</v>
      </c>
      <c r="F27" s="32"/>
      <c r="G27" s="32"/>
      <c r="H27" s="32"/>
      <c r="I27" s="32"/>
      <c r="J27" s="32"/>
      <c r="K27" s="32"/>
      <c r="L27" s="53"/>
      <c r="M27" s="53"/>
      <c r="N27" s="53"/>
      <c r="O27" s="32"/>
      <c r="P27" s="32"/>
      <c r="Q27" s="32"/>
    </row>
    <row r="28" spans="1:17">
      <c r="A28" s="32"/>
      <c r="B28" s="57" t="s">
        <v>67</v>
      </c>
      <c r="C28" s="84"/>
      <c r="D28" s="84">
        <f>816.310426490195/(334.158101653206+816.310426490195) * 100</f>
        <v>70.954607320509453</v>
      </c>
      <c r="E28" s="92">
        <f>3867.51931204029/(681.674528377854+3867.51931204029) * 100</f>
        <v>85.015487308511851</v>
      </c>
      <c r="F28" s="32"/>
      <c r="G28" s="32"/>
      <c r="H28" s="32"/>
      <c r="I28" s="32"/>
      <c r="J28" s="32"/>
      <c r="K28" s="32"/>
      <c r="L28" s="53"/>
      <c r="M28" s="53"/>
      <c r="N28" s="53"/>
      <c r="O28" s="32"/>
      <c r="P28" s="32"/>
      <c r="Q28" s="32"/>
    </row>
    <row r="29" spans="1:17">
      <c r="A29" s="32"/>
      <c r="B29" s="57" t="s">
        <v>132</v>
      </c>
      <c r="C29" s="93">
        <f>SUM($C$27:$C$28)</f>
        <v>0</v>
      </c>
      <c r="D29" s="93">
        <f>SUM($D$27:$D$28)</f>
        <v>100</v>
      </c>
      <c r="E29" s="87">
        <f>SUM($E$27:$E$28)</f>
        <v>100</v>
      </c>
      <c r="F29" s="32"/>
      <c r="G29" s="32"/>
      <c r="H29" s="32"/>
      <c r="I29" s="32"/>
      <c r="J29" s="32"/>
      <c r="K29" s="32"/>
      <c r="L29" s="53"/>
      <c r="M29" s="53"/>
      <c r="N29" s="53"/>
      <c r="O29" s="32"/>
      <c r="P29" s="32"/>
      <c r="Q29" s="32"/>
    </row>
    <row r="30" spans="1:17">
      <c r="A30" s="32"/>
      <c r="B30" s="90"/>
      <c r="C30" s="90"/>
      <c r="D30" s="90"/>
      <c r="E30" s="90"/>
      <c r="F30" s="32"/>
      <c r="G30" s="32"/>
      <c r="H30" s="32"/>
      <c r="I30" s="32"/>
      <c r="J30" s="32"/>
      <c r="K30" s="32"/>
      <c r="L30" s="53"/>
      <c r="M30" s="53"/>
      <c r="N30" s="53"/>
      <c r="O30" s="32"/>
      <c r="P30" s="32"/>
      <c r="Q30" s="32"/>
    </row>
    <row r="31" spans="1:17">
      <c r="A31" s="32"/>
      <c r="B31" s="32"/>
      <c r="C31" s="32"/>
      <c r="D31" s="32"/>
      <c r="E31" s="32"/>
      <c r="F31" s="32"/>
      <c r="G31" s="32"/>
      <c r="H31" s="32"/>
      <c r="I31" s="53"/>
      <c r="J31" s="53"/>
      <c r="K31" s="53"/>
      <c r="L31" s="32"/>
      <c r="M31" s="32"/>
      <c r="N31" s="32"/>
      <c r="O31" s="32"/>
      <c r="P31" s="32"/>
      <c r="Q31" s="32"/>
    </row>
    <row r="32" spans="1:17">
      <c r="A32" s="32"/>
      <c r="B32" s="88" t="s">
        <v>152</v>
      </c>
      <c r="C32" s="53"/>
      <c r="D32" s="53"/>
      <c r="E32" s="53"/>
      <c r="F32" s="53"/>
      <c r="G32" s="53"/>
      <c r="H32" s="53"/>
      <c r="I32" s="53"/>
      <c r="J32" s="53"/>
      <c r="K32" s="53"/>
      <c r="L32" s="32"/>
      <c r="M32" s="32"/>
      <c r="N32" s="32"/>
      <c r="O32" s="32"/>
      <c r="P32" s="32"/>
      <c r="Q32" s="32"/>
    </row>
    <row r="33" spans="1:17">
      <c r="A33" s="32"/>
      <c r="B33" s="89" t="s">
        <v>153</v>
      </c>
      <c r="C33" s="53"/>
      <c r="D33" s="53"/>
      <c r="E33" s="53"/>
      <c r="F33" s="53"/>
      <c r="G33" s="53"/>
      <c r="H33" s="53"/>
      <c r="I33" s="53"/>
      <c r="J33" s="53"/>
      <c r="K33" s="53"/>
      <c r="L33" s="32"/>
      <c r="M33" s="32"/>
      <c r="N33" s="32"/>
      <c r="O33" s="32"/>
      <c r="P33" s="32"/>
      <c r="Q33" s="32"/>
    </row>
    <row r="34" spans="1:17">
      <c r="A34" s="32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2"/>
      <c r="P34" s="32"/>
      <c r="Q34" s="32"/>
    </row>
    <row r="35" spans="1:17">
      <c r="A35" s="32"/>
      <c r="B35" s="57" t="s">
        <v>154</v>
      </c>
      <c r="C35" s="57" t="s">
        <v>102</v>
      </c>
      <c r="D35" s="57" t="s">
        <v>103</v>
      </c>
      <c r="E35" s="57" t="s">
        <v>104</v>
      </c>
      <c r="F35" s="57" t="s">
        <v>105</v>
      </c>
      <c r="G35" s="57" t="s">
        <v>106</v>
      </c>
      <c r="H35" s="57" t="s">
        <v>107</v>
      </c>
      <c r="I35" s="57" t="s">
        <v>108</v>
      </c>
      <c r="J35" s="57" t="s">
        <v>109</v>
      </c>
      <c r="K35" s="57" t="s">
        <v>110</v>
      </c>
      <c r="L35" s="57" t="s">
        <v>111</v>
      </c>
      <c r="M35" s="57" t="s">
        <v>112</v>
      </c>
      <c r="N35" s="57" t="s">
        <v>113</v>
      </c>
      <c r="O35" s="32"/>
      <c r="P35" s="32"/>
      <c r="Q35" s="32"/>
    </row>
    <row r="36" spans="1:17">
      <c r="A36" s="32"/>
      <c r="B36" s="57" t="s">
        <v>30</v>
      </c>
      <c r="C36" s="84">
        <f>100 * 94.1144314079784/(94.1144314079784 + 0 + 89.2003239129652 + 46.3184136167746 + 15.3633899412926 + 0 + 0 + 0 + 0 + 0 + 69.3871012075649 + 75.1693596415285)</f>
        <v>24.159594879707857</v>
      </c>
      <c r="D36" s="84">
        <v>0</v>
      </c>
      <c r="E36" s="98">
        <f>100 * 89.2003239129652/(94.1144314079784 + 0 + 89.2003239129652 + 46.3184136167746 + 15.3633899412926 + 0 + 0 + 0 + 0 + 0 + 69.3871012075649 + 75.1693596415285)</f>
        <v>22.898121538173218</v>
      </c>
      <c r="F36" s="98">
        <f>100 * 46.3184136167746/(94.1144314079784 + 0 + 89.2003239129652 + 46.3184136167746 + 15.3633899412926 + 0 + 0 + 0 + 0 + 0 + 69.3871012075649 + 75.1693596415285)</f>
        <v>11.890143644401318</v>
      </c>
      <c r="G36" s="98">
        <f>100 * 15.3633899412926/(94.1144314079784 + 0 + 89.2003239129652 + 46.3184136167746 + 15.3633899412926 + 0 + 0 + 0 + 0 + 0 + 69.3871012075649 + 75.1693596415285)</f>
        <v>3.9438508144580067</v>
      </c>
      <c r="H36" s="84">
        <v>0</v>
      </c>
      <c r="I36" s="84">
        <v>0</v>
      </c>
      <c r="J36" s="84">
        <v>0</v>
      </c>
      <c r="K36" s="84">
        <v>0</v>
      </c>
      <c r="L36" s="84">
        <v>0</v>
      </c>
      <c r="M36" s="98">
        <f>100 * 69.3871012075649/(94.1144314079784 + 0 + 89.2003239129652 + 46.3184136167746 + 15.3633899412926 + 0 + 0 + 0 + 0 + 0 + 69.3871012075649 + 75.1693596415285)</f>
        <v>17.811978779164619</v>
      </c>
      <c r="N36" s="98">
        <f>100 * 75.1693596415285/(94.1144314079784 + 0 + 89.2003239129652 + 46.3184136167746 + 15.3633899412926 + 0 + 0 + 0 + 0 + 0 + 69.3871012075649 + 75.1693596415285)</f>
        <v>19.296310344094969</v>
      </c>
      <c r="O36" s="32"/>
      <c r="P36" s="32"/>
      <c r="Q36" s="32"/>
    </row>
    <row r="37" spans="1:17">
      <c r="A37" s="32"/>
      <c r="B37" s="57" t="s">
        <v>67</v>
      </c>
      <c r="C37" s="86">
        <v>0</v>
      </c>
      <c r="D37" s="32">
        <f>100*111.272318380782/1179.35361236695</f>
        <v>9.4350258661996751</v>
      </c>
      <c r="E37" s="86">
        <v>0</v>
      </c>
      <c r="F37" s="86">
        <v>0</v>
      </c>
      <c r="G37" s="32">
        <f>100*318.147332418291/1179.35361236695</f>
        <v>26.976415646853596</v>
      </c>
      <c r="H37" s="32">
        <f>100*339.689785556874/1179.35361236695</f>
        <v>28.803047872564726</v>
      </c>
      <c r="I37" s="86">
        <v>0</v>
      </c>
      <c r="J37" s="86">
        <v>0</v>
      </c>
      <c r="K37" s="86">
        <v>0</v>
      </c>
      <c r="L37" s="32">
        <f>100 * 125.352387114472/1179.35361236695</f>
        <v>10.628906021061072</v>
      </c>
      <c r="M37" s="32">
        <f>100 * 136.748058670334/1179.35361236695</f>
        <v>11.595170204793972</v>
      </c>
      <c r="N37" s="32">
        <f>100 * 148.143730226195/1179.35361236695</f>
        <v>12.56143438852679</v>
      </c>
      <c r="O37" s="32"/>
      <c r="P37" s="32"/>
      <c r="Q37" s="32"/>
    </row>
    <row r="38" spans="1:17">
      <c r="A38" s="32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2"/>
      <c r="P38" s="32"/>
      <c r="Q38" s="32"/>
    </row>
    <row r="39" spans="1:17">
      <c r="A39" s="32"/>
      <c r="B39" s="32"/>
      <c r="C39" s="32"/>
      <c r="D39" s="32"/>
      <c r="E39" s="32"/>
      <c r="F39" s="32"/>
      <c r="G39" s="32"/>
      <c r="H39" s="32"/>
      <c r="I39" s="53"/>
      <c r="J39" s="53"/>
      <c r="K39" s="53"/>
      <c r="L39" s="32"/>
      <c r="M39" s="32"/>
      <c r="N39" s="32"/>
      <c r="O39" s="32"/>
      <c r="P39" s="32"/>
      <c r="Q39" s="32"/>
    </row>
    <row r="40" spans="1:17">
      <c r="A40" s="3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32"/>
      <c r="P40" s="32"/>
      <c r="Q40" s="32"/>
    </row>
    <row r="41" spans="1:17">
      <c r="A41" s="32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32"/>
      <c r="P41" s="32"/>
      <c r="Q41" s="32"/>
    </row>
    <row r="42" spans="1:17">
      <c r="A42" s="32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32"/>
      <c r="P42" s="32"/>
      <c r="Q42" s="32"/>
    </row>
    <row r="43" spans="1:17">
      <c r="A43" s="32"/>
      <c r="B43" s="94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32"/>
      <c r="P43" s="32"/>
      <c r="Q43" s="32"/>
    </row>
    <row r="44" spans="1:17">
      <c r="A44" s="3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32"/>
      <c r="P44" s="32"/>
      <c r="Q44" s="32"/>
    </row>
    <row r="45" spans="1:17">
      <c r="A45" s="32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32"/>
      <c r="P45" s="32"/>
      <c r="Q45" s="32"/>
    </row>
    <row r="46" spans="1:17">
      <c r="A46" s="3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32"/>
      <c r="P46" s="32"/>
      <c r="Q46" s="32"/>
    </row>
  </sheetData>
  <dataValidations count="1">
    <dataValidation type="decimal" allowBlank="1" showInputMessage="1" showErrorMessage="1" errorTitle="Error" error="You must enter a number between 0 and 100 (inclusive)" promptTitle="Percentage" prompt="Enter a number between 0 and 100 (inclusive)" sqref="C27:E28 C6:E11 C19 L36 D36 E37:F37 C36:C37 H36 I36:K37">
      <formula1>0</formula1>
      <formula2>100</formula2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A18" sqref="A18"/>
    </sheetView>
  </sheetViews>
  <sheetFormatPr baseColWidth="10" defaultRowHeight="15" x14ac:dyDescent="0"/>
  <sheetData>
    <row r="1" spans="1:16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1:16">
      <c r="A2" s="32"/>
      <c r="B2" s="32"/>
      <c r="C2" s="33" t="s">
        <v>155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6">
      <c r="A3" s="32"/>
      <c r="B3" s="32"/>
      <c r="C3" s="34" t="s">
        <v>156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1:16">
      <c r="A4" s="32"/>
      <c r="B4" s="32"/>
      <c r="C4" s="95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2"/>
    </row>
    <row r="5" spans="1:16">
      <c r="A5" s="32"/>
      <c r="B5" s="96" t="s">
        <v>157</v>
      </c>
      <c r="C5" s="97" t="s">
        <v>158</v>
      </c>
      <c r="D5" s="38" t="s">
        <v>102</v>
      </c>
      <c r="E5" s="38" t="s">
        <v>103</v>
      </c>
      <c r="F5" s="38" t="s">
        <v>104</v>
      </c>
      <c r="G5" s="38" t="s">
        <v>105</v>
      </c>
      <c r="H5" s="38" t="s">
        <v>106</v>
      </c>
      <c r="I5" s="38" t="s">
        <v>107</v>
      </c>
      <c r="J5" s="38" t="s">
        <v>108</v>
      </c>
      <c r="K5" s="38" t="s">
        <v>109</v>
      </c>
      <c r="L5" s="38" t="s">
        <v>110</v>
      </c>
      <c r="M5" s="38" t="s">
        <v>111</v>
      </c>
      <c r="N5" s="38" t="s">
        <v>112</v>
      </c>
      <c r="O5" s="39" t="s">
        <v>113</v>
      </c>
      <c r="P5" s="32"/>
    </row>
    <row r="6" spans="1:16">
      <c r="A6" s="32"/>
      <c r="B6" s="32"/>
      <c r="C6" s="50" t="s">
        <v>159</v>
      </c>
      <c r="D6" s="44">
        <v>2.1514723619199998</v>
      </c>
      <c r="E6" s="44">
        <v>2.1514723619199998</v>
      </c>
      <c r="F6" s="44">
        <v>1.1775297436350001</v>
      </c>
      <c r="G6" s="44">
        <v>1.073884726992</v>
      </c>
      <c r="H6" s="44">
        <v>1.3380726369510001</v>
      </c>
      <c r="I6" s="44">
        <v>1.3545920522220001</v>
      </c>
      <c r="J6" s="44">
        <v>1.404150298035</v>
      </c>
      <c r="K6" s="44">
        <v>1.029377668352</v>
      </c>
      <c r="L6" s="44">
        <v>1.0878650358719999</v>
      </c>
      <c r="M6" s="44">
        <v>1.4782879768399999</v>
      </c>
      <c r="N6" s="44">
        <v>1.4588368192500001</v>
      </c>
      <c r="O6" s="44">
        <v>1.4782879768399999</v>
      </c>
      <c r="P6" s="32"/>
    </row>
    <row r="7" spans="1:16">
      <c r="A7" s="32"/>
      <c r="B7" s="32"/>
      <c r="C7" s="40" t="s">
        <v>160</v>
      </c>
      <c r="D7" s="44">
        <v>1.8755255057</v>
      </c>
      <c r="E7" s="44">
        <v>1.8755255057</v>
      </c>
      <c r="F7" s="44">
        <v>1.0215054983</v>
      </c>
      <c r="G7" s="44">
        <v>1.3677997206000001</v>
      </c>
      <c r="H7" s="44">
        <v>1.40427437981599</v>
      </c>
      <c r="I7" s="44">
        <v>1.4225117094239901</v>
      </c>
      <c r="J7" s="44">
        <v>1.45898636864</v>
      </c>
      <c r="K7" s="44">
        <v>1.3018275784760001</v>
      </c>
      <c r="L7" s="44">
        <v>1.372196636772</v>
      </c>
      <c r="M7" s="44">
        <v>1.0521009524310001</v>
      </c>
      <c r="N7" s="44">
        <v>1.029475125497</v>
      </c>
      <c r="O7" s="44">
        <v>1.0407880389640001</v>
      </c>
      <c r="P7" s="32"/>
    </row>
    <row r="8" spans="1:16">
      <c r="A8" s="32"/>
      <c r="B8" s="32"/>
      <c r="C8" s="40" t="s">
        <v>161</v>
      </c>
      <c r="D8" s="44">
        <v>1.4576220499999999</v>
      </c>
      <c r="E8" s="44">
        <v>0</v>
      </c>
      <c r="F8" s="44">
        <v>0</v>
      </c>
      <c r="G8" s="44">
        <v>1.45268116212</v>
      </c>
      <c r="H8" s="44">
        <v>1.48646444496</v>
      </c>
      <c r="I8" s="44">
        <v>1.0899810991000001</v>
      </c>
      <c r="J8" s="44">
        <v>1.71697737045</v>
      </c>
      <c r="K8" s="44">
        <v>1.5957789678300001</v>
      </c>
      <c r="L8" s="44">
        <v>1.6563781691399999</v>
      </c>
      <c r="M8" s="44">
        <v>1.6563781691399999</v>
      </c>
      <c r="N8" s="44">
        <v>1.1205079715999999</v>
      </c>
      <c r="O8" s="44">
        <v>1.1205079715999999</v>
      </c>
      <c r="P8" s="32"/>
    </row>
    <row r="9" spans="1:16">
      <c r="A9" s="32"/>
      <c r="B9" s="32"/>
      <c r="C9" s="40" t="s">
        <v>162</v>
      </c>
      <c r="D9" s="44">
        <v>2.0979764160799999</v>
      </c>
      <c r="E9" s="44">
        <v>2.0979764160799999</v>
      </c>
      <c r="F9" s="44">
        <v>0.90601010000000004</v>
      </c>
      <c r="G9" s="44">
        <v>1.4999395788879999</v>
      </c>
      <c r="H9" s="44">
        <v>1.3951059957900001</v>
      </c>
      <c r="I9" s="44">
        <v>2.03080548888</v>
      </c>
      <c r="J9" s="44">
        <v>2.0872167524599998</v>
      </c>
      <c r="K9" s="44">
        <v>1.9461885935100001</v>
      </c>
      <c r="L9" s="44">
        <v>1.6475973546429901</v>
      </c>
      <c r="M9" s="44">
        <v>2.0615327993300001</v>
      </c>
      <c r="N9" s="44">
        <v>1.0867627615</v>
      </c>
      <c r="O9" s="44">
        <v>1.630075132</v>
      </c>
      <c r="P9" s="32"/>
    </row>
    <row r="10" spans="1:16">
      <c r="A10" s="32"/>
      <c r="B10" s="32"/>
      <c r="C10" s="40" t="s">
        <v>163</v>
      </c>
      <c r="D10" s="44">
        <v>1.20402992317999</v>
      </c>
      <c r="E10" s="44">
        <v>1.2168387521499999</v>
      </c>
      <c r="F10" s="44">
        <v>1.30087491102</v>
      </c>
      <c r="G10" s="44">
        <v>1.35576747598</v>
      </c>
      <c r="H10" s="44">
        <v>1.09663382073599</v>
      </c>
      <c r="I10" s="44">
        <v>1.092239727975</v>
      </c>
      <c r="J10" s="44">
        <v>2.0746481440400002</v>
      </c>
      <c r="K10" s="44">
        <v>1.98311954945</v>
      </c>
      <c r="L10" s="44">
        <v>2.0441386125099998</v>
      </c>
      <c r="M10" s="44">
        <v>1.1639718208299901</v>
      </c>
      <c r="N10" s="44">
        <v>1.9301279707199901</v>
      </c>
      <c r="O10" s="44">
        <v>1.76137218616</v>
      </c>
      <c r="P10" s="32"/>
    </row>
    <row r="11" spans="1:16">
      <c r="A11" s="32"/>
      <c r="B11" s="32"/>
      <c r="C11" s="40" t="s">
        <v>164</v>
      </c>
      <c r="D11" s="44">
        <v>2.6146794330000001</v>
      </c>
      <c r="E11" s="44">
        <v>2.1203177395199999</v>
      </c>
      <c r="F11" s="44">
        <v>2.0539996398899998</v>
      </c>
      <c r="G11" s="44">
        <v>1.6711839150000001</v>
      </c>
      <c r="H11" s="44">
        <v>1.843443368</v>
      </c>
      <c r="I11" s="44">
        <v>1.6005175869999999</v>
      </c>
      <c r="J11" s="44">
        <v>2.46990810534</v>
      </c>
      <c r="K11" s="44">
        <v>1.9761988937599899</v>
      </c>
      <c r="L11" s="44">
        <v>1.61532751</v>
      </c>
      <c r="M11" s="44">
        <v>2.0332418367499998</v>
      </c>
      <c r="N11" s="44">
        <v>2.2449717251000001</v>
      </c>
      <c r="O11" s="44">
        <v>2.4499139024200001</v>
      </c>
      <c r="P11" s="32"/>
    </row>
    <row r="12" spans="1:16">
      <c r="A12" s="32"/>
      <c r="B12" s="32"/>
      <c r="C12" s="45" t="s">
        <v>165</v>
      </c>
      <c r="D12" s="44">
        <v>1.8660382499999999</v>
      </c>
      <c r="E12" s="44">
        <v>1.1583206173</v>
      </c>
      <c r="F12" s="44">
        <v>1.3454074584</v>
      </c>
      <c r="G12" s="44">
        <v>2.062102076</v>
      </c>
      <c r="H12" s="44">
        <v>2.0112677866499999</v>
      </c>
      <c r="I12" s="44">
        <v>2.4439931669999999</v>
      </c>
      <c r="J12" s="44">
        <v>2.1661951448000001</v>
      </c>
      <c r="K12" s="44">
        <v>2.0740166279999999</v>
      </c>
      <c r="L12" s="44">
        <v>2.6592267419999902</v>
      </c>
      <c r="M12" s="44">
        <v>1.9690457292000001</v>
      </c>
      <c r="N12" s="44">
        <v>2.2018740694500001</v>
      </c>
      <c r="O12" s="44">
        <v>2.03645783999999</v>
      </c>
      <c r="P12" s="32"/>
    </row>
    <row r="13" spans="1:16">
      <c r="A13" s="32"/>
      <c r="B13" s="32"/>
      <c r="C13" s="95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2"/>
    </row>
    <row r="14" spans="1:16">
      <c r="A14" s="32"/>
      <c r="B14" s="96" t="s">
        <v>146</v>
      </c>
      <c r="C14" s="97" t="s">
        <v>158</v>
      </c>
      <c r="D14" s="38" t="s">
        <v>102</v>
      </c>
      <c r="E14" s="38" t="s">
        <v>103</v>
      </c>
      <c r="F14" s="38" t="s">
        <v>104</v>
      </c>
      <c r="G14" s="38" t="s">
        <v>105</v>
      </c>
      <c r="H14" s="38" t="s">
        <v>106</v>
      </c>
      <c r="I14" s="38" t="s">
        <v>107</v>
      </c>
      <c r="J14" s="38" t="s">
        <v>108</v>
      </c>
      <c r="K14" s="38" t="s">
        <v>109</v>
      </c>
      <c r="L14" s="38" t="s">
        <v>110</v>
      </c>
      <c r="M14" s="38" t="s">
        <v>111</v>
      </c>
      <c r="N14" s="38" t="s">
        <v>112</v>
      </c>
      <c r="O14" s="39" t="s">
        <v>113</v>
      </c>
      <c r="P14" s="32"/>
    </row>
    <row r="15" spans="1:16">
      <c r="A15" s="32"/>
      <c r="B15" s="32"/>
      <c r="C15" s="50" t="s">
        <v>159</v>
      </c>
      <c r="D15" s="44">
        <v>1.1697473504</v>
      </c>
      <c r="E15" s="44">
        <v>1.9451157590000001</v>
      </c>
      <c r="F15" s="44">
        <v>1.9451157590000001</v>
      </c>
      <c r="G15" s="44">
        <v>1.9451157590000001</v>
      </c>
      <c r="H15" s="44">
        <v>2.5944225540799999</v>
      </c>
      <c r="I15" s="44">
        <v>2.5627832546399998</v>
      </c>
      <c r="J15" s="44">
        <v>1.2395049933</v>
      </c>
      <c r="K15" s="44">
        <v>1.2066120527999999</v>
      </c>
      <c r="L15" s="44">
        <v>1.6519415271</v>
      </c>
      <c r="M15" s="44">
        <v>1.6519415271</v>
      </c>
      <c r="N15" s="44">
        <v>1.6519415271</v>
      </c>
      <c r="O15" s="44">
        <v>1.1697473504</v>
      </c>
      <c r="P15" s="32"/>
    </row>
    <row r="16" spans="1:16">
      <c r="A16" s="32"/>
      <c r="B16" s="32"/>
      <c r="C16" s="40" t="s">
        <v>160</v>
      </c>
      <c r="D16" s="44">
        <v>1.7592264574000001</v>
      </c>
      <c r="E16" s="44">
        <v>1.1312913467000001</v>
      </c>
      <c r="F16" s="44">
        <v>1.1312913467000001</v>
      </c>
      <c r="G16" s="44">
        <v>1.1312913467000001</v>
      </c>
      <c r="H16" s="44">
        <v>2.4649763789199999</v>
      </c>
      <c r="I16" s="44">
        <v>2.4917696004300001</v>
      </c>
      <c r="J16" s="44">
        <v>1.0215054983</v>
      </c>
      <c r="K16" s="44">
        <v>1.8237329607999999</v>
      </c>
      <c r="L16" s="44">
        <v>1.8237329607999999</v>
      </c>
      <c r="M16" s="44">
        <v>1.8237329607999999</v>
      </c>
      <c r="N16" s="44">
        <v>1.8237329607999999</v>
      </c>
      <c r="O16" s="44">
        <v>1.7592264574000001</v>
      </c>
      <c r="P16" s="32"/>
    </row>
    <row r="17" spans="1:16">
      <c r="A17" s="32"/>
      <c r="B17" s="32"/>
      <c r="C17" s="40" t="s">
        <v>161</v>
      </c>
      <c r="D17" s="44">
        <v>2.0199733769999999</v>
      </c>
      <c r="E17" s="44">
        <v>2.0199733769999999</v>
      </c>
      <c r="F17" s="44">
        <v>1.1205079715999999</v>
      </c>
      <c r="G17" s="44">
        <v>1.1205079715999999</v>
      </c>
      <c r="H17" s="44">
        <v>1.5343389999999999</v>
      </c>
      <c r="I17" s="44">
        <v>0</v>
      </c>
      <c r="J17" s="44">
        <v>0</v>
      </c>
      <c r="K17" s="44">
        <v>1.6891641420000001</v>
      </c>
      <c r="L17" s="44">
        <v>1.6891641420000001</v>
      </c>
      <c r="M17" s="44">
        <v>1.0899810991000001</v>
      </c>
      <c r="N17" s="44">
        <v>2.0199733769999999</v>
      </c>
      <c r="O17" s="44">
        <v>2.0199733769999999</v>
      </c>
      <c r="P17" s="32"/>
    </row>
    <row r="18" spans="1:16">
      <c r="A18" s="32"/>
      <c r="B18" s="32"/>
      <c r="C18" s="40" t="s">
        <v>162</v>
      </c>
      <c r="D18" s="44">
        <v>2.0855662716999999</v>
      </c>
      <c r="E18" s="44">
        <v>2.64224626392999</v>
      </c>
      <c r="F18" s="44">
        <v>1.0867627615</v>
      </c>
      <c r="G18" s="44">
        <v>2.037593915</v>
      </c>
      <c r="H18" s="44">
        <v>2.70150387824</v>
      </c>
      <c r="I18" s="44">
        <v>2.6727644752800002</v>
      </c>
      <c r="J18" s="44">
        <v>0.90601010000000004</v>
      </c>
      <c r="K18" s="44">
        <v>1.8291946083999999</v>
      </c>
      <c r="L18" s="44">
        <v>0</v>
      </c>
      <c r="M18" s="44">
        <v>2.51030122931</v>
      </c>
      <c r="N18" s="44">
        <v>2.4820955975199999</v>
      </c>
      <c r="O18" s="44">
        <v>2.6231237564700001</v>
      </c>
      <c r="P18" s="32"/>
    </row>
    <row r="19" spans="1:16">
      <c r="A19" s="32"/>
      <c r="B19" s="32"/>
      <c r="C19" s="40" t="s">
        <v>163</v>
      </c>
      <c r="D19" s="44">
        <v>2.6238197115799999</v>
      </c>
      <c r="E19" s="44">
        <v>1.279089913</v>
      </c>
      <c r="F19" s="44">
        <v>2.5927092144000001</v>
      </c>
      <c r="G19" s="44">
        <v>2.3567656011999998</v>
      </c>
      <c r="H19" s="44">
        <v>1.2808828969999999</v>
      </c>
      <c r="I19" s="44">
        <v>1.2808828969999999</v>
      </c>
      <c r="J19" s="44">
        <v>0</v>
      </c>
      <c r="K19" s="44">
        <v>1.716161362</v>
      </c>
      <c r="L19" s="44">
        <v>1.1423268966</v>
      </c>
      <c r="M19" s="44">
        <v>1.1032724524999999</v>
      </c>
      <c r="N19" s="44">
        <v>2.68483877463999</v>
      </c>
      <c r="O19" s="44">
        <v>2.6543292431099998</v>
      </c>
      <c r="P19" s="32"/>
    </row>
    <row r="20" spans="1:16">
      <c r="A20" s="32"/>
      <c r="B20" s="32"/>
      <c r="C20" s="40" t="s">
        <v>164</v>
      </c>
      <c r="D20" s="44">
        <v>1.61532751</v>
      </c>
      <c r="E20" s="44">
        <v>2.1402545650000002</v>
      </c>
      <c r="F20" s="44">
        <v>2.6411432060000002</v>
      </c>
      <c r="G20" s="44">
        <v>2.9876998810000002</v>
      </c>
      <c r="H20" s="44">
        <v>3.2279993</v>
      </c>
      <c r="I20" s="44">
        <v>2.2086643119999998</v>
      </c>
      <c r="J20" s="44">
        <v>2.0747471110000002</v>
      </c>
      <c r="K20" s="44">
        <v>1.6711839150000001</v>
      </c>
      <c r="L20" s="44">
        <v>1.843443368</v>
      </c>
      <c r="M20" s="44">
        <v>1.6005175869999999</v>
      </c>
      <c r="N20" s="44">
        <v>2.9757928979999999</v>
      </c>
      <c r="O20" s="44">
        <v>2.1716471359999998</v>
      </c>
      <c r="P20" s="32"/>
    </row>
    <row r="21" spans="1:16">
      <c r="A21" s="32"/>
      <c r="B21" s="32"/>
      <c r="C21" s="45" t="s">
        <v>165</v>
      </c>
      <c r="D21" s="44">
        <v>3.2987876039999899</v>
      </c>
      <c r="E21" s="44">
        <v>1.9889350800000001</v>
      </c>
      <c r="F21" s="44">
        <v>2.5308897350000001</v>
      </c>
      <c r="G21" s="44">
        <v>2.1213102500000001</v>
      </c>
      <c r="H21" s="44">
        <v>1.8660382499999999</v>
      </c>
      <c r="I21" s="44">
        <v>1.1583206173</v>
      </c>
      <c r="J21" s="44">
        <v>1.3454074584</v>
      </c>
      <c r="K21" s="44">
        <v>2.2414152999999999</v>
      </c>
      <c r="L21" s="44">
        <v>2.0734719450000001</v>
      </c>
      <c r="M21" s="44">
        <v>2.9095156750000002</v>
      </c>
      <c r="N21" s="44">
        <v>2.3044629200000002</v>
      </c>
      <c r="O21" s="44">
        <v>2.3044629200000002</v>
      </c>
      <c r="P21" s="32"/>
    </row>
    <row r="22" spans="1:16">
      <c r="A22" s="32"/>
      <c r="B22" s="32"/>
      <c r="C22" s="95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2"/>
    </row>
    <row r="23" spans="1:16">
      <c r="A23" s="32"/>
      <c r="B23" s="96" t="s">
        <v>166</v>
      </c>
      <c r="C23" s="97" t="s">
        <v>158</v>
      </c>
      <c r="D23" s="38" t="s">
        <v>102</v>
      </c>
      <c r="E23" s="38" t="s">
        <v>103</v>
      </c>
      <c r="F23" s="38" t="s">
        <v>104</v>
      </c>
      <c r="G23" s="38" t="s">
        <v>105</v>
      </c>
      <c r="H23" s="38" t="s">
        <v>106</v>
      </c>
      <c r="I23" s="38" t="s">
        <v>107</v>
      </c>
      <c r="J23" s="38" t="s">
        <v>108</v>
      </c>
      <c r="K23" s="38" t="s">
        <v>109</v>
      </c>
      <c r="L23" s="38" t="s">
        <v>110</v>
      </c>
      <c r="M23" s="38" t="s">
        <v>111</v>
      </c>
      <c r="N23" s="38" t="s">
        <v>112</v>
      </c>
      <c r="O23" s="39" t="s">
        <v>113</v>
      </c>
      <c r="P23" s="32"/>
    </row>
    <row r="24" spans="1:16">
      <c r="A24" s="32"/>
      <c r="B24" s="32"/>
      <c r="C24" s="50" t="s">
        <v>159</v>
      </c>
      <c r="D24" s="44">
        <v>1.1697473504</v>
      </c>
      <c r="E24" s="44">
        <v>1.9451157590000001</v>
      </c>
      <c r="F24" s="44">
        <v>1.9451157590000001</v>
      </c>
      <c r="G24" s="44">
        <v>1.9451157590000001</v>
      </c>
      <c r="H24" s="44">
        <v>2.5944225540799999</v>
      </c>
      <c r="I24" s="44">
        <v>2.5627832546399998</v>
      </c>
      <c r="J24" s="44">
        <v>1.2395049933</v>
      </c>
      <c r="K24" s="44">
        <v>1.2066120527999999</v>
      </c>
      <c r="L24" s="44">
        <v>1.6519415271</v>
      </c>
      <c r="M24" s="44">
        <v>1.6519415271</v>
      </c>
      <c r="N24" s="44">
        <v>1.6519415271</v>
      </c>
      <c r="O24" s="44">
        <v>1.1697473504</v>
      </c>
      <c r="P24" s="32"/>
    </row>
    <row r="25" spans="1:16">
      <c r="A25" s="32"/>
      <c r="B25" s="32"/>
      <c r="C25" s="40" t="s">
        <v>160</v>
      </c>
      <c r="D25" s="44">
        <v>1.7592264574000001</v>
      </c>
      <c r="E25" s="44">
        <v>1.1312913467000001</v>
      </c>
      <c r="F25" s="44">
        <v>1.1312913467000001</v>
      </c>
      <c r="G25" s="44">
        <v>1.1312913467000001</v>
      </c>
      <c r="H25" s="44">
        <v>2.1970441638199998</v>
      </c>
      <c r="I25" s="44">
        <v>2.17025094231</v>
      </c>
      <c r="J25" s="44">
        <v>1.0215054983</v>
      </c>
      <c r="K25" s="44">
        <v>1.8237329607999999</v>
      </c>
      <c r="L25" s="44">
        <v>1.8237329607999999</v>
      </c>
      <c r="M25" s="44">
        <v>1.8237329607999999</v>
      </c>
      <c r="N25" s="44">
        <v>1.8237329607999999</v>
      </c>
      <c r="O25" s="44">
        <v>1.7592264574000001</v>
      </c>
      <c r="P25" s="32"/>
    </row>
    <row r="26" spans="1:16">
      <c r="A26" s="32"/>
      <c r="B26" s="32"/>
      <c r="C26" s="40" t="s">
        <v>161</v>
      </c>
      <c r="D26" s="44">
        <v>2.0199733769999999</v>
      </c>
      <c r="E26" s="44">
        <v>2.0199733769999999</v>
      </c>
      <c r="F26" s="44">
        <v>1.1205079715999999</v>
      </c>
      <c r="G26" s="44">
        <v>1.1205079715999999</v>
      </c>
      <c r="H26" s="44">
        <v>1.5343389999999999</v>
      </c>
      <c r="I26" s="44">
        <v>0</v>
      </c>
      <c r="J26" s="44">
        <v>0</v>
      </c>
      <c r="K26" s="44">
        <v>1.6891641420000001</v>
      </c>
      <c r="L26" s="44">
        <v>1.6891641420000001</v>
      </c>
      <c r="M26" s="44">
        <v>1.0899810991000001</v>
      </c>
      <c r="N26" s="44">
        <v>2.0199733769999999</v>
      </c>
      <c r="O26" s="44">
        <v>2.0199733769999999</v>
      </c>
      <c r="P26" s="32"/>
    </row>
    <row r="27" spans="1:16">
      <c r="A27" s="32"/>
      <c r="B27" s="32"/>
      <c r="C27" s="40" t="s">
        <v>162</v>
      </c>
      <c r="D27" s="44">
        <v>2.0855662716999999</v>
      </c>
      <c r="E27" s="44">
        <v>2.4680322245499999</v>
      </c>
      <c r="F27" s="44">
        <v>1.0867627615</v>
      </c>
      <c r="G27" s="44">
        <v>2.037593915</v>
      </c>
      <c r="H27" s="44">
        <v>2.5290674604799999</v>
      </c>
      <c r="I27" s="44">
        <v>2.5003280575199902</v>
      </c>
      <c r="J27" s="44">
        <v>0.90601010000000004</v>
      </c>
      <c r="K27" s="44">
        <v>1.8291946083999999</v>
      </c>
      <c r="L27" s="44">
        <v>0</v>
      </c>
      <c r="M27" s="44">
        <v>2.51030122931</v>
      </c>
      <c r="N27" s="44">
        <v>2.4820955975199999</v>
      </c>
      <c r="O27" s="44">
        <v>2.4538899657300002</v>
      </c>
      <c r="P27" s="32"/>
    </row>
    <row r="28" spans="1:16">
      <c r="A28" s="32"/>
      <c r="B28" s="32"/>
      <c r="C28" s="40" t="s">
        <v>163</v>
      </c>
      <c r="D28" s="44">
        <v>2.6238197115799999</v>
      </c>
      <c r="E28" s="44">
        <v>1.279089913</v>
      </c>
      <c r="F28" s="44">
        <v>2.41986193344</v>
      </c>
      <c r="G28" s="44">
        <v>2.3567656011999998</v>
      </c>
      <c r="H28" s="44">
        <v>1.2808828969999999</v>
      </c>
      <c r="I28" s="44">
        <v>1.2808828969999999</v>
      </c>
      <c r="J28" s="44">
        <v>0</v>
      </c>
      <c r="K28" s="44">
        <v>1.716161362</v>
      </c>
      <c r="L28" s="44">
        <v>1.1423268966</v>
      </c>
      <c r="M28" s="44">
        <v>1.1032724524999999</v>
      </c>
      <c r="N28" s="44">
        <v>2.68483877463999</v>
      </c>
      <c r="O28" s="44">
        <v>2.6543292431099998</v>
      </c>
      <c r="P28" s="32"/>
    </row>
    <row r="29" spans="1:16">
      <c r="A29" s="32"/>
      <c r="B29" s="32"/>
      <c r="C29" s="40" t="s">
        <v>164</v>
      </c>
      <c r="D29" s="44">
        <v>1.61532751</v>
      </c>
      <c r="E29" s="44">
        <v>2.1402545650000002</v>
      </c>
      <c r="F29" s="44">
        <v>2.6411432060000002</v>
      </c>
      <c r="G29" s="44">
        <v>2.9876998810000002</v>
      </c>
      <c r="H29" s="44">
        <v>3.0343193419999999</v>
      </c>
      <c r="I29" s="44">
        <v>2.2086643119999998</v>
      </c>
      <c r="J29" s="44">
        <v>2.0747471110000002</v>
      </c>
      <c r="K29" s="44">
        <v>1.6711839150000001</v>
      </c>
      <c r="L29" s="44">
        <v>1.843443368</v>
      </c>
      <c r="M29" s="44">
        <v>1.6005175869999999</v>
      </c>
      <c r="N29" s="44">
        <v>2.9757928979999999</v>
      </c>
      <c r="O29" s="44">
        <v>2.1716471359999998</v>
      </c>
      <c r="P29" s="32"/>
    </row>
    <row r="30" spans="1:16">
      <c r="A30" s="32"/>
      <c r="B30" s="32"/>
      <c r="C30" s="45" t="s">
        <v>165</v>
      </c>
      <c r="D30" s="44">
        <v>3.2314654079999898</v>
      </c>
      <c r="E30" s="44">
        <v>1.9889350800000001</v>
      </c>
      <c r="F30" s="44">
        <v>2.5308897350000001</v>
      </c>
      <c r="G30" s="44">
        <v>2.1213102500000001</v>
      </c>
      <c r="H30" s="44">
        <v>1.8660382499999999</v>
      </c>
      <c r="I30" s="44">
        <v>1.1583206173</v>
      </c>
      <c r="J30" s="44">
        <v>1.3454074584</v>
      </c>
      <c r="K30" s="44">
        <v>2.2414152999999999</v>
      </c>
      <c r="L30" s="44">
        <v>2.0734719450000001</v>
      </c>
      <c r="M30" s="44">
        <v>2.9095156750000002</v>
      </c>
      <c r="N30" s="44">
        <v>2.3044629200000002</v>
      </c>
      <c r="O30" s="44">
        <v>2.3044629200000002</v>
      </c>
      <c r="P30" s="32"/>
    </row>
    <row r="31" spans="1:16">
      <c r="A31" s="32"/>
      <c r="B31" s="32"/>
      <c r="C31" s="95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2"/>
    </row>
    <row r="32" spans="1:16">
      <c r="A32" s="32"/>
      <c r="B32" s="96" t="s">
        <v>147</v>
      </c>
      <c r="C32" s="97" t="s">
        <v>158</v>
      </c>
      <c r="D32" s="38" t="s">
        <v>102</v>
      </c>
      <c r="E32" s="38" t="s">
        <v>103</v>
      </c>
      <c r="F32" s="38" t="s">
        <v>104</v>
      </c>
      <c r="G32" s="38" t="s">
        <v>105</v>
      </c>
      <c r="H32" s="38" t="s">
        <v>106</v>
      </c>
      <c r="I32" s="38" t="s">
        <v>107</v>
      </c>
      <c r="J32" s="38" t="s">
        <v>108</v>
      </c>
      <c r="K32" s="38" t="s">
        <v>109</v>
      </c>
      <c r="L32" s="38" t="s">
        <v>110</v>
      </c>
      <c r="M32" s="38" t="s">
        <v>111</v>
      </c>
      <c r="N32" s="38" t="s">
        <v>112</v>
      </c>
      <c r="O32" s="39" t="s">
        <v>113</v>
      </c>
      <c r="P32" s="32"/>
    </row>
    <row r="33" spans="1:16">
      <c r="A33" s="32"/>
      <c r="B33" s="32"/>
      <c r="C33" s="50" t="s">
        <v>159</v>
      </c>
      <c r="D33" s="44">
        <v>1.1697473504</v>
      </c>
      <c r="E33" s="44">
        <v>1.8478599710500001</v>
      </c>
      <c r="F33" s="44">
        <v>1.8673111286399999</v>
      </c>
      <c r="G33" s="44">
        <v>1.8478599710500001</v>
      </c>
      <c r="H33" s="44">
        <v>2.2147509608</v>
      </c>
      <c r="I33" s="44">
        <v>2.5627832546399998</v>
      </c>
      <c r="J33" s="44">
        <v>1.2395049933</v>
      </c>
      <c r="K33" s="44">
        <v>1.2066120527999999</v>
      </c>
      <c r="L33" s="44">
        <v>1.6519415271</v>
      </c>
      <c r="M33" s="44">
        <v>1.6519415271</v>
      </c>
      <c r="N33" s="44">
        <v>1.6519415271</v>
      </c>
      <c r="O33" s="44">
        <v>1.1697473504</v>
      </c>
      <c r="P33" s="32"/>
    </row>
    <row r="34" spans="1:16">
      <c r="A34" s="32"/>
      <c r="B34" s="32"/>
      <c r="C34" s="40" t="s">
        <v>160</v>
      </c>
      <c r="D34" s="44">
        <v>1.7240419282520001</v>
      </c>
      <c r="E34" s="44">
        <v>1.1312913467000001</v>
      </c>
      <c r="F34" s="44">
        <v>1.1312913467000001</v>
      </c>
      <c r="G34" s="44">
        <v>1.1312913467000001</v>
      </c>
      <c r="H34" s="44">
        <v>2.1970441638199998</v>
      </c>
      <c r="I34" s="44">
        <v>2.17025094231</v>
      </c>
      <c r="J34" s="44">
        <v>1.0215054983</v>
      </c>
      <c r="K34" s="44">
        <v>1.659596994328</v>
      </c>
      <c r="L34" s="44">
        <v>1.64135966471999</v>
      </c>
      <c r="M34" s="44">
        <v>1.73254631276</v>
      </c>
      <c r="N34" s="44">
        <v>1.71430898315199</v>
      </c>
      <c r="O34" s="44">
        <v>1.706449663678</v>
      </c>
      <c r="P34" s="32"/>
    </row>
    <row r="35" spans="1:16">
      <c r="A35" s="32"/>
      <c r="B35" s="32"/>
      <c r="C35" s="40" t="s">
        <v>161</v>
      </c>
      <c r="D35" s="44">
        <v>1.97957390946</v>
      </c>
      <c r="E35" s="44">
        <v>1.9593741756899901</v>
      </c>
      <c r="F35" s="44">
        <v>1.1205079715999999</v>
      </c>
      <c r="G35" s="44">
        <v>1.1205079715999999</v>
      </c>
      <c r="H35" s="44">
        <v>1.5343389999999999</v>
      </c>
      <c r="I35" s="44">
        <v>0</v>
      </c>
      <c r="J35" s="44">
        <v>0</v>
      </c>
      <c r="K35" s="44">
        <v>1.6891641420000001</v>
      </c>
      <c r="L35" s="44">
        <v>1.6891641420000001</v>
      </c>
      <c r="M35" s="44">
        <v>1.0899810991000001</v>
      </c>
      <c r="N35" s="44">
        <v>1.97957390946</v>
      </c>
      <c r="O35" s="44">
        <v>1.99977364323</v>
      </c>
      <c r="P35" s="32"/>
    </row>
    <row r="36" spans="1:16">
      <c r="A36" s="32"/>
      <c r="B36" s="32"/>
      <c r="C36" s="40" t="s">
        <v>162</v>
      </c>
      <c r="D36" s="44">
        <v>2.0021436208319998</v>
      </c>
      <c r="E36" s="44">
        <v>2.4680322245499999</v>
      </c>
      <c r="F36" s="44">
        <v>1.0867627615</v>
      </c>
      <c r="G36" s="44">
        <v>1.9357142192500001</v>
      </c>
      <c r="H36" s="44">
        <v>2.3566310427199899</v>
      </c>
      <c r="I36" s="44">
        <v>2.3278916397599998</v>
      </c>
      <c r="J36" s="44">
        <v>0.90601010000000004</v>
      </c>
      <c r="K36" s="44">
        <v>1.8291946083999999</v>
      </c>
      <c r="L36" s="44">
        <v>0</v>
      </c>
      <c r="M36" s="44">
        <v>2.1718336478300002</v>
      </c>
      <c r="N36" s="44">
        <v>2.4820955975199999</v>
      </c>
      <c r="O36" s="44">
        <v>2.4538899657300002</v>
      </c>
      <c r="P36" s="32"/>
    </row>
    <row r="37" spans="1:16">
      <c r="A37" s="32"/>
      <c r="B37" s="32"/>
      <c r="C37" s="40" t="s">
        <v>163</v>
      </c>
      <c r="D37" s="44">
        <v>2.6238197115799999</v>
      </c>
      <c r="E37" s="44">
        <v>1.279089913</v>
      </c>
      <c r="F37" s="44">
        <v>2.41986193344</v>
      </c>
      <c r="G37" s="44">
        <v>2.0590688936800001</v>
      </c>
      <c r="H37" s="44">
        <v>1.2808828969999999</v>
      </c>
      <c r="I37" s="44">
        <v>1.2808828969999999</v>
      </c>
      <c r="J37" s="44">
        <v>0</v>
      </c>
      <c r="K37" s="44">
        <v>1.716161362</v>
      </c>
      <c r="L37" s="44">
        <v>1.1423268966</v>
      </c>
      <c r="M37" s="44">
        <v>1.1032724524999999</v>
      </c>
      <c r="N37" s="44">
        <v>2.3187243962799999</v>
      </c>
      <c r="O37" s="44">
        <v>2.28821486475</v>
      </c>
      <c r="P37" s="32"/>
    </row>
    <row r="38" spans="1:16">
      <c r="A38" s="32"/>
      <c r="B38" s="32"/>
      <c r="C38" s="40" t="s">
        <v>164</v>
      </c>
      <c r="D38" s="44">
        <v>1.61532751</v>
      </c>
      <c r="E38" s="44">
        <v>2.1402545650000002</v>
      </c>
      <c r="F38" s="44">
        <v>2.6411432060000002</v>
      </c>
      <c r="G38" s="44">
        <v>2.8383148869500001</v>
      </c>
      <c r="H38" s="44">
        <v>3.0343193419999999</v>
      </c>
      <c r="I38" s="44">
        <v>2.2086643119999998</v>
      </c>
      <c r="J38" s="44">
        <v>2.0747471110000002</v>
      </c>
      <c r="K38" s="44">
        <v>1.6711839150000001</v>
      </c>
      <c r="L38" s="44">
        <v>1.843443368</v>
      </c>
      <c r="M38" s="44">
        <v>1.6005175869999999</v>
      </c>
      <c r="N38" s="44">
        <v>2.9162770400400002</v>
      </c>
      <c r="O38" s="44">
        <v>2.1716471359999998</v>
      </c>
      <c r="P38" s="32"/>
    </row>
    <row r="39" spans="1:16">
      <c r="A39" s="32"/>
      <c r="B39" s="32"/>
      <c r="C39" s="45" t="s">
        <v>165</v>
      </c>
      <c r="D39" s="44">
        <v>3.0968210159999998</v>
      </c>
      <c r="E39" s="44">
        <v>1.9889350800000001</v>
      </c>
      <c r="F39" s="44">
        <v>2.5308897350000001</v>
      </c>
      <c r="G39" s="44">
        <v>2.1213102500000001</v>
      </c>
      <c r="H39" s="44">
        <v>1.8660382499999999</v>
      </c>
      <c r="I39" s="44">
        <v>1.1583206173</v>
      </c>
      <c r="J39" s="44">
        <v>1.3454074584</v>
      </c>
      <c r="K39" s="44">
        <v>2.2414152999999999</v>
      </c>
      <c r="L39" s="44">
        <v>2.0734719450000001</v>
      </c>
      <c r="M39" s="44">
        <v>2.8804205182499998</v>
      </c>
      <c r="N39" s="44">
        <v>2.3044629200000002</v>
      </c>
      <c r="O39" s="44">
        <v>2.3044629200000002</v>
      </c>
      <c r="P39" s="32"/>
    </row>
    <row r="40" spans="1:16">
      <c r="A40" s="32"/>
      <c r="B40" s="32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2"/>
    </row>
    <row r="41" spans="1:16">
      <c r="A41" s="32"/>
      <c r="B41" s="32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32"/>
    </row>
    <row r="42" spans="1:16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</row>
    <row r="43" spans="1:16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</row>
  </sheetData>
  <dataValidations count="1">
    <dataValidation type="decimal" allowBlank="1" showInputMessage="1" showErrorMessage="1" errorTitle="Error" error="You must enter a number between 0 and 4 (inclusive)" promptTitle="Pricing" prompt="Enter a number between 0 and 4 (inclusive)" sqref="D6:O12 D15:O21 D24:O30 D33:O39">
      <formula1>0</formula1>
      <formula2>4</formula2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6"/>
  <sheetViews>
    <sheetView tabSelected="1" workbookViewId="0">
      <selection activeCell="R27" sqref="R27"/>
    </sheetView>
  </sheetViews>
  <sheetFormatPr baseColWidth="10" defaultRowHeight="15" x14ac:dyDescent="0"/>
  <sheetData>
    <row r="2" spans="2:16">
      <c r="B2" s="33" t="s">
        <v>99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2:16">
      <c r="B3" s="34" t="s">
        <v>100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2:16"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</row>
    <row r="5" spans="2:16">
      <c r="B5" s="37" t="s">
        <v>101</v>
      </c>
      <c r="C5" s="38" t="s">
        <v>102</v>
      </c>
      <c r="D5" s="38" t="s">
        <v>103</v>
      </c>
      <c r="E5" s="38" t="s">
        <v>104</v>
      </c>
      <c r="F5" s="38" t="s">
        <v>105</v>
      </c>
      <c r="G5" s="38" t="s">
        <v>106</v>
      </c>
      <c r="H5" s="38" t="s">
        <v>107</v>
      </c>
      <c r="I5" s="38" t="s">
        <v>108</v>
      </c>
      <c r="J5" s="38" t="s">
        <v>109</v>
      </c>
      <c r="K5" s="38" t="s">
        <v>110</v>
      </c>
      <c r="L5" s="38" t="s">
        <v>111</v>
      </c>
      <c r="M5" s="38" t="s">
        <v>112</v>
      </c>
      <c r="N5" s="39" t="s">
        <v>113</v>
      </c>
    </row>
    <row r="6" spans="2:16">
      <c r="B6" s="40" t="s">
        <v>114</v>
      </c>
      <c r="C6" s="41">
        <v>586.26074664847897</v>
      </c>
      <c r="D6" s="42">
        <v>412.138645329133</v>
      </c>
      <c r="E6" s="42">
        <v>297.75497036335298</v>
      </c>
      <c r="F6" s="42">
        <v>3778.3869528210098</v>
      </c>
      <c r="G6" s="42">
        <v>3480.8022887972302</v>
      </c>
      <c r="H6" s="42">
        <v>2845.9036455292198</v>
      </c>
      <c r="I6" s="42">
        <v>0</v>
      </c>
      <c r="J6" s="42">
        <v>4309.6357416808396</v>
      </c>
      <c r="K6" s="42">
        <v>3758.6462004679902</v>
      </c>
      <c r="L6" s="42">
        <v>2149.99653900673</v>
      </c>
      <c r="M6" s="42">
        <v>1937.19062984366</v>
      </c>
      <c r="N6" s="42">
        <v>2273.6468695879798</v>
      </c>
    </row>
    <row r="7" spans="2:16">
      <c r="B7" s="40" t="s">
        <v>115</v>
      </c>
      <c r="C7" s="43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</row>
    <row r="8" spans="2:16">
      <c r="B8" s="40" t="s">
        <v>116</v>
      </c>
      <c r="C8" s="43">
        <v>302.05924854906198</v>
      </c>
      <c r="D8" s="44">
        <v>235.684593234495</v>
      </c>
      <c r="E8" s="44">
        <v>0</v>
      </c>
      <c r="F8" s="44">
        <v>0</v>
      </c>
      <c r="G8" s="44">
        <v>0</v>
      </c>
      <c r="H8" s="44">
        <v>0</v>
      </c>
      <c r="I8" s="44">
        <v>291.699051210687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</row>
    <row r="9" spans="2:16">
      <c r="B9" s="40" t="s">
        <v>117</v>
      </c>
      <c r="C9" s="43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</row>
    <row r="10" spans="2:16">
      <c r="B10" s="40" t="s">
        <v>118</v>
      </c>
      <c r="C10" s="43">
        <v>1611.81192825784</v>
      </c>
      <c r="D10" s="44">
        <v>621.26024573143195</v>
      </c>
      <c r="E10" s="44">
        <v>783.09284405379003</v>
      </c>
      <c r="F10" s="44">
        <v>0</v>
      </c>
      <c r="G10" s="44">
        <v>0</v>
      </c>
      <c r="H10" s="44">
        <v>0</v>
      </c>
      <c r="I10" s="44">
        <v>1790.26794602988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</row>
    <row r="11" spans="2:16">
      <c r="B11" s="45" t="s">
        <v>119</v>
      </c>
      <c r="C11" s="43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</row>
    <row r="12" spans="2:16">
      <c r="B12" s="46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8"/>
    </row>
    <row r="14" spans="2:16">
      <c r="B14" s="57" t="s">
        <v>167</v>
      </c>
      <c r="C14">
        <f>SUM(C6:C11)</f>
        <v>2500.1319234553812</v>
      </c>
      <c r="D14">
        <f t="shared" ref="D14:N14" si="0">SUM(D6:D11)</f>
        <v>1269.0834842950599</v>
      </c>
      <c r="E14">
        <f t="shared" si="0"/>
        <v>1080.8478144171431</v>
      </c>
      <c r="F14">
        <f t="shared" si="0"/>
        <v>3778.3869528210098</v>
      </c>
      <c r="G14">
        <f t="shared" si="0"/>
        <v>3480.8022887972302</v>
      </c>
      <c r="H14">
        <f t="shared" si="0"/>
        <v>2845.9036455292198</v>
      </c>
      <c r="I14">
        <f t="shared" si="0"/>
        <v>2081.9669972405673</v>
      </c>
      <c r="J14">
        <f t="shared" si="0"/>
        <v>4309.6357416808396</v>
      </c>
      <c r="K14">
        <f t="shared" si="0"/>
        <v>3758.6462004679902</v>
      </c>
      <c r="L14">
        <f t="shared" si="0"/>
        <v>2149.99653900673</v>
      </c>
      <c r="M14">
        <f t="shared" si="0"/>
        <v>1937.19062984366</v>
      </c>
      <c r="N14">
        <f t="shared" si="0"/>
        <v>2273.6468695879798</v>
      </c>
    </row>
    <row r="15" spans="2:16">
      <c r="B15">
        <f>7268.5690006566/(7268.5690006566+2412.57754356543+16149.2166858536) * 100</f>
        <v>28.139631393930337</v>
      </c>
      <c r="C15">
        <f>$B15/100 * C14</f>
        <v>703.52790762232485</v>
      </c>
      <c r="D15">
        <f t="shared" ref="D15:N16" si="1">$B15/100 * D14</f>
        <v>357.11541456187763</v>
      </c>
      <c r="E15">
        <f t="shared" si="1"/>
        <v>304.14659090633631</v>
      </c>
      <c r="F15">
        <f t="shared" si="1"/>
        <v>1063.2241611601887</v>
      </c>
      <c r="G15">
        <f t="shared" si="1"/>
        <v>979.48493361903104</v>
      </c>
      <c r="H15">
        <f t="shared" si="1"/>
        <v>800.82679567834828</v>
      </c>
      <c r="I15">
        <f t="shared" si="1"/>
        <v>585.85783876677544</v>
      </c>
      <c r="J15">
        <f t="shared" si="1"/>
        <v>1212.7156121300641</v>
      </c>
      <c r="K15">
        <f t="shared" si="1"/>
        <v>1057.6691862136604</v>
      </c>
      <c r="L15">
        <f t="shared" si="1"/>
        <v>605.00110105875353</v>
      </c>
      <c r="M15">
        <f t="shared" si="1"/>
        <v>545.11830263576337</v>
      </c>
      <c r="N15">
        <f t="shared" si="1"/>
        <v>639.79584830169347</v>
      </c>
    </row>
    <row r="16" spans="2:16">
      <c r="B16">
        <f>100 - 1150.4685281434/(1150.4685281434+4549.19384041814) * 100</f>
        <v>79.815145990239571</v>
      </c>
      <c r="C16">
        <f>$B16/100 * C15</f>
        <v>561.52182655083629</v>
      </c>
      <c r="D16">
        <f t="shared" si="1"/>
        <v>285.03218948621191</v>
      </c>
      <c r="E16">
        <f t="shared" si="1"/>
        <v>242.75504555622902</v>
      </c>
      <c r="F16">
        <f t="shared" si="1"/>
        <v>848.61391643350464</v>
      </c>
      <c r="G16">
        <f t="shared" si="1"/>
        <v>781.77732972043077</v>
      </c>
      <c r="H16">
        <f t="shared" si="1"/>
        <v>639.18107609963124</v>
      </c>
      <c r="I16">
        <f t="shared" si="1"/>
        <v>467.60328930696414</v>
      </c>
      <c r="J16">
        <f t="shared" si="1"/>
        <v>967.930736268038</v>
      </c>
      <c r="K16">
        <f t="shared" si="1"/>
        <v>844.18020507021185</v>
      </c>
      <c r="L16">
        <f t="shared" si="1"/>
        <v>482.88251205260093</v>
      </c>
      <c r="M16">
        <f t="shared" si="1"/>
        <v>435.08696906825048</v>
      </c>
      <c r="N16">
        <f t="shared" si="1"/>
        <v>510.6539903614883</v>
      </c>
      <c r="P16">
        <f>SUM(C16:N16)</f>
        <v>7067.2190859743978</v>
      </c>
    </row>
    <row r="18" spans="2:16">
      <c r="B18" s="105">
        <v>0.9</v>
      </c>
      <c r="C18">
        <f>$B18*C$16</f>
        <v>505.36964389575269</v>
      </c>
      <c r="D18">
        <f t="shared" ref="D18:N33" si="2">$B18*D$16</f>
        <v>256.52897053759074</v>
      </c>
      <c r="E18">
        <f t="shared" si="2"/>
        <v>218.47954100060613</v>
      </c>
      <c r="F18">
        <f t="shared" si="2"/>
        <v>763.75252479015421</v>
      </c>
      <c r="G18">
        <f t="shared" si="2"/>
        <v>703.59959674838774</v>
      </c>
      <c r="H18">
        <f t="shared" si="2"/>
        <v>575.26296848966808</v>
      </c>
      <c r="I18">
        <f t="shared" si="2"/>
        <v>420.84296037626774</v>
      </c>
      <c r="J18">
        <f t="shared" si="2"/>
        <v>871.13766264123421</v>
      </c>
      <c r="K18">
        <f t="shared" si="2"/>
        <v>759.76218456319066</v>
      </c>
      <c r="L18">
        <f t="shared" si="2"/>
        <v>434.59426084734082</v>
      </c>
      <c r="M18">
        <f t="shared" si="2"/>
        <v>391.57827216142545</v>
      </c>
      <c r="N18">
        <f t="shared" si="2"/>
        <v>459.58859132533945</v>
      </c>
      <c r="P18">
        <f>SUM(C18:N18)</f>
        <v>6360.4971773769576</v>
      </c>
    </row>
    <row r="19" spans="2:16">
      <c r="B19" s="105">
        <v>0.8</v>
      </c>
      <c r="C19">
        <f t="shared" ref="C19:C26" si="3">$B19*C$16</f>
        <v>449.21746124066908</v>
      </c>
      <c r="D19">
        <f t="shared" si="2"/>
        <v>228.02575158896954</v>
      </c>
      <c r="E19">
        <f t="shared" si="2"/>
        <v>194.20403644498322</v>
      </c>
      <c r="F19">
        <f t="shared" si="2"/>
        <v>678.89113314680378</v>
      </c>
      <c r="G19">
        <f t="shared" si="2"/>
        <v>625.42186377634471</v>
      </c>
      <c r="H19">
        <f t="shared" si="2"/>
        <v>511.34486087970504</v>
      </c>
      <c r="I19">
        <f t="shared" si="2"/>
        <v>374.08263144557134</v>
      </c>
      <c r="J19">
        <f t="shared" si="2"/>
        <v>774.34458901443043</v>
      </c>
      <c r="K19">
        <f t="shared" si="2"/>
        <v>675.34416405616957</v>
      </c>
      <c r="L19">
        <f t="shared" si="2"/>
        <v>386.30600964208077</v>
      </c>
      <c r="M19">
        <f t="shared" si="2"/>
        <v>348.06957525460041</v>
      </c>
      <c r="N19">
        <f t="shared" si="2"/>
        <v>408.52319228919066</v>
      </c>
      <c r="P19">
        <f t="shared" ref="P19:P26" si="4">SUM(C19:N19)</f>
        <v>5653.7752687795182</v>
      </c>
    </row>
    <row r="20" spans="2:16">
      <c r="B20" s="105">
        <v>0.7</v>
      </c>
      <c r="C20">
        <f t="shared" si="3"/>
        <v>393.06527858558536</v>
      </c>
      <c r="D20">
        <f t="shared" si="2"/>
        <v>199.52253264034832</v>
      </c>
      <c r="E20">
        <f t="shared" si="2"/>
        <v>169.9285318893603</v>
      </c>
      <c r="F20">
        <f t="shared" si="2"/>
        <v>594.02974150345324</v>
      </c>
      <c r="G20">
        <f t="shared" si="2"/>
        <v>547.24413080430145</v>
      </c>
      <c r="H20">
        <f t="shared" si="2"/>
        <v>447.42675326974182</v>
      </c>
      <c r="I20">
        <f t="shared" si="2"/>
        <v>327.32230251487488</v>
      </c>
      <c r="J20">
        <f t="shared" si="2"/>
        <v>677.55151538762652</v>
      </c>
      <c r="K20">
        <f t="shared" si="2"/>
        <v>590.92614354914826</v>
      </c>
      <c r="L20">
        <f t="shared" si="2"/>
        <v>338.01775843682066</v>
      </c>
      <c r="M20">
        <f t="shared" si="2"/>
        <v>304.56087834777531</v>
      </c>
      <c r="N20">
        <f t="shared" si="2"/>
        <v>357.45779325304181</v>
      </c>
      <c r="P20">
        <f t="shared" si="4"/>
        <v>4947.053360182078</v>
      </c>
    </row>
    <row r="21" spans="2:16">
      <c r="B21" s="105">
        <v>0.6</v>
      </c>
      <c r="C21">
        <f t="shared" si="3"/>
        <v>336.91309593050175</v>
      </c>
      <c r="D21">
        <f t="shared" si="2"/>
        <v>171.01931369172715</v>
      </c>
      <c r="E21">
        <f t="shared" si="2"/>
        <v>145.65302733373741</v>
      </c>
      <c r="F21">
        <f t="shared" si="2"/>
        <v>509.16834986010275</v>
      </c>
      <c r="G21">
        <f t="shared" si="2"/>
        <v>469.06639783225842</v>
      </c>
      <c r="H21">
        <f t="shared" si="2"/>
        <v>383.50864565977872</v>
      </c>
      <c r="I21">
        <f t="shared" si="2"/>
        <v>280.56197358417847</v>
      </c>
      <c r="J21">
        <f t="shared" si="2"/>
        <v>580.75844176082273</v>
      </c>
      <c r="K21">
        <f t="shared" si="2"/>
        <v>506.50812304212707</v>
      </c>
      <c r="L21">
        <f t="shared" si="2"/>
        <v>289.72950723156055</v>
      </c>
      <c r="M21">
        <f t="shared" si="2"/>
        <v>261.05218144095028</v>
      </c>
      <c r="N21">
        <f t="shared" si="2"/>
        <v>306.39239421689297</v>
      </c>
      <c r="P21">
        <f t="shared" si="4"/>
        <v>4240.3314515846378</v>
      </c>
    </row>
    <row r="22" spans="2:16">
      <c r="B22" s="105">
        <v>0.5</v>
      </c>
      <c r="C22">
        <f t="shared" si="3"/>
        <v>280.76091327541815</v>
      </c>
      <c r="D22">
        <f t="shared" si="2"/>
        <v>142.51609474310595</v>
      </c>
      <c r="E22">
        <f t="shared" si="2"/>
        <v>121.37752277811451</v>
      </c>
      <c r="F22">
        <f t="shared" si="2"/>
        <v>424.30695821675232</v>
      </c>
      <c r="G22">
        <f t="shared" si="2"/>
        <v>390.88866486021539</v>
      </c>
      <c r="H22">
        <f t="shared" si="2"/>
        <v>319.59053804981562</v>
      </c>
      <c r="I22">
        <f t="shared" si="2"/>
        <v>233.80164465348207</v>
      </c>
      <c r="J22">
        <f t="shared" si="2"/>
        <v>483.965368134019</v>
      </c>
      <c r="K22">
        <f t="shared" si="2"/>
        <v>422.09010253510593</v>
      </c>
      <c r="L22">
        <f t="shared" si="2"/>
        <v>241.44125602630047</v>
      </c>
      <c r="M22">
        <f t="shared" si="2"/>
        <v>217.54348453412524</v>
      </c>
      <c r="N22">
        <f t="shared" si="2"/>
        <v>255.32699518074415</v>
      </c>
      <c r="P22">
        <f t="shared" si="4"/>
        <v>3533.6095429871989</v>
      </c>
    </row>
    <row r="23" spans="2:16">
      <c r="B23" s="105">
        <v>0.4</v>
      </c>
      <c r="C23">
        <f t="shared" si="3"/>
        <v>224.60873062033454</v>
      </c>
      <c r="D23">
        <f t="shared" si="2"/>
        <v>114.01287579448477</v>
      </c>
      <c r="E23">
        <f t="shared" si="2"/>
        <v>97.102018222491608</v>
      </c>
      <c r="F23">
        <f t="shared" si="2"/>
        <v>339.44556657340189</v>
      </c>
      <c r="G23">
        <f t="shared" si="2"/>
        <v>312.71093188817235</v>
      </c>
      <c r="H23">
        <f t="shared" si="2"/>
        <v>255.67243043985252</v>
      </c>
      <c r="I23">
        <f t="shared" si="2"/>
        <v>187.04131572278567</v>
      </c>
      <c r="J23">
        <f t="shared" si="2"/>
        <v>387.17229450721521</v>
      </c>
      <c r="K23">
        <f t="shared" si="2"/>
        <v>337.67208202808479</v>
      </c>
      <c r="L23">
        <f t="shared" si="2"/>
        <v>193.15300482104038</v>
      </c>
      <c r="M23">
        <f t="shared" si="2"/>
        <v>174.0347876273002</v>
      </c>
      <c r="N23">
        <f t="shared" si="2"/>
        <v>204.26159614459533</v>
      </c>
      <c r="P23">
        <f t="shared" si="4"/>
        <v>2826.8876343897591</v>
      </c>
    </row>
    <row r="24" spans="2:16">
      <c r="B24" s="105">
        <v>0.3</v>
      </c>
      <c r="C24">
        <f t="shared" si="3"/>
        <v>168.45654796525088</v>
      </c>
      <c r="D24">
        <f t="shared" si="2"/>
        <v>85.509656845863574</v>
      </c>
      <c r="E24">
        <f t="shared" si="2"/>
        <v>72.826513666868706</v>
      </c>
      <c r="F24">
        <f t="shared" si="2"/>
        <v>254.58417493005138</v>
      </c>
      <c r="G24">
        <f t="shared" si="2"/>
        <v>234.53319891612921</v>
      </c>
      <c r="H24">
        <f t="shared" si="2"/>
        <v>191.75432282988936</v>
      </c>
      <c r="I24">
        <f t="shared" si="2"/>
        <v>140.28098679208924</v>
      </c>
      <c r="J24">
        <f t="shared" si="2"/>
        <v>290.37922088041137</v>
      </c>
      <c r="K24">
        <f t="shared" si="2"/>
        <v>253.25406152106353</v>
      </c>
      <c r="L24">
        <f t="shared" si="2"/>
        <v>144.86475361578027</v>
      </c>
      <c r="M24">
        <f t="shared" si="2"/>
        <v>130.52609072047514</v>
      </c>
      <c r="N24">
        <f t="shared" si="2"/>
        <v>153.19619710844648</v>
      </c>
      <c r="P24">
        <f t="shared" si="4"/>
        <v>2120.1657257923189</v>
      </c>
    </row>
    <row r="25" spans="2:16">
      <c r="B25" s="105">
        <v>0.2</v>
      </c>
      <c r="C25">
        <f t="shared" si="3"/>
        <v>112.30436531016727</v>
      </c>
      <c r="D25">
        <f t="shared" si="2"/>
        <v>57.006437897242385</v>
      </c>
      <c r="E25">
        <f t="shared" si="2"/>
        <v>48.551009111245804</v>
      </c>
      <c r="F25">
        <f t="shared" si="2"/>
        <v>169.72278328670095</v>
      </c>
      <c r="G25">
        <f t="shared" si="2"/>
        <v>156.35546594408618</v>
      </c>
      <c r="H25">
        <f t="shared" si="2"/>
        <v>127.83621521992626</v>
      </c>
      <c r="I25">
        <f t="shared" si="2"/>
        <v>93.520657861392834</v>
      </c>
      <c r="J25">
        <f t="shared" si="2"/>
        <v>193.58614725360761</v>
      </c>
      <c r="K25">
        <f t="shared" si="2"/>
        <v>168.83604101404239</v>
      </c>
      <c r="L25">
        <f t="shared" si="2"/>
        <v>96.576502410520192</v>
      </c>
      <c r="M25">
        <f t="shared" si="2"/>
        <v>87.017393813650102</v>
      </c>
      <c r="N25">
        <f t="shared" si="2"/>
        <v>102.13079807229767</v>
      </c>
      <c r="P25">
        <f t="shared" si="4"/>
        <v>1413.4438171948796</v>
      </c>
    </row>
    <row r="26" spans="2:16">
      <c r="B26" s="105">
        <v>0.1</v>
      </c>
      <c r="C26">
        <f t="shared" si="3"/>
        <v>56.152182655083635</v>
      </c>
      <c r="D26">
        <f t="shared" si="2"/>
        <v>28.503218948621193</v>
      </c>
      <c r="E26">
        <f t="shared" si="2"/>
        <v>24.275504555622902</v>
      </c>
      <c r="F26">
        <f t="shared" si="2"/>
        <v>84.861391643350473</v>
      </c>
      <c r="G26">
        <f t="shared" si="2"/>
        <v>78.177732972043088</v>
      </c>
      <c r="H26">
        <f t="shared" si="2"/>
        <v>63.91810760996313</v>
      </c>
      <c r="I26">
        <f t="shared" si="2"/>
        <v>46.760328930696417</v>
      </c>
      <c r="J26">
        <f t="shared" si="2"/>
        <v>96.793073626803803</v>
      </c>
      <c r="K26">
        <f t="shared" si="2"/>
        <v>84.418020507021197</v>
      </c>
      <c r="L26">
        <f t="shared" si="2"/>
        <v>48.288251205260096</v>
      </c>
      <c r="M26">
        <f t="shared" si="2"/>
        <v>43.508696906825051</v>
      </c>
      <c r="N26">
        <f t="shared" si="2"/>
        <v>51.065399036148833</v>
      </c>
      <c r="P26">
        <f t="shared" si="4"/>
        <v>706.72190859743978</v>
      </c>
    </row>
    <row r="28" spans="2:16">
      <c r="B28" s="105">
        <v>0.9</v>
      </c>
      <c r="C28">
        <f>C16/$P$16 * 100</f>
        <v>7.9454424678192375</v>
      </c>
      <c r="D28">
        <f t="shared" ref="D28:N28" si="5">D16/$P$16 * 100</f>
        <v>4.033159097216708</v>
      </c>
      <c r="E28">
        <f t="shared" si="5"/>
        <v>3.434944390474616</v>
      </c>
      <c r="F28">
        <f t="shared" si="5"/>
        <v>12.007748820432973</v>
      </c>
      <c r="G28">
        <f t="shared" si="5"/>
        <v>11.062021994930737</v>
      </c>
      <c r="H28">
        <f t="shared" si="5"/>
        <v>9.0443082112474755</v>
      </c>
      <c r="I28">
        <f t="shared" si="5"/>
        <v>6.6165104494208986</v>
      </c>
      <c r="J28">
        <f t="shared" si="5"/>
        <v>13.696062404362038</v>
      </c>
      <c r="K28">
        <f t="shared" si="5"/>
        <v>11.945012526151507</v>
      </c>
      <c r="L28">
        <f t="shared" si="5"/>
        <v>6.8327089648448771</v>
      </c>
      <c r="M28">
        <f t="shared" si="5"/>
        <v>6.1564098095065996</v>
      </c>
      <c r="N28">
        <f t="shared" si="5"/>
        <v>7.2256708635923301</v>
      </c>
    </row>
    <row r="29" spans="2:16">
      <c r="B29" s="105"/>
    </row>
    <row r="30" spans="2:16">
      <c r="B30" s="105"/>
    </row>
    <row r="31" spans="2:16">
      <c r="B31" s="105"/>
    </row>
    <row r="32" spans="2:16">
      <c r="B32" s="105"/>
    </row>
    <row r="33" spans="2:2">
      <c r="B33" s="105"/>
    </row>
    <row r="34" spans="2:2">
      <c r="B34" s="105"/>
    </row>
    <row r="35" spans="2:2">
      <c r="B35" s="105"/>
    </row>
    <row r="36" spans="2:2">
      <c r="B36" s="105"/>
    </row>
  </sheetData>
  <dataValidations count="1">
    <dataValidation type="decimal" operator="greaterThanOrEqual" allowBlank="1" showInputMessage="1" showErrorMessage="1" errorTitle="Error" error="This error occurred because a non-positive number was entered" promptTitle="Purchases" prompt="Enter amount of fresh oranges (ORA) to purchase" sqref="C6:N11">
      <formula1>0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basic_info</vt:lpstr>
      <vt:lpstr>facilities</vt:lpstr>
      <vt:lpstr>raw_materials</vt:lpstr>
      <vt:lpstr>shipping_manufacturing</vt:lpstr>
      <vt:lpstr>pricing</vt:lpstr>
      <vt:lpstr>FCOJ_Calc</vt:lpstr>
    </vt:vector>
  </TitlesOfParts>
  <Company>Emory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Ruscus</dc:creator>
  <cp:lastModifiedBy>Emory Ruscus</cp:lastModifiedBy>
  <dcterms:created xsi:type="dcterms:W3CDTF">2016-11-22T19:12:33Z</dcterms:created>
  <dcterms:modified xsi:type="dcterms:W3CDTF">2016-11-22T21:15:56Z</dcterms:modified>
</cp:coreProperties>
</file>