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vinli117/Downloads/"/>
    </mc:Choice>
  </mc:AlternateContent>
  <xr:revisionPtr revIDLastSave="0" documentId="13_ncr:1_{8146FE0F-2E8C-D643-91A1-899ABE99ECE7}" xr6:coauthVersionLast="45" xr6:coauthVersionMax="45" xr10:uidLastSave="{00000000-0000-0000-0000-000000000000}"/>
  <bookViews>
    <workbookView xWindow="320" yWindow="460" windowWidth="28040" windowHeight="16840" firstSheet="1" activeTab="12" xr2:uid="{495C246C-504A-2B4E-AFFF-E1ADD278DEF6}"/>
  </bookViews>
  <sheets>
    <sheet name="Step 1 Diagram" sheetId="2" r:id="rId1"/>
    <sheet name="Step 1" sheetId="3" r:id="rId2"/>
    <sheet name="Step 2 Diagram" sheetId="4" r:id="rId3"/>
    <sheet name="Step 2" sheetId="5" r:id="rId4"/>
    <sheet name="Step 3 Diagram" sheetId="6" r:id="rId5"/>
    <sheet name="Step 3" sheetId="7" r:id="rId6"/>
    <sheet name="Step 4 Diagram" sheetId="8" r:id="rId7"/>
    <sheet name="Step 4" sheetId="9" r:id="rId8"/>
    <sheet name="Step 5 Diagram" sheetId="10" r:id="rId9"/>
    <sheet name="Step 5" sheetId="11" r:id="rId10"/>
    <sheet name="Step 6 Diagram" sheetId="12" r:id="rId11"/>
    <sheet name="Step 6" sheetId="13" r:id="rId12"/>
    <sheet name="Materia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L15" i="13"/>
  <c r="L21" i="13"/>
  <c r="L19" i="13"/>
  <c r="L17" i="13"/>
  <c r="L13" i="13"/>
  <c r="L11" i="13"/>
  <c r="I10" i="13"/>
  <c r="J10" i="13"/>
  <c r="I7" i="11" l="1"/>
  <c r="L29" i="11"/>
  <c r="L27" i="11"/>
  <c r="L25" i="11"/>
  <c r="L23" i="11"/>
  <c r="L21" i="11"/>
  <c r="L19" i="11"/>
  <c r="L17" i="11"/>
  <c r="J17" i="11"/>
  <c r="I17" i="11"/>
  <c r="L15" i="11"/>
  <c r="J13" i="11"/>
  <c r="I13" i="11"/>
  <c r="J12" i="11"/>
  <c r="I12" i="11"/>
  <c r="I11" i="11"/>
  <c r="J11" i="11"/>
  <c r="J7" i="9" l="1"/>
  <c r="M23" i="9"/>
  <c r="J18" i="9"/>
  <c r="M21" i="9"/>
  <c r="M20" i="9"/>
  <c r="M18" i="9"/>
  <c r="K18" i="9"/>
  <c r="K17" i="9"/>
  <c r="J17" i="9"/>
  <c r="M15" i="9"/>
  <c r="M14" i="9"/>
  <c r="K14" i="9"/>
  <c r="J14" i="9"/>
  <c r="J13" i="9"/>
  <c r="K13" i="9"/>
  <c r="I7" i="5" l="1"/>
  <c r="J7" i="7"/>
  <c r="M26" i="7"/>
  <c r="M24" i="7"/>
  <c r="M22" i="7"/>
  <c r="M20" i="7"/>
  <c r="M19" i="7"/>
  <c r="M17" i="7"/>
  <c r="M15" i="7"/>
  <c r="K14" i="7"/>
  <c r="M14" i="7"/>
  <c r="J14" i="7"/>
  <c r="J13" i="7"/>
  <c r="K13" i="7"/>
  <c r="I16" i="5" l="1"/>
  <c r="J16" i="5" s="1"/>
  <c r="L16" i="5" s="1"/>
  <c r="J12" i="5"/>
  <c r="I12" i="5" s="1"/>
  <c r="L20" i="5" l="1"/>
  <c r="L13" i="5"/>
  <c r="I22" i="5"/>
  <c r="J22" i="5" s="1"/>
  <c r="I18" i="5"/>
  <c r="J18" i="5" s="1"/>
  <c r="L18" i="5" s="1"/>
  <c r="L24" i="5"/>
  <c r="I14" i="5"/>
  <c r="J14" i="5" s="1"/>
  <c r="L14" i="5" s="1"/>
  <c r="H11" i="3" l="1"/>
  <c r="G11" i="3" s="1"/>
  <c r="J31" i="3" l="1"/>
  <c r="J23" i="3"/>
  <c r="J12" i="3"/>
  <c r="J30" i="3"/>
  <c r="J21" i="3"/>
  <c r="J28" i="3"/>
  <c r="J27" i="3"/>
  <c r="G14" i="3"/>
  <c r="H14" i="3" s="1"/>
  <c r="J14" i="3" s="1"/>
  <c r="G16" i="3"/>
  <c r="H16" i="3" s="1"/>
  <c r="J16" i="3" s="1"/>
  <c r="G20" i="3"/>
  <c r="G18" i="3"/>
  <c r="J18" i="3" l="1"/>
  <c r="H18" i="3"/>
  <c r="G7" i="3"/>
  <c r="H20" i="3"/>
  <c r="J24" i="3"/>
  <c r="J25" i="3"/>
</calcChain>
</file>

<file path=xl/sharedStrings.xml><?xml version="1.0" encoding="utf-8"?>
<sst xmlns="http://schemas.openxmlformats.org/spreadsheetml/2006/main" count="539" uniqueCount="201">
  <si>
    <t>Stream #</t>
  </si>
  <si>
    <t>Description</t>
  </si>
  <si>
    <t>7-iodopyrrolo[2,1-f][1,2,4] triazin-4-amine</t>
  </si>
  <si>
    <t>suspended in tetrahydrofuran</t>
  </si>
  <si>
    <t>Resulting Mixture</t>
  </si>
  <si>
    <t>TMSCl</t>
  </si>
  <si>
    <t>Resulting Solution</t>
  </si>
  <si>
    <t>PhMgCl added slowly</t>
  </si>
  <si>
    <t>Reaction mixture</t>
  </si>
  <si>
    <t>iPrMgCl (1M in tetrahydrofuran)</t>
  </si>
  <si>
    <t>Resulting Solution cooled to 0 degrees C</t>
  </si>
  <si>
    <t>Resulting Mixture internal temp below 5 C</t>
  </si>
  <si>
    <t>tetrahydrofuran</t>
  </si>
  <si>
    <t>Solution of 11 and 12</t>
  </si>
  <si>
    <t>Resulting solution with internal temp of 20C</t>
  </si>
  <si>
    <t>Quenched with methanol at 0 degrees C</t>
  </si>
  <si>
    <t>Quenched with acetic acid</t>
  </si>
  <si>
    <t>Quenched with water</t>
  </si>
  <si>
    <t>Resulting Mixture warmed to room temp</t>
  </si>
  <si>
    <t xml:space="preserve">Concentrated mixture </t>
  </si>
  <si>
    <t>Ethyl Aceetate</t>
  </si>
  <si>
    <t>Aqueous HCl</t>
  </si>
  <si>
    <t>Organic Layer</t>
  </si>
  <si>
    <t>Aqueous layer</t>
  </si>
  <si>
    <t>Bicarbonate Solution</t>
  </si>
  <si>
    <t>Brine</t>
  </si>
  <si>
    <t>Anhydrous sodium sulfate</t>
  </si>
  <si>
    <t>Resulting dried mixture</t>
  </si>
  <si>
    <t>0-10% methanol in ethyl acetate</t>
  </si>
  <si>
    <t>Basis:</t>
  </si>
  <si>
    <t>kg</t>
  </si>
  <si>
    <t>PhMgCl</t>
  </si>
  <si>
    <t>iPrMgCl</t>
  </si>
  <si>
    <t>Acetic Acid</t>
  </si>
  <si>
    <t>Water</t>
  </si>
  <si>
    <t>Methanol</t>
  </si>
  <si>
    <t>Ethyl Acetate</t>
  </si>
  <si>
    <t>Molar Mass (kg/kmol)</t>
  </si>
  <si>
    <t>2,3,5-tri-0-benzyl-D-ribono-1,4-lactone</t>
  </si>
  <si>
    <t>Compound</t>
  </si>
  <si>
    <t>HCl</t>
  </si>
  <si>
    <t>Sodium Bicarbonate</t>
  </si>
  <si>
    <t>Anhydrous Sodium Sulfate</t>
  </si>
  <si>
    <t>Density (g/mL)</t>
  </si>
  <si>
    <t>Tetrahydrofuran</t>
  </si>
  <si>
    <t>Inlet Streams:</t>
  </si>
  <si>
    <t>Units</t>
  </si>
  <si>
    <t>Mass</t>
  </si>
  <si>
    <t>Volume</t>
  </si>
  <si>
    <t>mL</t>
  </si>
  <si>
    <t>PhMgCl (2M in tetrahydrofuran)</t>
  </si>
  <si>
    <t xml:space="preserve">PhMgCl </t>
  </si>
  <si>
    <t>Methanool</t>
  </si>
  <si>
    <t>1M hydrochloric acid</t>
  </si>
  <si>
    <t>Notes</t>
  </si>
  <si>
    <t>Add until dryed</t>
  </si>
  <si>
    <t>(3R,4R,5R)-2-(4-aminopyrrolo[2,1-f][1,2,4]triazin-7-yl)-3,4-bis(benzyloxy)-5- ((benzyloxy)methyl)tetrahydrofuran-2-ol</t>
  </si>
  <si>
    <t>Product</t>
  </si>
  <si>
    <r>
      <t>(3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,5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)-2-(4-aminopyrrolo[2,1-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 xml:space="preserve">][1,2,4]triazin-7-yl)-3,4-bis(benzyloxy)-5- ((benzyloxy)methyl)tetrahydrofuran-2-ol </t>
    </r>
  </si>
  <si>
    <t>dichloromethane</t>
  </si>
  <si>
    <t>trifluoromethanesulfonic acid</t>
  </si>
  <si>
    <t>After mixing of the mixture</t>
  </si>
  <si>
    <t>TMSOTf</t>
  </si>
  <si>
    <t>TMSCN added slowly</t>
  </si>
  <si>
    <t>Triethylamine</t>
  </si>
  <si>
    <t>Slow Addition of Water</t>
  </si>
  <si>
    <t>Aqueous Layer</t>
  </si>
  <si>
    <t>Washed with brine</t>
  </si>
  <si>
    <t>Dried mixture</t>
  </si>
  <si>
    <t>Concentrated Mixture</t>
  </si>
  <si>
    <t>40-100% ethyl acetate in hexanes</t>
  </si>
  <si>
    <r>
      <t>(2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,3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,5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)-2-(4-aminopyrrolo[2,1-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 xml:space="preserve">][1,2,4]triazin-7-yl)-3,4-bis(benzyloxy)-5- ((benzyloxy)methyl)tetrahydrofuran-2-carbonitrile </t>
    </r>
  </si>
  <si>
    <t>TMSCN</t>
  </si>
  <si>
    <t>Sodium Bicarboonate</t>
  </si>
  <si>
    <t>ethyl acetate</t>
  </si>
  <si>
    <t>hexanes</t>
  </si>
  <si>
    <t>Compoound</t>
  </si>
  <si>
    <t xml:space="preserve">(3R,4R,5R)-2-(4-aminopyrrolo[2,1-f][1,2,4]triazin-7-yl)-3,4-bis(benzyloxy)-5- ((benzyloxy)methyl)tetrahydrofuran-2-ol </t>
  </si>
  <si>
    <t xml:space="preserve">(2R,3R,4R,5R)-2-(4-aminopyrrolo[2,1-f][1,2,4]triazin-7-yl)-3,4-bis(benzyloxy)-5- ((benzyloxy)methyl)tetrahydrofuran-2-carbonitrile </t>
  </si>
  <si>
    <t>Dichloromethane</t>
  </si>
  <si>
    <t>Variable Amounts needed to extract aqueous layer</t>
  </si>
  <si>
    <t>Add as much until dried</t>
  </si>
  <si>
    <t>Variable Amounts needed to wash oroganic layer</t>
  </si>
  <si>
    <r>
      <t>(2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,3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,5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)-2-(4-aminopyrrolo[2,1-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 xml:space="preserve">][1,2,4]triazin-7-yl)-3,4-bis(benzyloxy)-5- ((benzyloxy)methyl)tetrahydrofuran-2-carbonitrile </t>
    </r>
  </si>
  <si>
    <t>Boron Trichloride added slowly</t>
  </si>
  <si>
    <t>Anhydrous dichloromethane in solution with (4)</t>
  </si>
  <si>
    <t>Methanol added dropwise</t>
  </si>
  <si>
    <t>Solution of Trieethylamine in methanol added dropwise</t>
  </si>
  <si>
    <t>Resulting Mixture at room tempeerature</t>
  </si>
  <si>
    <t>Resulting Mixture concentrated under reduced pressure</t>
  </si>
  <si>
    <t>Hexanes added for slurry</t>
  </si>
  <si>
    <t>solid residue slurried</t>
  </si>
  <si>
    <t>Liquid decanted</t>
  </si>
  <si>
    <t xml:space="preserve">Solid residue </t>
  </si>
  <si>
    <t>Suspended in methanol</t>
  </si>
  <si>
    <t>Resulting Mixture heated to 45 degrees C</t>
  </si>
  <si>
    <t>Resulting mixture concentrated under reduced pressure to remove volatiles</t>
  </si>
  <si>
    <t>Resulting Mixture cooled to room temperature</t>
  </si>
  <si>
    <t>Liquids extracted from filtration</t>
  </si>
  <si>
    <t>White Solids</t>
  </si>
  <si>
    <t>Boron Trichloride</t>
  </si>
  <si>
    <t>Hexane</t>
  </si>
  <si>
    <t>Anhydrous Dichloromethane</t>
  </si>
  <si>
    <t>Anhydrous Dichlomethane</t>
  </si>
  <si>
    <t>(2R,3R,4S,5R)-2-(4-aminopyrrolo[2,1-f][1,2,4]triazin-7-yl)-3,4-dihydroxy-5- (hydroxymethyl)tetrahydrofuran-2-carbonitrile</t>
  </si>
  <si>
    <t>kmols</t>
  </si>
  <si>
    <t>boron trichloride</t>
  </si>
  <si>
    <t>concentration of 1M</t>
  </si>
  <si>
    <t xml:space="preserve">2,2-dimethoxypropane </t>
  </si>
  <si>
    <t>Nucleoside with 2,2-dimethoxypropane suspension in acetone at room temperature</t>
  </si>
  <si>
    <t>sulfuric acid added dropwise to the suspension</t>
  </si>
  <si>
    <t>Reaction Mixture</t>
  </si>
  <si>
    <t>Solid sodium bicarbonate added first</t>
  </si>
  <si>
    <t>Water added right after</t>
  </si>
  <si>
    <t>Concentrated Reaction Mixture</t>
  </si>
  <si>
    <t>Residue dissolved in ethyl acetate and water</t>
  </si>
  <si>
    <t>Ethyl Acetate used to extract water layer</t>
  </si>
  <si>
    <t>Water layer</t>
  </si>
  <si>
    <t>Organic layer</t>
  </si>
  <si>
    <t>Anhydrous sodium sulfate used to dry organic extracts</t>
  </si>
  <si>
    <r>
      <t>(3a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)-4-(4-aminopyrrolo[2,1-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>][1,2,4]triazin-7-yl)-6-(hydroxymethyl)-2,2- dimethyltetrahydrofuro[3,4-</t>
    </r>
    <r>
      <rPr>
        <sz val="12"/>
        <color theme="1"/>
        <rFont val="TimesNewRoman,BoldItalic"/>
      </rPr>
      <t>d</t>
    </r>
    <r>
      <rPr>
        <sz val="12"/>
        <color theme="1"/>
        <rFont val="TimesNewRoman,Bold"/>
      </rPr>
      <t xml:space="preserve">][1,3]dioxole-4-carbonitrile </t>
    </r>
  </si>
  <si>
    <t>Sulfuric Acid</t>
  </si>
  <si>
    <t>2,2-dimethoxypropane</t>
  </si>
  <si>
    <t>Acetone</t>
  </si>
  <si>
    <t xml:space="preserve">(2R,3R,4S,5R)-2-(4-aminopyrrolo[2,1-f][1,2,4]triazin-7-yl)-3,4-dihydroxy-5- (hydroxymethyl)tetrahydrofuran-2-carbonitrile </t>
  </si>
  <si>
    <t xml:space="preserve">(3aR,4R,6R,6aR)-4-(4-aminopyrrolo[2,1-f][1,2,4]triazin-7-yl)-6-(hydroxymethyl)-2,2- dimethyltetrahydrofuro[3,4-d][1,3]dioxole-4-carbonitrile </t>
  </si>
  <si>
    <t>Sulfuric acid</t>
  </si>
  <si>
    <t>2,2-dimethoxypropoane</t>
  </si>
  <si>
    <t>acetone</t>
  </si>
  <si>
    <t>Need to extract it twice so its volume * 2</t>
  </si>
  <si>
    <t>Use as much until dried</t>
  </si>
  <si>
    <r>
      <t>(2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 xml:space="preserve">)-2-ethylbutyl 2-(((4- nitrophenoxy)(phenoxy)phosphoryl)amino)propanoate </t>
    </r>
  </si>
  <si>
    <r>
      <t>(3a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)-4-(4-aminopyrrolo[2,1-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>][1,2,4]triazin-7-yl)-6-(hydroxymethyl)-2,2- dimethyltetrahydrofuro[3,4-</t>
    </r>
    <r>
      <rPr>
        <sz val="12"/>
        <color theme="1"/>
        <rFont val="TimesNewRoman,Italic"/>
      </rPr>
      <t>d</t>
    </r>
    <r>
      <rPr>
        <sz val="12"/>
        <color theme="1"/>
        <rFont val="TimesNewRoman"/>
      </rPr>
      <t xml:space="preserve">][1,3]dioxole-4-carbonitrile </t>
    </r>
  </si>
  <si>
    <t>Magnesium Chloride</t>
  </si>
  <si>
    <t>Acetonitrile</t>
  </si>
  <si>
    <t>N,N-diisopropylethylamine</t>
  </si>
  <si>
    <t>Diluted with Ethyl Acetate</t>
  </si>
  <si>
    <t>Washed with 5% aqueous Citric acid Solution</t>
  </si>
  <si>
    <t>Washed with Saturated Aqueous Ammonium Chloride Solution</t>
  </si>
  <si>
    <t>Washed with 5% Potassium Carbonate Solution (2x)</t>
  </si>
  <si>
    <t>Dried over Anhydrous Sodium Sulfate</t>
  </si>
  <si>
    <t>Resulting mixture</t>
  </si>
  <si>
    <r>
      <t>(</t>
    </r>
    <r>
      <rPr>
        <sz val="12"/>
        <color theme="1"/>
        <rFont val="TimesNewRoman,BoldItalic"/>
      </rPr>
      <t>S</t>
    </r>
    <r>
      <rPr>
        <sz val="12"/>
        <color theme="1"/>
        <rFont val="TimesNewRoman,Bold"/>
      </rPr>
      <t>)-2-ethylbutyl 2-(((</t>
    </r>
    <r>
      <rPr>
        <sz val="12"/>
        <color theme="1"/>
        <rFont val="TimesNewRoman,BoldItalic"/>
      </rPr>
      <t>S</t>
    </r>
    <r>
      <rPr>
        <sz val="12"/>
        <color theme="1"/>
        <rFont val="TimesNewRoman,Bold"/>
      </rPr>
      <t>)-(((3a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,4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,6a</t>
    </r>
    <r>
      <rPr>
        <sz val="12"/>
        <color theme="1"/>
        <rFont val="TimesNewRoman,BoldItalic"/>
      </rPr>
      <t>R</t>
    </r>
    <r>
      <rPr>
        <sz val="12"/>
        <color theme="1"/>
        <rFont val="TimesNewRoman,Bold"/>
      </rPr>
      <t>)-6-(4-aminopyrrolo[2,1-</t>
    </r>
    <r>
      <rPr>
        <sz val="12"/>
        <color theme="1"/>
        <rFont val="TimesNewRoman,BoldItalic"/>
      </rPr>
      <t>f</t>
    </r>
    <r>
      <rPr>
        <sz val="12"/>
        <color theme="1"/>
        <rFont val="TimesNewRoman,Bold"/>
      </rPr>
      <t>][1,2,4]triazin-7-yl)-6- cyano-2,2-dimethyltetrahydrofuro[3,4-</t>
    </r>
    <r>
      <rPr>
        <sz val="12"/>
        <color theme="1"/>
        <rFont val="TimesNewRoman,BoldItalic"/>
      </rPr>
      <t>d</t>
    </r>
    <r>
      <rPr>
        <sz val="12"/>
        <color theme="1"/>
        <rFont val="TimesNewRoman,Bold"/>
      </rPr>
      <t xml:space="preserve">][1,3]dioxol-4- yl)methoxy)(phenoxy)phosphoryl)amino)propanoate </t>
    </r>
  </si>
  <si>
    <t xml:space="preserve">Elution with 0-100% Ethyl Acetate in hexanes </t>
  </si>
  <si>
    <t xml:space="preserve">Acetonitrile </t>
  </si>
  <si>
    <t>Citric Acid</t>
  </si>
  <si>
    <t>Potassium Carbonate</t>
  </si>
  <si>
    <t>5% aqueous citric acid solution</t>
  </si>
  <si>
    <t>Saturated aqueous Ammonium Chloride Solution</t>
  </si>
  <si>
    <t>Saturated Ammonium Chloride</t>
  </si>
  <si>
    <t>5% Aqueous Potassium Carbonate</t>
  </si>
  <si>
    <t>Magnesium Chlooride</t>
  </si>
  <si>
    <t>5% Citric Acid Solution</t>
  </si>
  <si>
    <t>Saturated Aqueous Ammonium Chloride</t>
  </si>
  <si>
    <t>0-100% ethyl acetate in hexanes</t>
  </si>
  <si>
    <r>
      <t>(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>)-2-ethylbutyl 2-(((</t>
    </r>
    <r>
      <rPr>
        <sz val="12"/>
        <color theme="1"/>
        <rFont val="TimesNewRoman,Italic"/>
      </rPr>
      <t>S</t>
    </r>
    <r>
      <rPr>
        <sz val="12"/>
        <color theme="1"/>
        <rFont val="TimesNewRoman"/>
      </rPr>
      <t>)-(((3a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,4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>,6a</t>
    </r>
    <r>
      <rPr>
        <sz val="12"/>
        <color theme="1"/>
        <rFont val="TimesNewRoman,Italic"/>
      </rPr>
      <t>R</t>
    </r>
    <r>
      <rPr>
        <sz val="12"/>
        <color theme="1"/>
        <rFont val="TimesNewRoman"/>
      </rPr>
      <t xml:space="preserve">)-6-(4-aminopyrrolo[2,1- </t>
    </r>
    <r>
      <rPr>
        <sz val="12"/>
        <color theme="1"/>
        <rFont val="TimesNewRoman,Italic"/>
      </rPr>
      <t>f</t>
    </r>
    <r>
      <rPr>
        <sz val="12"/>
        <color theme="1"/>
        <rFont val="TimesNewRoman"/>
      </rPr>
      <t>][1,2,4]triazin-7-yl)-6-cyano-2,2-dimethyltetrahydrofuro[3,4-</t>
    </r>
    <r>
      <rPr>
        <sz val="12"/>
        <color theme="1"/>
        <rFont val="TimesNewRoman,Italic"/>
      </rPr>
      <t>d</t>
    </r>
    <r>
      <rPr>
        <sz val="12"/>
        <color theme="1"/>
        <rFont val="TimesNewRoman"/>
      </rPr>
      <t xml:space="preserve">][1,3]dioxol-4- yl)methoxy)(phenoxy)phosphoryl)amino)propanoate </t>
    </r>
  </si>
  <si>
    <t>37% Hydrochloric Acid Solution</t>
  </si>
  <si>
    <t>Aqueous Sodium Bicarbonate Solution to adjust to pH = 8</t>
  </si>
  <si>
    <t>Inorganic Extract</t>
  </si>
  <si>
    <t>Organic Extract</t>
  </si>
  <si>
    <t>Brine used to wash organic extract</t>
  </si>
  <si>
    <t>Resulting Mixturee</t>
  </si>
  <si>
    <t>Crude Residue</t>
  </si>
  <si>
    <t>Eluting with 0-100% Ethyl Acetate in hexanes</t>
  </si>
  <si>
    <t>GS-5734 (remdesivir)</t>
  </si>
  <si>
    <t>Hydrochloric Acid</t>
  </si>
  <si>
    <t>Sodium Sulfate</t>
  </si>
  <si>
    <t>GS-5734</t>
  </si>
  <si>
    <t>37% Aqueous Hydrochloric Acid</t>
  </si>
  <si>
    <t>37% Aqueous Hydrochloric Acid Solutioon</t>
  </si>
  <si>
    <t xml:space="preserve">(S)-2-ethylbutyl 2-(((S)-(((3aR,4R,6R,6aR)-6-(4-aminopyrrolo[2,1- f][1,2,4]triazin-7-yl)-6-cyano-2,2-dimethyltetrahydrofuro[3,4-d][1,3]dioxol-4- yl)methoxy)(phenoxy)phosphoryl)amino)propanoate </t>
  </si>
  <si>
    <t>Aqueous Sodium Bicarbonate Solution</t>
  </si>
  <si>
    <t>Add as needed</t>
  </si>
  <si>
    <t>Agitators</t>
  </si>
  <si>
    <t>Processing Equipment</t>
  </si>
  <si>
    <t>What it is used for</t>
  </si>
  <si>
    <t>Blowers</t>
  </si>
  <si>
    <t>Helps with the mixing of liquids, promoting chemical reactions and increase heat or cool trasnfers</t>
  </si>
  <si>
    <t xml:space="preserve">Used in solvent recovery and evaporation </t>
  </si>
  <si>
    <t>Boilers</t>
  </si>
  <si>
    <t>Create steam by applyinng heat energy to water</t>
  </si>
  <si>
    <t>Centrifuge</t>
  </si>
  <si>
    <t>Used for separation of liquids that have different densities</t>
  </si>
  <si>
    <t>Quickly lower temperature</t>
  </si>
  <si>
    <t>Chillers</t>
  </si>
  <si>
    <t>Dryers/Granulators</t>
  </si>
  <si>
    <t>Drying liquids into powders/granules</t>
  </si>
  <si>
    <t>Heat Exchangers</t>
  </si>
  <si>
    <t>Transfers heat from one medium to another</t>
  </si>
  <si>
    <t>Metal Detectors</t>
  </si>
  <si>
    <t>Inspection Machines</t>
  </si>
  <si>
    <t>Provides a visual of the product</t>
  </si>
  <si>
    <t>Detects bits of metal fallen into the equipment</t>
  </si>
  <si>
    <t>Ovens</t>
  </si>
  <si>
    <t>Providing heat or drying</t>
  </si>
  <si>
    <t>Tanks</t>
  </si>
  <si>
    <t>Helps to hold the liquids</t>
  </si>
  <si>
    <t>Chromatography Column</t>
  </si>
  <si>
    <t>To help with separation of mixtures as different mixtures travel at different speeds</t>
  </si>
  <si>
    <t>Pressure Reducing Regulator and Valve</t>
  </si>
  <si>
    <t>Regulates the flow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</si>
</sst>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NewRoman"/>
    </font>
    <font>
      <sz val="12"/>
      <color theme="1"/>
      <name val="TimesNewRoman,Italic"/>
    </font>
    <font>
      <sz val="12"/>
      <color theme="1"/>
      <name val="TimesNewRoman,Bold"/>
    </font>
    <font>
      <sz val="12"/>
      <color theme="1"/>
      <name val="TimesNewRoman,BoldItalic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  <xf numFmtId="0" fontId="1" fillId="0" borderId="0" xfId="0" applyFont="1" applyBorder="1"/>
    <xf numFmtId="0" fontId="0" fillId="0" borderId="3" xfId="0" applyFill="1" applyBorder="1"/>
    <xf numFmtId="0" fontId="1" fillId="2" borderId="1" xfId="0" applyFont="1" applyFill="1" applyBorder="1"/>
    <xf numFmtId="0" fontId="0" fillId="2" borderId="5" xfId="0" applyFill="1" applyBorder="1"/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8" xfId="0" applyBorder="1"/>
    <xf numFmtId="0" fontId="1" fillId="0" borderId="11" xfId="0" applyFont="1" applyBorder="1"/>
    <xf numFmtId="0" fontId="4" fillId="0" borderId="3" xfId="0" applyFont="1" applyBorder="1"/>
    <xf numFmtId="0" fontId="6" fillId="0" borderId="4" xfId="0" applyFont="1" applyBorder="1"/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13" xfId="0" applyBorder="1"/>
    <xf numFmtId="0" fontId="1" fillId="0" borderId="12" xfId="0" applyFont="1" applyBorder="1"/>
    <xf numFmtId="0" fontId="0" fillId="0" borderId="15" xfId="0" applyBorder="1"/>
    <xf numFmtId="0" fontId="1" fillId="0" borderId="10" xfId="0" applyFont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3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0" fillId="2" borderId="1" xfId="0" applyFill="1" applyBorder="1"/>
    <xf numFmtId="0" fontId="0" fillId="0" borderId="3" xfId="0" applyBorder="1" applyAlignment="1">
      <alignment vertical="center"/>
    </xf>
    <xf numFmtId="2" fontId="0" fillId="0" borderId="0" xfId="0" applyNumberForma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2" fontId="1" fillId="0" borderId="3" xfId="0" applyNumberFormat="1" applyFont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2" borderId="10" xfId="0" applyNumberFormat="1" applyFill="1" applyBorder="1"/>
    <xf numFmtId="2" fontId="0" fillId="3" borderId="1" xfId="0" applyNumberFormat="1" applyFont="1" applyFill="1" applyBorder="1" applyAlignment="1">
      <alignment vertical="center"/>
    </xf>
    <xf numFmtId="0" fontId="1" fillId="0" borderId="8" xfId="0" applyFont="1" applyBorder="1"/>
    <xf numFmtId="0" fontId="1" fillId="0" borderId="7" xfId="0" applyFont="1" applyBorder="1"/>
    <xf numFmtId="0" fontId="0" fillId="0" borderId="9" xfId="0" applyBorder="1" applyAlignment="1">
      <alignment wrapText="1"/>
    </xf>
    <xf numFmtId="2" fontId="0" fillId="0" borderId="4" xfId="0" applyNumberFormat="1" applyBorder="1"/>
    <xf numFmtId="2" fontId="0" fillId="0" borderId="14" xfId="0" applyNumberFormat="1" applyBorder="1"/>
    <xf numFmtId="2" fontId="0" fillId="0" borderId="9" xfId="0" applyNumberFormat="1" applyBorder="1"/>
    <xf numFmtId="2" fontId="0" fillId="0" borderId="0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15" xfId="0" applyNumberFormat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9" xfId="0" applyFont="1" applyBorder="1"/>
    <xf numFmtId="0" fontId="1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3" borderId="8" xfId="0" applyFont="1" applyFill="1" applyBorder="1"/>
    <xf numFmtId="0" fontId="0" fillId="3" borderId="8" xfId="0" applyFill="1" applyBorder="1" applyAlignment="1">
      <alignment wrapText="1"/>
    </xf>
    <xf numFmtId="2" fontId="0" fillId="3" borderId="4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6" fillId="2" borderId="1" xfId="0" applyFont="1" applyFill="1" applyBorder="1" applyAlignment="1">
      <alignment wrapText="1"/>
    </xf>
    <xf numFmtId="0" fontId="0" fillId="2" borderId="10" xfId="0" applyFill="1" applyBorder="1"/>
    <xf numFmtId="0" fontId="0" fillId="0" borderId="3" xfId="0" applyBorder="1" applyAlignment="1">
      <alignment wrapText="1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4" xfId="0" applyNumberFormat="1" applyBorder="1"/>
    <xf numFmtId="2" fontId="0" fillId="3" borderId="15" xfId="0" applyNumberFormat="1" applyFill="1" applyBorder="1"/>
    <xf numFmtId="0" fontId="6" fillId="0" borderId="0" xfId="0" applyFont="1"/>
    <xf numFmtId="0" fontId="9" fillId="0" borderId="2" xfId="0" applyFont="1" applyBorder="1" applyAlignment="1">
      <alignment vertical="center"/>
    </xf>
    <xf numFmtId="0" fontId="8" fillId="0" borderId="2" xfId="0" applyFont="1" applyBorder="1"/>
    <xf numFmtId="0" fontId="10" fillId="0" borderId="13" xfId="0" applyFont="1" applyBorder="1" applyAlignment="1">
      <alignment vertical="center"/>
    </xf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8" fillId="0" borderId="4" xfId="0" applyFont="1" applyBorder="1" applyAlignment="1">
      <alignment wrapText="1"/>
    </xf>
    <xf numFmtId="0" fontId="1" fillId="0" borderId="6" xfId="0" applyFont="1" applyBorder="1"/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2" fontId="0" fillId="0" borderId="0" xfId="0" applyNumberFormat="1"/>
    <xf numFmtId="2" fontId="1" fillId="0" borderId="10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2" fontId="0" fillId="0" borderId="14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vertical="center"/>
    </xf>
    <xf numFmtId="2" fontId="0" fillId="2" borderId="5" xfId="0" applyNumberFormat="1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0" fontId="6" fillId="0" borderId="13" xfId="0" applyFont="1" applyBorder="1"/>
    <xf numFmtId="0" fontId="4" fillId="0" borderId="0" xfId="0" applyFont="1"/>
    <xf numFmtId="0" fontId="4" fillId="0" borderId="12" xfId="0" applyFont="1" applyBorder="1" applyAlignment="1">
      <alignment wrapText="1"/>
    </xf>
    <xf numFmtId="0" fontId="4" fillId="0" borderId="7" xfId="0" applyFont="1" applyBorder="1"/>
    <xf numFmtId="0" fontId="4" fillId="0" borderId="7" xfId="0" applyFont="1" applyFill="1" applyBorder="1"/>
    <xf numFmtId="0" fontId="4" fillId="0" borderId="9" xfId="0" applyFont="1" applyBorder="1" applyAlignment="1">
      <alignment wrapText="1"/>
    </xf>
    <xf numFmtId="0" fontId="4" fillId="0" borderId="3" xfId="0" applyFont="1" applyFill="1" applyBorder="1"/>
    <xf numFmtId="0" fontId="11" fillId="4" borderId="11" xfId="0" applyFont="1" applyFill="1" applyBorder="1" applyAlignment="1">
      <alignment vertical="center"/>
    </xf>
    <xf numFmtId="0" fontId="11" fillId="5" borderId="8" xfId="0" applyFont="1" applyFill="1" applyBorder="1"/>
    <xf numFmtId="0" fontId="6" fillId="0" borderId="8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4" fillId="2" borderId="9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165" fontId="0" fillId="2" borderId="9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0" fillId="0" borderId="0" xfId="0" applyNumberFormat="1"/>
    <xf numFmtId="165" fontId="0" fillId="3" borderId="4" xfId="0" applyNumberFormat="1" applyFill="1" applyBorder="1" applyAlignment="1"/>
    <xf numFmtId="165" fontId="0" fillId="3" borderId="13" xfId="0" applyNumberFormat="1" applyFill="1" applyBorder="1" applyAlignment="1"/>
    <xf numFmtId="165" fontId="1" fillId="0" borderId="10" xfId="0" applyNumberFormat="1" applyFont="1" applyBorder="1"/>
    <xf numFmtId="165" fontId="1" fillId="0" borderId="1" xfId="0" applyNumberFormat="1" applyFont="1" applyBorder="1"/>
    <xf numFmtId="165" fontId="1" fillId="0" borderId="1" xfId="0" applyNumberFormat="1" applyFont="1" applyFill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15" xfId="0" applyNumberFormat="1" applyBorder="1"/>
    <xf numFmtId="165" fontId="0" fillId="0" borderId="4" xfId="0" applyNumberFormat="1" applyBorder="1"/>
    <xf numFmtId="0" fontId="0" fillId="0" borderId="7" xfId="0" applyBorder="1" applyAlignment="1">
      <alignment vertical="center"/>
    </xf>
    <xf numFmtId="164" fontId="0" fillId="0" borderId="0" xfId="0" applyNumberFormat="1"/>
    <xf numFmtId="164" fontId="1" fillId="0" borderId="10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0" fillId="2" borderId="9" xfId="0" applyFill="1" applyBorder="1" applyAlignment="1">
      <alignment vertical="center" wrapText="1"/>
    </xf>
    <xf numFmtId="164" fontId="0" fillId="2" borderId="9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64" fontId="0" fillId="3" borderId="4" xfId="0" applyNumberFormat="1" applyFill="1" applyBorder="1"/>
    <xf numFmtId="164" fontId="0" fillId="3" borderId="13" xfId="0" applyNumberFormat="1" applyFill="1" applyBorder="1"/>
    <xf numFmtId="0" fontId="0" fillId="0" borderId="4" xfId="0" applyFill="1" applyBorder="1" applyAlignment="1"/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9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127000</xdr:rowOff>
    </xdr:from>
    <xdr:to>
      <xdr:col>9</xdr:col>
      <xdr:colOff>76200</xdr:colOff>
      <xdr:row>11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E657DB-F75A-8E4D-9174-52CFA4CD1AD7}"/>
            </a:ext>
          </a:extLst>
        </xdr:cNvPr>
        <xdr:cNvSpPr/>
      </xdr:nvSpPr>
      <xdr:spPr>
        <a:xfrm>
          <a:off x="17170400" y="7620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  <a:p>
          <a:pPr algn="ctr"/>
          <a:r>
            <a:rPr lang="en-US" sz="2000">
              <a:solidFill>
                <a:schemeClr val="bg1"/>
              </a:solidFill>
            </a:rPr>
            <a:t>(under argon atmosphere)</a:t>
          </a:r>
        </a:p>
      </xdr:txBody>
    </xdr:sp>
    <xdr:clientData/>
  </xdr:twoCellAnchor>
  <xdr:twoCellAnchor>
    <xdr:from>
      <xdr:col>5</xdr:col>
      <xdr:colOff>215900</xdr:colOff>
      <xdr:row>7</xdr:row>
      <xdr:rowOff>38100</xdr:rowOff>
    </xdr:from>
    <xdr:to>
      <xdr:col>7</xdr:col>
      <xdr:colOff>38100</xdr:colOff>
      <xdr:row>7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587FAE-408B-2F4D-9F03-7EF324E96DDE}"/>
            </a:ext>
          </a:extLst>
        </xdr:cNvPr>
        <xdr:cNvCxnSpPr/>
      </xdr:nvCxnSpPr>
      <xdr:spPr>
        <a:xfrm>
          <a:off x="15684500" y="10922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215900</xdr:colOff>
      <xdr:row>10</xdr:row>
      <xdr:rowOff>0</xdr:rowOff>
    </xdr:from>
    <xdr:to>
      <xdr:col>7</xdr:col>
      <xdr:colOff>38100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49B38C5-593A-8749-A571-959423BF8AB1}"/>
            </a:ext>
          </a:extLst>
        </xdr:cNvPr>
        <xdr:cNvCxnSpPr/>
      </xdr:nvCxnSpPr>
      <xdr:spPr>
        <a:xfrm>
          <a:off x="15684500" y="16637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5</xdr:row>
      <xdr:rowOff>38100</xdr:rowOff>
    </xdr:from>
    <xdr:to>
      <xdr:col>6</xdr:col>
      <xdr:colOff>635000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1826CB9-D7DE-3C40-A3B9-B6330DDB9D1C}"/>
            </a:ext>
          </a:extLst>
        </xdr:cNvPr>
        <xdr:cNvSpPr/>
      </xdr:nvSpPr>
      <xdr:spPr>
        <a:xfrm>
          <a:off x="16548100" y="6731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266700</xdr:colOff>
      <xdr:row>7</xdr:row>
      <xdr:rowOff>190500</xdr:rowOff>
    </xdr:from>
    <xdr:to>
      <xdr:col>6</xdr:col>
      <xdr:colOff>647700</xdr:colOff>
      <xdr:row>9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269A06C-1EA3-A849-8A6B-6A81C379CDC4}"/>
            </a:ext>
          </a:extLst>
        </xdr:cNvPr>
        <xdr:cNvSpPr/>
      </xdr:nvSpPr>
      <xdr:spPr>
        <a:xfrm>
          <a:off x="16560800" y="12446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9</xdr:col>
      <xdr:colOff>127000</xdr:colOff>
      <xdr:row>8</xdr:row>
      <xdr:rowOff>63500</xdr:rowOff>
    </xdr:from>
    <xdr:to>
      <xdr:col>10</xdr:col>
      <xdr:colOff>774700</xdr:colOff>
      <xdr:row>8</xdr:row>
      <xdr:rowOff>63500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6088AC5-10B4-2F46-8180-947180A15335}"/>
            </a:ext>
          </a:extLst>
        </xdr:cNvPr>
        <xdr:cNvCxnSpPr/>
      </xdr:nvCxnSpPr>
      <xdr:spPr>
        <a:xfrm>
          <a:off x="18897600" y="13208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5</xdr:row>
      <xdr:rowOff>152400</xdr:rowOff>
    </xdr:from>
    <xdr:to>
      <xdr:col>13</xdr:col>
      <xdr:colOff>63500</xdr:colOff>
      <xdr:row>11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10E95C-88C2-7B48-9F66-5EA2FFD03FC5}"/>
            </a:ext>
          </a:extLst>
        </xdr:cNvPr>
        <xdr:cNvSpPr/>
      </xdr:nvSpPr>
      <xdr:spPr>
        <a:xfrm>
          <a:off x="20459700" y="7874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12</xdr:col>
      <xdr:colOff>12700</xdr:colOff>
      <xdr:row>11</xdr:row>
      <xdr:rowOff>25400</xdr:rowOff>
    </xdr:from>
    <xdr:to>
      <xdr:col>12</xdr:col>
      <xdr:colOff>12700</xdr:colOff>
      <xdr:row>17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9F2FFD-4FEF-E448-9237-908D73F88A22}"/>
            </a:ext>
          </a:extLst>
        </xdr:cNvPr>
        <xdr:cNvCxnSpPr/>
      </xdr:nvCxnSpPr>
      <xdr:spPr>
        <a:xfrm flipV="1">
          <a:off x="21259800" y="18923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6</xdr:row>
      <xdr:rowOff>50800</xdr:rowOff>
    </xdr:from>
    <xdr:to>
      <xdr:col>10</xdr:col>
      <xdr:colOff>723900</xdr:colOff>
      <xdr:row>8</xdr:row>
      <xdr:rowOff>25400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6C84E63-B2F5-3F4E-8AEB-9058D10D9674}"/>
            </a:ext>
          </a:extLst>
        </xdr:cNvPr>
        <xdr:cNvSpPr/>
      </xdr:nvSpPr>
      <xdr:spPr>
        <a:xfrm>
          <a:off x="19939000" y="901700"/>
          <a:ext cx="381000" cy="381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101600</xdr:colOff>
      <xdr:row>13</xdr:row>
      <xdr:rowOff>139700</xdr:rowOff>
    </xdr:from>
    <xdr:to>
      <xdr:col>12</xdr:col>
      <xdr:colOff>482600</xdr:colOff>
      <xdr:row>15</xdr:row>
      <xdr:rowOff>63500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A5A67BA-BF08-0646-B057-6048B6C8AD5D}"/>
            </a:ext>
          </a:extLst>
        </xdr:cNvPr>
        <xdr:cNvSpPr/>
      </xdr:nvSpPr>
      <xdr:spPr>
        <a:xfrm>
          <a:off x="21348700" y="24130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13</xdr:col>
      <xdr:colOff>127000</xdr:colOff>
      <xdr:row>8</xdr:row>
      <xdr:rowOff>63500</xdr:rowOff>
    </xdr:from>
    <xdr:to>
      <xdr:col>14</xdr:col>
      <xdr:colOff>774700</xdr:colOff>
      <xdr:row>8</xdr:row>
      <xdr:rowOff>63500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0A6CD53-6540-7940-B012-C1513DD8FE7D}"/>
            </a:ext>
          </a:extLst>
        </xdr:cNvPr>
        <xdr:cNvCxnSpPr/>
      </xdr:nvCxnSpPr>
      <xdr:spPr>
        <a:xfrm>
          <a:off x="22199600" y="1320800"/>
          <a:ext cx="1511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177800</xdr:rowOff>
    </xdr:from>
    <xdr:to>
      <xdr:col>17</xdr:col>
      <xdr:colOff>25400</xdr:colOff>
      <xdr:row>11</xdr:row>
      <xdr:rowOff>50800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309465-5288-DB40-9B68-53DA988222DE}"/>
            </a:ext>
          </a:extLst>
        </xdr:cNvPr>
        <xdr:cNvSpPr/>
      </xdr:nvSpPr>
      <xdr:spPr>
        <a:xfrm>
          <a:off x="23761700" y="8128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16</xdr:col>
      <xdr:colOff>0</xdr:colOff>
      <xdr:row>11</xdr:row>
      <xdr:rowOff>63500</xdr:rowOff>
    </xdr:from>
    <xdr:to>
      <xdr:col>16</xdr:col>
      <xdr:colOff>0</xdr:colOff>
      <xdr:row>17</xdr:row>
      <xdr:rowOff>50800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949989F-F3F0-BB44-8829-68E19C91370E}"/>
            </a:ext>
          </a:extLst>
        </xdr:cNvPr>
        <xdr:cNvCxnSpPr/>
      </xdr:nvCxnSpPr>
      <xdr:spPr>
        <a:xfrm flipV="1">
          <a:off x="24587200" y="19304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13</xdr:row>
      <xdr:rowOff>165100</xdr:rowOff>
    </xdr:from>
    <xdr:to>
      <xdr:col>16</xdr:col>
      <xdr:colOff>457200</xdr:colOff>
      <xdr:row>15</xdr:row>
      <xdr:rowOff>88900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236A0A2-BF19-C94D-AD56-8B6B376AE762}"/>
            </a:ext>
          </a:extLst>
        </xdr:cNvPr>
        <xdr:cNvSpPr/>
      </xdr:nvSpPr>
      <xdr:spPr>
        <a:xfrm>
          <a:off x="24663400" y="24384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800100</xdr:colOff>
      <xdr:row>6</xdr:row>
      <xdr:rowOff>88900</xdr:rowOff>
    </xdr:from>
    <xdr:to>
      <xdr:col>14</xdr:col>
      <xdr:colOff>355600</xdr:colOff>
      <xdr:row>8</xdr:row>
      <xdr:rowOff>12700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0B10A2D-66D0-E14A-9EBC-2716F43FEF3E}"/>
            </a:ext>
          </a:extLst>
        </xdr:cNvPr>
        <xdr:cNvSpPr/>
      </xdr:nvSpPr>
      <xdr:spPr>
        <a:xfrm>
          <a:off x="22872700" y="939800"/>
          <a:ext cx="4191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17</xdr:col>
      <xdr:colOff>88900</xdr:colOff>
      <xdr:row>8</xdr:row>
      <xdr:rowOff>88900</xdr:rowOff>
    </xdr:from>
    <xdr:to>
      <xdr:col>18</xdr:col>
      <xdr:colOff>736600</xdr:colOff>
      <xdr:row>8</xdr:row>
      <xdr:rowOff>88900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48A154C-461B-F54E-BECE-A3DBCED34544}"/>
            </a:ext>
          </a:extLst>
        </xdr:cNvPr>
        <xdr:cNvCxnSpPr/>
      </xdr:nvCxnSpPr>
      <xdr:spPr>
        <a:xfrm>
          <a:off x="25501600" y="13462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787400</xdr:colOff>
      <xdr:row>5</xdr:row>
      <xdr:rowOff>190500</xdr:rowOff>
    </xdr:from>
    <xdr:to>
      <xdr:col>20</xdr:col>
      <xdr:colOff>812800</xdr:colOff>
      <xdr:row>11</xdr:row>
      <xdr:rowOff>63500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FFAC511-8809-0048-B971-F087444A5BBF}"/>
            </a:ext>
          </a:extLst>
        </xdr:cNvPr>
        <xdr:cNvSpPr/>
      </xdr:nvSpPr>
      <xdr:spPr>
        <a:xfrm>
          <a:off x="27025600" y="825500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  <a:p>
          <a:pPr algn="ctr"/>
          <a:r>
            <a:rPr lang="en-US" sz="2000">
              <a:solidFill>
                <a:schemeClr val="bg1"/>
              </a:solidFill>
            </a:rPr>
            <a:t>and cooler</a:t>
          </a:r>
        </a:p>
      </xdr:txBody>
    </xdr:sp>
    <xdr:clientData/>
  </xdr:twoCellAnchor>
  <xdr:twoCellAnchor>
    <xdr:from>
      <xdr:col>20</xdr:col>
      <xdr:colOff>0</xdr:colOff>
      <xdr:row>11</xdr:row>
      <xdr:rowOff>76200</xdr:rowOff>
    </xdr:from>
    <xdr:to>
      <xdr:col>20</xdr:col>
      <xdr:colOff>0</xdr:colOff>
      <xdr:row>17</xdr:row>
      <xdr:rowOff>63500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3F2870F-0A53-844A-97D4-0EF10CBA6AE9}"/>
            </a:ext>
          </a:extLst>
        </xdr:cNvPr>
        <xdr:cNvCxnSpPr/>
      </xdr:nvCxnSpPr>
      <xdr:spPr>
        <a:xfrm flipV="1">
          <a:off x="27889200" y="19431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13</xdr:row>
      <xdr:rowOff>152400</xdr:rowOff>
    </xdr:from>
    <xdr:to>
      <xdr:col>20</xdr:col>
      <xdr:colOff>469900</xdr:colOff>
      <xdr:row>15</xdr:row>
      <xdr:rowOff>76200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E337A86-5D2F-9D48-B1D7-05D6169E983E}"/>
            </a:ext>
          </a:extLst>
        </xdr:cNvPr>
        <xdr:cNvSpPr/>
      </xdr:nvSpPr>
      <xdr:spPr>
        <a:xfrm>
          <a:off x="27978100" y="24257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17</xdr:col>
      <xdr:colOff>698500</xdr:colOff>
      <xdr:row>6</xdr:row>
      <xdr:rowOff>63500</xdr:rowOff>
    </xdr:from>
    <xdr:to>
      <xdr:col>18</xdr:col>
      <xdr:colOff>254000</xdr:colOff>
      <xdr:row>7</xdr:row>
      <xdr:rowOff>190500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248A66D-A7DF-E74E-86CF-ED24FC5839D3}"/>
            </a:ext>
          </a:extLst>
        </xdr:cNvPr>
        <xdr:cNvSpPr/>
      </xdr:nvSpPr>
      <xdr:spPr>
        <a:xfrm>
          <a:off x="26111200" y="9144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21</xdr:col>
      <xdr:colOff>50800</xdr:colOff>
      <xdr:row>8</xdr:row>
      <xdr:rowOff>139700</xdr:rowOff>
    </xdr:from>
    <xdr:to>
      <xdr:col>22</xdr:col>
      <xdr:colOff>698500</xdr:colOff>
      <xdr:row>8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28ADA8-2EBD-8E47-84A8-7BCB10D78260}"/>
            </a:ext>
          </a:extLst>
        </xdr:cNvPr>
        <xdr:cNvCxnSpPr/>
      </xdr:nvCxnSpPr>
      <xdr:spPr>
        <a:xfrm>
          <a:off x="28765500" y="1397000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6</xdr:row>
      <xdr:rowOff>25400</xdr:rowOff>
    </xdr:from>
    <xdr:to>
      <xdr:col>25</xdr:col>
      <xdr:colOff>38100</xdr:colOff>
      <xdr:row>11</xdr:row>
      <xdr:rowOff>101600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1BF9D58-49A1-CD45-98EA-468F47E61809}"/>
            </a:ext>
          </a:extLst>
        </xdr:cNvPr>
        <xdr:cNvSpPr/>
      </xdr:nvSpPr>
      <xdr:spPr>
        <a:xfrm>
          <a:off x="30378400" y="876300"/>
          <a:ext cx="16764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Cooler/Stirrer</a:t>
          </a:r>
        </a:p>
      </xdr:txBody>
    </xdr:sp>
    <xdr:clientData/>
  </xdr:twoCellAnchor>
  <xdr:twoCellAnchor>
    <xdr:from>
      <xdr:col>22</xdr:col>
      <xdr:colOff>12700</xdr:colOff>
      <xdr:row>6</xdr:row>
      <xdr:rowOff>139700</xdr:rowOff>
    </xdr:from>
    <xdr:to>
      <xdr:col>22</xdr:col>
      <xdr:colOff>393700</xdr:colOff>
      <xdr:row>8</xdr:row>
      <xdr:rowOff>63500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E792DD7-C83E-7541-9E40-6404A0EC8DA5}"/>
            </a:ext>
          </a:extLst>
        </xdr:cNvPr>
        <xdr:cNvSpPr/>
      </xdr:nvSpPr>
      <xdr:spPr>
        <a:xfrm>
          <a:off x="29552900" y="990600"/>
          <a:ext cx="381000" cy="3302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24</xdr:col>
      <xdr:colOff>12700</xdr:colOff>
      <xdr:row>11</xdr:row>
      <xdr:rowOff>127000</xdr:rowOff>
    </xdr:from>
    <xdr:to>
      <xdr:col>24</xdr:col>
      <xdr:colOff>12700</xdr:colOff>
      <xdr:row>17</xdr:row>
      <xdr:rowOff>114300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38B1C38-9390-444B-80BD-0DDD6F7162CE}"/>
            </a:ext>
          </a:extLst>
        </xdr:cNvPr>
        <xdr:cNvCxnSpPr/>
      </xdr:nvCxnSpPr>
      <xdr:spPr>
        <a:xfrm flipV="1">
          <a:off x="31203900" y="1993900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50800</xdr:colOff>
      <xdr:row>12</xdr:row>
      <xdr:rowOff>0</xdr:rowOff>
    </xdr:from>
    <xdr:to>
      <xdr:col>24</xdr:col>
      <xdr:colOff>520700</xdr:colOff>
      <xdr:row>13</xdr:row>
      <xdr:rowOff>190500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E40DBA4-A481-7B46-842F-FFE4162A710D}"/>
            </a:ext>
          </a:extLst>
        </xdr:cNvPr>
        <xdr:cNvSpPr/>
      </xdr:nvSpPr>
      <xdr:spPr>
        <a:xfrm>
          <a:off x="31242000" y="20701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23</xdr:col>
      <xdr:colOff>457658</xdr:colOff>
      <xdr:row>23</xdr:row>
      <xdr:rowOff>34324</xdr:rowOff>
    </xdr:from>
    <xdr:to>
      <xdr:col>23</xdr:col>
      <xdr:colOff>457658</xdr:colOff>
      <xdr:row>29</xdr:row>
      <xdr:rowOff>21623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ABD7034-3BDF-A040-8E39-EF777B75DDE1}"/>
            </a:ext>
          </a:extLst>
        </xdr:cNvPr>
        <xdr:cNvCxnSpPr/>
      </xdr:nvCxnSpPr>
      <xdr:spPr>
        <a:xfrm flipV="1">
          <a:off x="30823358" y="4352324"/>
          <a:ext cx="0" cy="1206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583513</xdr:colOff>
      <xdr:row>23</xdr:row>
      <xdr:rowOff>22883</xdr:rowOff>
    </xdr:from>
    <xdr:to>
      <xdr:col>24</xdr:col>
      <xdr:colOff>583513</xdr:colOff>
      <xdr:row>29</xdr:row>
      <xdr:rowOff>10182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D8EB31F-8573-D84B-87AB-39663D96EC8C}"/>
            </a:ext>
          </a:extLst>
        </xdr:cNvPr>
        <xdr:cNvCxnSpPr/>
      </xdr:nvCxnSpPr>
      <xdr:spPr>
        <a:xfrm flipV="1">
          <a:off x="31774713" y="4340883"/>
          <a:ext cx="0" cy="1206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57207</xdr:colOff>
      <xdr:row>17</xdr:row>
      <xdr:rowOff>102973</xdr:rowOff>
    </xdr:from>
    <xdr:to>
      <xdr:col>25</xdr:col>
      <xdr:colOff>82607</xdr:colOff>
      <xdr:row>22</xdr:row>
      <xdr:rowOff>179173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C04B790-096D-5D4C-A9D9-6C854D623027}"/>
            </a:ext>
          </a:extLst>
        </xdr:cNvPr>
        <xdr:cNvSpPr/>
      </xdr:nvSpPr>
      <xdr:spPr>
        <a:xfrm>
          <a:off x="30422907" y="3189073"/>
          <a:ext cx="167640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22</xdr:col>
      <xdr:colOff>663604</xdr:colOff>
      <xdr:row>25</xdr:row>
      <xdr:rowOff>11441</xdr:rowOff>
    </xdr:from>
    <xdr:to>
      <xdr:col>23</xdr:col>
      <xdr:colOff>309721</xdr:colOff>
      <xdr:row>26</xdr:row>
      <xdr:rowOff>201941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6CCB25E-D5DB-1549-9B59-6BBE0EF10AFC}"/>
            </a:ext>
          </a:extLst>
        </xdr:cNvPr>
        <xdr:cNvSpPr/>
      </xdr:nvSpPr>
      <xdr:spPr>
        <a:xfrm>
          <a:off x="30203804" y="4735841"/>
          <a:ext cx="471617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24</xdr:col>
      <xdr:colOff>778018</xdr:colOff>
      <xdr:row>25</xdr:row>
      <xdr:rowOff>68648</xdr:rowOff>
    </xdr:from>
    <xdr:to>
      <xdr:col>25</xdr:col>
      <xdr:colOff>424134</xdr:colOff>
      <xdr:row>27</xdr:row>
      <xdr:rowOff>53202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4587479-5599-254C-8071-F17C9CF09A42}"/>
            </a:ext>
          </a:extLst>
        </xdr:cNvPr>
        <xdr:cNvSpPr/>
      </xdr:nvSpPr>
      <xdr:spPr>
        <a:xfrm>
          <a:off x="31969218" y="4793048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25</xdr:col>
      <xdr:colOff>91531</xdr:colOff>
      <xdr:row>8</xdr:row>
      <xdr:rowOff>137297</xdr:rowOff>
    </xdr:from>
    <xdr:to>
      <xdr:col>26</xdr:col>
      <xdr:colOff>739231</xdr:colOff>
      <xdr:row>8</xdr:row>
      <xdr:rowOff>137297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4017934-7945-214F-8C59-4AE47A87FF97}"/>
            </a:ext>
          </a:extLst>
        </xdr:cNvPr>
        <xdr:cNvCxnSpPr/>
      </xdr:nvCxnSpPr>
      <xdr:spPr>
        <a:xfrm>
          <a:off x="32108231" y="1394597"/>
          <a:ext cx="1473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</xdr:row>
      <xdr:rowOff>0</xdr:rowOff>
    </xdr:from>
    <xdr:to>
      <xdr:col>29</xdr:col>
      <xdr:colOff>25400</xdr:colOff>
      <xdr:row>11</xdr:row>
      <xdr:rowOff>76200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B735D31-AFC5-CD4E-AF89-C319CEA85668}"/>
            </a:ext>
          </a:extLst>
        </xdr:cNvPr>
        <xdr:cNvSpPr/>
      </xdr:nvSpPr>
      <xdr:spPr>
        <a:xfrm>
          <a:off x="33667700" y="850900"/>
          <a:ext cx="16764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26</xdr:col>
      <xdr:colOff>11442</xdr:colOff>
      <xdr:row>6</xdr:row>
      <xdr:rowOff>102973</xdr:rowOff>
    </xdr:from>
    <xdr:to>
      <xdr:col>26</xdr:col>
      <xdr:colOff>481342</xdr:colOff>
      <xdr:row>8</xdr:row>
      <xdr:rowOff>87527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B85A56A-4D77-7D46-9A6E-7B315D1A919F}"/>
            </a:ext>
          </a:extLst>
        </xdr:cNvPr>
        <xdr:cNvSpPr/>
      </xdr:nvSpPr>
      <xdr:spPr>
        <a:xfrm>
          <a:off x="32853642" y="953873"/>
          <a:ext cx="46990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28</xdr:col>
      <xdr:colOff>25400</xdr:colOff>
      <xdr:row>11</xdr:row>
      <xdr:rowOff>111897</xdr:rowOff>
    </xdr:from>
    <xdr:to>
      <xdr:col>28</xdr:col>
      <xdr:colOff>44507</xdr:colOff>
      <xdr:row>18</xdr:row>
      <xdr:rowOff>25400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B259E01-3764-5048-B1CE-C2F85C80AE48}"/>
            </a:ext>
          </a:extLst>
        </xdr:cNvPr>
        <xdr:cNvCxnSpPr/>
      </xdr:nvCxnSpPr>
      <xdr:spPr>
        <a:xfrm flipH="1">
          <a:off x="34518600" y="1978797"/>
          <a:ext cx="19107" cy="1348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151141</xdr:colOff>
      <xdr:row>18</xdr:row>
      <xdr:rowOff>49542</xdr:rowOff>
    </xdr:from>
    <xdr:to>
      <xdr:col>29</xdr:col>
      <xdr:colOff>176542</xdr:colOff>
      <xdr:row>23</xdr:row>
      <xdr:rowOff>125742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3F3AE63-7F9E-674F-8450-EE6CFFF45881}"/>
            </a:ext>
          </a:extLst>
        </xdr:cNvPr>
        <xdr:cNvSpPr/>
      </xdr:nvSpPr>
      <xdr:spPr>
        <a:xfrm>
          <a:off x="33818841" y="3351542"/>
          <a:ext cx="1676401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28</xdr:col>
      <xdr:colOff>139243</xdr:colOff>
      <xdr:row>13</xdr:row>
      <xdr:rowOff>167731</xdr:rowOff>
    </xdr:from>
    <xdr:to>
      <xdr:col>28</xdr:col>
      <xdr:colOff>610859</xdr:colOff>
      <xdr:row>15</xdr:row>
      <xdr:rowOff>152285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E852E445-4225-E24B-888B-AC60BCB58B4C}"/>
            </a:ext>
          </a:extLst>
        </xdr:cNvPr>
        <xdr:cNvSpPr/>
      </xdr:nvSpPr>
      <xdr:spPr>
        <a:xfrm>
          <a:off x="34632443" y="2441031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29</xdr:col>
      <xdr:colOff>221735</xdr:colOff>
      <xdr:row>20</xdr:row>
      <xdr:rowOff>190500</xdr:rowOff>
    </xdr:from>
    <xdr:to>
      <xdr:col>30</xdr:col>
      <xdr:colOff>812800</xdr:colOff>
      <xdr:row>20</xdr:row>
      <xdr:rowOff>194504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5996AB0-A4BA-E14C-9D37-63E00C7A9070}"/>
            </a:ext>
          </a:extLst>
        </xdr:cNvPr>
        <xdr:cNvCxnSpPr/>
      </xdr:nvCxnSpPr>
      <xdr:spPr>
        <a:xfrm flipH="1">
          <a:off x="35540435" y="3898900"/>
          <a:ext cx="1416565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196336</xdr:colOff>
      <xdr:row>29</xdr:row>
      <xdr:rowOff>171622</xdr:rowOff>
    </xdr:from>
    <xdr:to>
      <xdr:col>29</xdr:col>
      <xdr:colOff>221737</xdr:colOff>
      <xdr:row>35</xdr:row>
      <xdr:rowOff>41876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B6E79FF-D14A-6C47-B24D-E395744B4ED6}"/>
            </a:ext>
          </a:extLst>
        </xdr:cNvPr>
        <xdr:cNvSpPr/>
      </xdr:nvSpPr>
      <xdr:spPr>
        <a:xfrm>
          <a:off x="33864036" y="5708822"/>
          <a:ext cx="1676401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27</xdr:col>
      <xdr:colOff>237868</xdr:colOff>
      <xdr:row>42</xdr:row>
      <xdr:rowOff>53545</xdr:rowOff>
    </xdr:from>
    <xdr:to>
      <xdr:col>29</xdr:col>
      <xdr:colOff>263268</xdr:colOff>
      <xdr:row>47</xdr:row>
      <xdr:rowOff>126999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2866D0B-57C0-9D49-80F7-CC5AE2A9ACC7}"/>
            </a:ext>
          </a:extLst>
        </xdr:cNvPr>
        <xdr:cNvSpPr/>
      </xdr:nvSpPr>
      <xdr:spPr>
        <a:xfrm>
          <a:off x="33905568" y="8245045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Quencher/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29</xdr:col>
      <xdr:colOff>297820</xdr:colOff>
      <xdr:row>32</xdr:row>
      <xdr:rowOff>151255</xdr:rowOff>
    </xdr:from>
    <xdr:to>
      <xdr:col>31</xdr:col>
      <xdr:colOff>38100</xdr:colOff>
      <xdr:row>32</xdr:row>
      <xdr:rowOff>152400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18FC598-E2F0-754F-8DAA-CF159DE7F6AD}"/>
            </a:ext>
          </a:extLst>
        </xdr:cNvPr>
        <xdr:cNvCxnSpPr/>
      </xdr:nvCxnSpPr>
      <xdr:spPr>
        <a:xfrm flipH="1" flipV="1">
          <a:off x="35616520" y="6298055"/>
          <a:ext cx="1391280" cy="1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312924</xdr:colOff>
      <xdr:row>44</xdr:row>
      <xdr:rowOff>165100</xdr:rowOff>
    </xdr:from>
    <xdr:to>
      <xdr:col>30</xdr:col>
      <xdr:colOff>800100</xdr:colOff>
      <xdr:row>44</xdr:row>
      <xdr:rowOff>175396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6669332-0C27-4D4F-A640-163A31A8154E}"/>
            </a:ext>
          </a:extLst>
        </xdr:cNvPr>
        <xdr:cNvCxnSpPr/>
      </xdr:nvCxnSpPr>
      <xdr:spPr>
        <a:xfrm flipH="1">
          <a:off x="35631624" y="8763000"/>
          <a:ext cx="1312676" cy="10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212582</xdr:colOff>
      <xdr:row>35</xdr:row>
      <xdr:rowOff>72424</xdr:rowOff>
    </xdr:from>
    <xdr:to>
      <xdr:col>28</xdr:col>
      <xdr:colOff>228600</xdr:colOff>
      <xdr:row>42</xdr:row>
      <xdr:rowOff>25400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F0331BA-9AD9-2942-97C7-C5FEC9433C1C}"/>
            </a:ext>
          </a:extLst>
        </xdr:cNvPr>
        <xdr:cNvCxnSpPr/>
      </xdr:nvCxnSpPr>
      <xdr:spPr>
        <a:xfrm>
          <a:off x="34705782" y="6828824"/>
          <a:ext cx="16018" cy="1388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50800</xdr:colOff>
      <xdr:row>23</xdr:row>
      <xdr:rowOff>158921</xdr:rowOff>
    </xdr:from>
    <xdr:to>
      <xdr:col>28</xdr:col>
      <xdr:colOff>52173</xdr:colOff>
      <xdr:row>29</xdr:row>
      <xdr:rowOff>152400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5E7CE25-EEC3-EE42-9EEC-30817473F124}"/>
            </a:ext>
          </a:extLst>
        </xdr:cNvPr>
        <xdr:cNvCxnSpPr/>
      </xdr:nvCxnSpPr>
      <xdr:spPr>
        <a:xfrm flipH="1">
          <a:off x="34544000" y="4476921"/>
          <a:ext cx="1373" cy="1212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431800</xdr:colOff>
      <xdr:row>18</xdr:row>
      <xdr:rowOff>139700</xdr:rowOff>
    </xdr:from>
    <xdr:to>
      <xdr:col>30</xdr:col>
      <xdr:colOff>76200</xdr:colOff>
      <xdr:row>20</xdr:row>
      <xdr:rowOff>127000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8941E9C-987B-9049-AB04-30FCC9B06844}"/>
            </a:ext>
          </a:extLst>
        </xdr:cNvPr>
        <xdr:cNvSpPr/>
      </xdr:nvSpPr>
      <xdr:spPr>
        <a:xfrm>
          <a:off x="35750500" y="34417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28</xdr:col>
      <xdr:colOff>12700</xdr:colOff>
      <xdr:row>26</xdr:row>
      <xdr:rowOff>76200</xdr:rowOff>
    </xdr:from>
    <xdr:to>
      <xdr:col>28</xdr:col>
      <xdr:colOff>482600</xdr:colOff>
      <xdr:row>28</xdr:row>
      <xdr:rowOff>63500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1B507A7-5442-B84C-81DE-B91EF965ADF0}"/>
            </a:ext>
          </a:extLst>
        </xdr:cNvPr>
        <xdr:cNvSpPr/>
      </xdr:nvSpPr>
      <xdr:spPr>
        <a:xfrm>
          <a:off x="34505900" y="5003800"/>
          <a:ext cx="469900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30</xdr:col>
      <xdr:colOff>112583</xdr:colOff>
      <xdr:row>30</xdr:row>
      <xdr:rowOff>12700</xdr:rowOff>
    </xdr:from>
    <xdr:to>
      <xdr:col>30</xdr:col>
      <xdr:colOff>584200</xdr:colOff>
      <xdr:row>32</xdr:row>
      <xdr:rowOff>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F3BCF5E-0494-8A4A-940E-AF7BC7847315}"/>
            </a:ext>
          </a:extLst>
        </xdr:cNvPr>
        <xdr:cNvSpPr/>
      </xdr:nvSpPr>
      <xdr:spPr>
        <a:xfrm>
          <a:off x="36256783" y="5753100"/>
          <a:ext cx="471617" cy="393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28</xdr:col>
      <xdr:colOff>387636</xdr:colOff>
      <xdr:row>37</xdr:row>
      <xdr:rowOff>42105</xdr:rowOff>
    </xdr:from>
    <xdr:to>
      <xdr:col>29</xdr:col>
      <xdr:colOff>32036</xdr:colOff>
      <xdr:row>39</xdr:row>
      <xdr:rowOff>26659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06E91AC-714E-A940-BF3C-355B219EC7AA}"/>
            </a:ext>
          </a:extLst>
        </xdr:cNvPr>
        <xdr:cNvSpPr/>
      </xdr:nvSpPr>
      <xdr:spPr>
        <a:xfrm>
          <a:off x="34880836" y="7217605"/>
          <a:ext cx="46990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29</xdr:col>
      <xdr:colOff>774014</xdr:colOff>
      <xdr:row>42</xdr:row>
      <xdr:rowOff>116932</xdr:rowOff>
    </xdr:from>
    <xdr:to>
      <xdr:col>30</xdr:col>
      <xdr:colOff>420130</xdr:colOff>
      <xdr:row>44</xdr:row>
      <xdr:rowOff>101486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2B5C8DF-12B8-FE42-9C77-B814F69C877B}"/>
            </a:ext>
          </a:extLst>
        </xdr:cNvPr>
        <xdr:cNvSpPr/>
      </xdr:nvSpPr>
      <xdr:spPr>
        <a:xfrm>
          <a:off x="36092714" y="8308432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22</xdr:col>
      <xdr:colOff>800100</xdr:colOff>
      <xdr:row>42</xdr:row>
      <xdr:rowOff>110066</xdr:rowOff>
    </xdr:from>
    <xdr:to>
      <xdr:col>25</xdr:col>
      <xdr:colOff>29633</xdr:colOff>
      <xdr:row>47</xdr:row>
      <xdr:rowOff>183520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6B4B27E-F8B1-9448-B3AC-66AA4620DDAD}"/>
            </a:ext>
          </a:extLst>
        </xdr:cNvPr>
        <xdr:cNvSpPr/>
      </xdr:nvSpPr>
      <xdr:spPr>
        <a:xfrm>
          <a:off x="30340300" y="8301566"/>
          <a:ext cx="1706033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Rotary Evaporator</a:t>
          </a:r>
        </a:p>
      </xdr:txBody>
    </xdr:sp>
    <xdr:clientData/>
  </xdr:twoCellAnchor>
  <xdr:twoCellAnchor>
    <xdr:from>
      <xdr:col>25</xdr:col>
      <xdr:colOff>67733</xdr:colOff>
      <xdr:row>45</xdr:row>
      <xdr:rowOff>16933</xdr:rowOff>
    </xdr:from>
    <xdr:to>
      <xdr:col>27</xdr:col>
      <xdr:colOff>80434</xdr:colOff>
      <xdr:row>45</xdr:row>
      <xdr:rowOff>21166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F8CB32F-20A3-0D4B-A1C2-6157587E7488}"/>
            </a:ext>
          </a:extLst>
        </xdr:cNvPr>
        <xdr:cNvCxnSpPr/>
      </xdr:nvCxnSpPr>
      <xdr:spPr>
        <a:xfrm flipH="1" flipV="1">
          <a:off x="32084433" y="8818033"/>
          <a:ext cx="1663701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745066</xdr:colOff>
      <xdr:row>45</xdr:row>
      <xdr:rowOff>0</xdr:rowOff>
    </xdr:from>
    <xdr:to>
      <xdr:col>22</xdr:col>
      <xdr:colOff>761999</xdr:colOff>
      <xdr:row>45</xdr:row>
      <xdr:rowOff>4233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5B2AD7A-569A-7446-BBB4-66192CD66496}"/>
            </a:ext>
          </a:extLst>
        </xdr:cNvPr>
        <xdr:cNvCxnSpPr/>
      </xdr:nvCxnSpPr>
      <xdr:spPr>
        <a:xfrm flipH="1" flipV="1">
          <a:off x="28634266" y="8801100"/>
          <a:ext cx="1667933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698501</xdr:colOff>
      <xdr:row>42</xdr:row>
      <xdr:rowOff>186266</xdr:rowOff>
    </xdr:from>
    <xdr:to>
      <xdr:col>20</xdr:col>
      <xdr:colOff>723900</xdr:colOff>
      <xdr:row>48</xdr:row>
      <xdr:rowOff>56520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540AE6E-5E44-0946-98F7-51B33DE47B18}"/>
            </a:ext>
          </a:extLst>
        </xdr:cNvPr>
        <xdr:cNvSpPr/>
      </xdr:nvSpPr>
      <xdr:spPr>
        <a:xfrm>
          <a:off x="26936701" y="8377766"/>
          <a:ext cx="1676399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19</xdr:col>
      <xdr:colOff>304801</xdr:colOff>
      <xdr:row>37</xdr:row>
      <xdr:rowOff>33866</xdr:rowOff>
    </xdr:from>
    <xdr:to>
      <xdr:col>19</xdr:col>
      <xdr:colOff>321733</xdr:colOff>
      <xdr:row>42</xdr:row>
      <xdr:rowOff>135466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C2C64F39-EA03-C041-A16C-E5921E3F7D0E}"/>
            </a:ext>
          </a:extLst>
        </xdr:cNvPr>
        <xdr:cNvCxnSpPr/>
      </xdr:nvCxnSpPr>
      <xdr:spPr>
        <a:xfrm flipH="1">
          <a:off x="27368501" y="7209366"/>
          <a:ext cx="16932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118533</xdr:colOff>
      <xdr:row>37</xdr:row>
      <xdr:rowOff>33866</xdr:rowOff>
    </xdr:from>
    <xdr:to>
      <xdr:col>20</xdr:col>
      <xdr:colOff>127000</xdr:colOff>
      <xdr:row>42</xdr:row>
      <xdr:rowOff>126999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F7309D1-2A02-F247-82A0-5F53CE52B34D}"/>
            </a:ext>
          </a:extLst>
        </xdr:cNvPr>
        <xdr:cNvCxnSpPr/>
      </xdr:nvCxnSpPr>
      <xdr:spPr>
        <a:xfrm>
          <a:off x="28007733" y="7209366"/>
          <a:ext cx="8467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84666</xdr:colOff>
      <xdr:row>42</xdr:row>
      <xdr:rowOff>135467</xdr:rowOff>
    </xdr:from>
    <xdr:to>
      <xdr:col>26</xdr:col>
      <xdr:colOff>556282</xdr:colOff>
      <xdr:row>44</xdr:row>
      <xdr:rowOff>120021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1A00AEC3-E273-4546-A26A-2F3AD62AE989}"/>
            </a:ext>
          </a:extLst>
        </xdr:cNvPr>
        <xdr:cNvSpPr/>
      </xdr:nvSpPr>
      <xdr:spPr>
        <a:xfrm>
          <a:off x="32926866" y="8326967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21</xdr:col>
      <xdr:colOff>783167</xdr:colOff>
      <xdr:row>42</xdr:row>
      <xdr:rowOff>152399</xdr:rowOff>
    </xdr:from>
    <xdr:to>
      <xdr:col>22</xdr:col>
      <xdr:colOff>425049</xdr:colOff>
      <xdr:row>44</xdr:row>
      <xdr:rowOff>136953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0D65754-0784-F84A-83D2-58538DA98B05}"/>
            </a:ext>
          </a:extLst>
        </xdr:cNvPr>
        <xdr:cNvSpPr/>
      </xdr:nvSpPr>
      <xdr:spPr>
        <a:xfrm>
          <a:off x="29497867" y="8343899"/>
          <a:ext cx="467382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18</xdr:col>
      <xdr:colOff>567268</xdr:colOff>
      <xdr:row>39</xdr:row>
      <xdr:rowOff>12699</xdr:rowOff>
    </xdr:from>
    <xdr:to>
      <xdr:col>19</xdr:col>
      <xdr:colOff>213383</xdr:colOff>
      <xdr:row>40</xdr:row>
      <xdr:rowOff>200453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AE169B9-1D06-3248-8F4F-6A50A70EFE23}"/>
            </a:ext>
          </a:extLst>
        </xdr:cNvPr>
        <xdr:cNvSpPr/>
      </xdr:nvSpPr>
      <xdr:spPr>
        <a:xfrm>
          <a:off x="26805468" y="7594599"/>
          <a:ext cx="471615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20</xdr:col>
      <xdr:colOff>194733</xdr:colOff>
      <xdr:row>38</xdr:row>
      <xdr:rowOff>101599</xdr:rowOff>
    </xdr:from>
    <xdr:to>
      <xdr:col>20</xdr:col>
      <xdr:colOff>666349</xdr:colOff>
      <xdr:row>40</xdr:row>
      <xdr:rowOff>86153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C4A9DEF-7B77-464C-B089-1B521FE8FDB1}"/>
            </a:ext>
          </a:extLst>
        </xdr:cNvPr>
        <xdr:cNvSpPr/>
      </xdr:nvSpPr>
      <xdr:spPr>
        <a:xfrm>
          <a:off x="28083933" y="7480299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19</xdr:col>
      <xdr:colOff>817033</xdr:colOff>
      <xdr:row>48</xdr:row>
      <xdr:rowOff>101600</xdr:rowOff>
    </xdr:from>
    <xdr:to>
      <xdr:col>20</xdr:col>
      <xdr:colOff>1</xdr:colOff>
      <xdr:row>55</xdr:row>
      <xdr:rowOff>118534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DB7AA247-2476-8142-95DD-556D123FEEBB}"/>
            </a:ext>
          </a:extLst>
        </xdr:cNvPr>
        <xdr:cNvCxnSpPr/>
      </xdr:nvCxnSpPr>
      <xdr:spPr>
        <a:xfrm>
          <a:off x="27880733" y="9512300"/>
          <a:ext cx="8468" cy="14393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118533</xdr:colOff>
      <xdr:row>45</xdr:row>
      <xdr:rowOff>16934</xdr:rowOff>
    </xdr:from>
    <xdr:to>
      <xdr:col>18</xdr:col>
      <xdr:colOff>651934</xdr:colOff>
      <xdr:row>45</xdr:row>
      <xdr:rowOff>25401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972236F-AF15-BA49-86B4-EA3B98FFE90D}"/>
            </a:ext>
          </a:extLst>
        </xdr:cNvPr>
        <xdr:cNvCxnSpPr/>
      </xdr:nvCxnSpPr>
      <xdr:spPr>
        <a:xfrm flipH="1" flipV="1">
          <a:off x="25531233" y="8818034"/>
          <a:ext cx="1358901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71966</xdr:colOff>
      <xdr:row>50</xdr:row>
      <xdr:rowOff>80433</xdr:rowOff>
    </xdr:from>
    <xdr:to>
      <xdr:col>20</xdr:col>
      <xdr:colOff>547815</xdr:colOff>
      <xdr:row>52</xdr:row>
      <xdr:rowOff>64987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4AD34B9-4B0B-074A-9199-BE2E6E99183C}"/>
            </a:ext>
          </a:extLst>
        </xdr:cNvPr>
        <xdr:cNvSpPr/>
      </xdr:nvSpPr>
      <xdr:spPr>
        <a:xfrm>
          <a:off x="27961166" y="9897533"/>
          <a:ext cx="475849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17</xdr:col>
      <xdr:colOff>499534</xdr:colOff>
      <xdr:row>42</xdr:row>
      <xdr:rowOff>186266</xdr:rowOff>
    </xdr:from>
    <xdr:to>
      <xdr:col>18</xdr:col>
      <xdr:colOff>145650</xdr:colOff>
      <xdr:row>44</xdr:row>
      <xdr:rowOff>170820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405AC95-41DB-F941-BA28-3C6F57EF1B93}"/>
            </a:ext>
          </a:extLst>
        </xdr:cNvPr>
        <xdr:cNvSpPr/>
      </xdr:nvSpPr>
      <xdr:spPr>
        <a:xfrm>
          <a:off x="25912234" y="8377766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15</xdr:col>
      <xdr:colOff>29633</xdr:colOff>
      <xdr:row>42</xdr:row>
      <xdr:rowOff>33866</xdr:rowOff>
    </xdr:from>
    <xdr:to>
      <xdr:col>17</xdr:col>
      <xdr:colOff>55033</xdr:colOff>
      <xdr:row>47</xdr:row>
      <xdr:rowOff>107320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1F6D8D5-3E23-204B-AF2B-F23DF24413C5}"/>
            </a:ext>
          </a:extLst>
        </xdr:cNvPr>
        <xdr:cNvSpPr/>
      </xdr:nvSpPr>
      <xdr:spPr>
        <a:xfrm>
          <a:off x="23791333" y="8225366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11</xdr:col>
      <xdr:colOff>321734</xdr:colOff>
      <xdr:row>42</xdr:row>
      <xdr:rowOff>16933</xdr:rowOff>
    </xdr:from>
    <xdr:to>
      <xdr:col>13</xdr:col>
      <xdr:colOff>347133</xdr:colOff>
      <xdr:row>47</xdr:row>
      <xdr:rowOff>90387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9996ABC-FA65-714C-932A-B1DE3A6B46A4}"/>
            </a:ext>
          </a:extLst>
        </xdr:cNvPr>
        <xdr:cNvSpPr/>
      </xdr:nvSpPr>
      <xdr:spPr>
        <a:xfrm>
          <a:off x="20743334" y="8208433"/>
          <a:ext cx="1676399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</a:t>
          </a:r>
        </a:p>
      </xdr:txBody>
    </xdr:sp>
    <xdr:clientData/>
  </xdr:twoCellAnchor>
  <xdr:twoCellAnchor>
    <xdr:from>
      <xdr:col>13</xdr:col>
      <xdr:colOff>406400</xdr:colOff>
      <xdr:row>44</xdr:row>
      <xdr:rowOff>135466</xdr:rowOff>
    </xdr:from>
    <xdr:to>
      <xdr:col>15</xdr:col>
      <xdr:colOff>4235</xdr:colOff>
      <xdr:row>44</xdr:row>
      <xdr:rowOff>139701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EAB5D0A1-A004-6541-B38F-7BE3E08F34BF}"/>
            </a:ext>
          </a:extLst>
        </xdr:cNvPr>
        <xdr:cNvCxnSpPr/>
      </xdr:nvCxnSpPr>
      <xdr:spPr>
        <a:xfrm flipH="1" flipV="1">
          <a:off x="22479000" y="8733366"/>
          <a:ext cx="1286935" cy="4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406400</xdr:colOff>
      <xdr:row>36</xdr:row>
      <xdr:rowOff>101600</xdr:rowOff>
    </xdr:from>
    <xdr:to>
      <xdr:col>15</xdr:col>
      <xdr:colOff>406400</xdr:colOff>
      <xdr:row>41</xdr:row>
      <xdr:rowOff>186266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26066A5-C48C-4A46-B6D3-643ECDA46C7E}"/>
            </a:ext>
          </a:extLst>
        </xdr:cNvPr>
        <xdr:cNvCxnSpPr/>
      </xdr:nvCxnSpPr>
      <xdr:spPr>
        <a:xfrm>
          <a:off x="24168100" y="7061200"/>
          <a:ext cx="0" cy="111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389466</xdr:colOff>
      <xdr:row>36</xdr:row>
      <xdr:rowOff>33866</xdr:rowOff>
    </xdr:from>
    <xdr:to>
      <xdr:col>12</xdr:col>
      <xdr:colOff>389466</xdr:colOff>
      <xdr:row>41</xdr:row>
      <xdr:rowOff>186266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0D67899-4BEE-6E40-A193-9E6CBD535672}"/>
            </a:ext>
          </a:extLst>
        </xdr:cNvPr>
        <xdr:cNvCxnSpPr/>
      </xdr:nvCxnSpPr>
      <xdr:spPr>
        <a:xfrm>
          <a:off x="21636566" y="6993466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355599</xdr:colOff>
      <xdr:row>36</xdr:row>
      <xdr:rowOff>84666</xdr:rowOff>
    </xdr:from>
    <xdr:to>
      <xdr:col>16</xdr:col>
      <xdr:colOff>359833</xdr:colOff>
      <xdr:row>41</xdr:row>
      <xdr:rowOff>186266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FC1FF3E5-A981-FC49-8278-B08CDD6894FC}"/>
            </a:ext>
          </a:extLst>
        </xdr:cNvPr>
        <xdr:cNvCxnSpPr/>
      </xdr:nvCxnSpPr>
      <xdr:spPr>
        <a:xfrm>
          <a:off x="24942799" y="7044266"/>
          <a:ext cx="4234" cy="113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711200</xdr:colOff>
      <xdr:row>38</xdr:row>
      <xdr:rowOff>139699</xdr:rowOff>
    </xdr:from>
    <xdr:to>
      <xdr:col>15</xdr:col>
      <xdr:colOff>357316</xdr:colOff>
      <xdr:row>40</xdr:row>
      <xdr:rowOff>124253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5E1EB5BF-3733-D04E-A638-248D685FED0D}"/>
            </a:ext>
          </a:extLst>
        </xdr:cNvPr>
        <xdr:cNvSpPr/>
      </xdr:nvSpPr>
      <xdr:spPr>
        <a:xfrm>
          <a:off x="23647400" y="7518399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16</xdr:col>
      <xdr:colOff>478366</xdr:colOff>
      <xdr:row>39</xdr:row>
      <xdr:rowOff>12700</xdr:rowOff>
    </xdr:from>
    <xdr:to>
      <xdr:col>17</xdr:col>
      <xdr:colOff>124482</xdr:colOff>
      <xdr:row>40</xdr:row>
      <xdr:rowOff>200454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3C559C0-8B36-C14A-85B8-ED2BA4B55263}"/>
            </a:ext>
          </a:extLst>
        </xdr:cNvPr>
        <xdr:cNvSpPr/>
      </xdr:nvSpPr>
      <xdr:spPr>
        <a:xfrm>
          <a:off x="25065566" y="7594600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  <xdr:twoCellAnchor>
    <xdr:from>
      <xdr:col>13</xdr:col>
      <xdr:colOff>850900</xdr:colOff>
      <xdr:row>42</xdr:row>
      <xdr:rowOff>105833</xdr:rowOff>
    </xdr:from>
    <xdr:to>
      <xdr:col>14</xdr:col>
      <xdr:colOff>463149</xdr:colOff>
      <xdr:row>44</xdr:row>
      <xdr:rowOff>90387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F1EDDD72-11F6-F14C-B66F-78690525029A}"/>
            </a:ext>
          </a:extLst>
        </xdr:cNvPr>
        <xdr:cNvSpPr/>
      </xdr:nvSpPr>
      <xdr:spPr>
        <a:xfrm>
          <a:off x="22923500" y="8297333"/>
          <a:ext cx="475849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8</xdr:col>
      <xdr:colOff>723900</xdr:colOff>
      <xdr:row>61</xdr:row>
      <xdr:rowOff>127000</xdr:rowOff>
    </xdr:from>
    <xdr:to>
      <xdr:col>9</xdr:col>
      <xdr:colOff>365782</xdr:colOff>
      <xdr:row>63</xdr:row>
      <xdr:rowOff>111554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5938AECC-89D3-AE40-A8FB-D55BB7EC7265}"/>
            </a:ext>
          </a:extLst>
        </xdr:cNvPr>
        <xdr:cNvSpPr/>
      </xdr:nvSpPr>
      <xdr:spPr>
        <a:xfrm>
          <a:off x="18669000" y="12179300"/>
          <a:ext cx="467382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31</a:t>
          </a:r>
        </a:p>
      </xdr:txBody>
    </xdr:sp>
    <xdr:clientData/>
  </xdr:twoCellAnchor>
  <xdr:twoCellAnchor>
    <xdr:from>
      <xdr:col>9</xdr:col>
      <xdr:colOff>609600</xdr:colOff>
      <xdr:row>44</xdr:row>
      <xdr:rowOff>135466</xdr:rowOff>
    </xdr:from>
    <xdr:to>
      <xdr:col>11</xdr:col>
      <xdr:colOff>270934</xdr:colOff>
      <xdr:row>44</xdr:row>
      <xdr:rowOff>143932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B49367C-7AAE-E643-B0E1-22868C2F72F4}"/>
            </a:ext>
          </a:extLst>
        </xdr:cNvPr>
        <xdr:cNvCxnSpPr/>
      </xdr:nvCxnSpPr>
      <xdr:spPr>
        <a:xfrm flipH="1" flipV="1">
          <a:off x="19380200" y="8733366"/>
          <a:ext cx="1312334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503766</xdr:colOff>
      <xdr:row>42</xdr:row>
      <xdr:rowOff>29633</xdr:rowOff>
    </xdr:from>
    <xdr:to>
      <xdr:col>9</xdr:col>
      <xdr:colOff>529166</xdr:colOff>
      <xdr:row>47</xdr:row>
      <xdr:rowOff>103087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55B544A-0E41-C942-A101-CD3728327860}"/>
            </a:ext>
          </a:extLst>
        </xdr:cNvPr>
        <xdr:cNvSpPr/>
      </xdr:nvSpPr>
      <xdr:spPr>
        <a:xfrm>
          <a:off x="17623366" y="8221133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Pressurizer</a:t>
          </a:r>
        </a:p>
      </xdr:txBody>
    </xdr:sp>
    <xdr:clientData/>
  </xdr:twoCellAnchor>
  <xdr:twoCellAnchor>
    <xdr:from>
      <xdr:col>10</xdr:col>
      <xdr:colOff>152399</xdr:colOff>
      <xdr:row>42</xdr:row>
      <xdr:rowOff>84666</xdr:rowOff>
    </xdr:from>
    <xdr:to>
      <xdr:col>10</xdr:col>
      <xdr:colOff>628249</xdr:colOff>
      <xdr:row>44</xdr:row>
      <xdr:rowOff>69220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4795F504-6EA9-054F-B6C3-4D3DF55A71F2}"/>
            </a:ext>
          </a:extLst>
        </xdr:cNvPr>
        <xdr:cNvSpPr/>
      </xdr:nvSpPr>
      <xdr:spPr>
        <a:xfrm>
          <a:off x="19748499" y="8276166"/>
          <a:ext cx="475850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29</a:t>
          </a:r>
        </a:p>
      </xdr:txBody>
    </xdr:sp>
    <xdr:clientData/>
  </xdr:twoCellAnchor>
  <xdr:twoCellAnchor>
    <xdr:from>
      <xdr:col>8</xdr:col>
      <xdr:colOff>626533</xdr:colOff>
      <xdr:row>47</xdr:row>
      <xdr:rowOff>114300</xdr:rowOff>
    </xdr:from>
    <xdr:to>
      <xdr:col>8</xdr:col>
      <xdr:colOff>630767</xdr:colOff>
      <xdr:row>53</xdr:row>
      <xdr:rowOff>84667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371C0BC-47A3-154E-B53C-41A9F33795DA}"/>
            </a:ext>
          </a:extLst>
        </xdr:cNvPr>
        <xdr:cNvCxnSpPr/>
      </xdr:nvCxnSpPr>
      <xdr:spPr>
        <a:xfrm flipH="1">
          <a:off x="18571633" y="9321800"/>
          <a:ext cx="4234" cy="1189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499533</xdr:colOff>
      <xdr:row>53</xdr:row>
      <xdr:rowOff>135467</xdr:rowOff>
    </xdr:from>
    <xdr:to>
      <xdr:col>9</xdr:col>
      <xdr:colOff>524933</xdr:colOff>
      <xdr:row>59</xdr:row>
      <xdr:rowOff>5721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F654EB0A-2996-4640-B704-7D86690968F5}"/>
            </a:ext>
          </a:extLst>
        </xdr:cNvPr>
        <xdr:cNvSpPr/>
      </xdr:nvSpPr>
      <xdr:spPr>
        <a:xfrm>
          <a:off x="17619133" y="10562167"/>
          <a:ext cx="1676400" cy="1089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8</xdr:col>
      <xdr:colOff>783167</xdr:colOff>
      <xdr:row>49</xdr:row>
      <xdr:rowOff>59266</xdr:rowOff>
    </xdr:from>
    <xdr:to>
      <xdr:col>9</xdr:col>
      <xdr:colOff>429282</xdr:colOff>
      <xdr:row>51</xdr:row>
      <xdr:rowOff>26887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C1C7FBB1-63E1-3340-BBE6-E617A077FA32}"/>
            </a:ext>
          </a:extLst>
        </xdr:cNvPr>
        <xdr:cNvSpPr/>
      </xdr:nvSpPr>
      <xdr:spPr>
        <a:xfrm>
          <a:off x="18728267" y="9673166"/>
          <a:ext cx="471615" cy="3740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30</a:t>
          </a:r>
        </a:p>
      </xdr:txBody>
    </xdr:sp>
    <xdr:clientData/>
  </xdr:twoCellAnchor>
  <xdr:twoCellAnchor>
    <xdr:from>
      <xdr:col>8</xdr:col>
      <xdr:colOff>626533</xdr:colOff>
      <xdr:row>59</xdr:row>
      <xdr:rowOff>46567</xdr:rowOff>
    </xdr:from>
    <xdr:to>
      <xdr:col>8</xdr:col>
      <xdr:colOff>626533</xdr:colOff>
      <xdr:row>65</xdr:row>
      <xdr:rowOff>33867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E3D07FBB-EFE6-1640-A292-A8B2CAF9272B}"/>
            </a:ext>
          </a:extLst>
        </xdr:cNvPr>
        <xdr:cNvCxnSpPr/>
      </xdr:nvCxnSpPr>
      <xdr:spPr>
        <a:xfrm flipV="1">
          <a:off x="18571633" y="11692467"/>
          <a:ext cx="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567265</xdr:colOff>
      <xdr:row>56</xdr:row>
      <xdr:rowOff>29633</xdr:rowOff>
    </xdr:from>
    <xdr:to>
      <xdr:col>11</xdr:col>
      <xdr:colOff>389466</xdr:colOff>
      <xdr:row>56</xdr:row>
      <xdr:rowOff>29633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3AAA94C-CB78-D94D-8F58-23E7477EA42C}"/>
            </a:ext>
          </a:extLst>
        </xdr:cNvPr>
        <xdr:cNvCxnSpPr/>
      </xdr:nvCxnSpPr>
      <xdr:spPr>
        <a:xfrm>
          <a:off x="19337865" y="11065933"/>
          <a:ext cx="14732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143933</xdr:colOff>
      <xdr:row>53</xdr:row>
      <xdr:rowOff>173567</xdr:rowOff>
    </xdr:from>
    <xdr:to>
      <xdr:col>10</xdr:col>
      <xdr:colOff>615549</xdr:colOff>
      <xdr:row>55</xdr:row>
      <xdr:rowOff>158121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A9561892-F83E-2349-A671-F951AF49BFF2}"/>
            </a:ext>
          </a:extLst>
        </xdr:cNvPr>
        <xdr:cNvSpPr/>
      </xdr:nvSpPr>
      <xdr:spPr>
        <a:xfrm>
          <a:off x="19740033" y="10600267"/>
          <a:ext cx="471616" cy="390954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32</a:t>
          </a:r>
        </a:p>
      </xdr:txBody>
    </xdr:sp>
    <xdr:clientData/>
  </xdr:twoCellAnchor>
  <xdr:twoCellAnchor>
    <xdr:from>
      <xdr:col>12</xdr:col>
      <xdr:colOff>471844</xdr:colOff>
      <xdr:row>38</xdr:row>
      <xdr:rowOff>58122</xdr:rowOff>
    </xdr:from>
    <xdr:to>
      <xdr:col>13</xdr:col>
      <xdr:colOff>112011</xdr:colOff>
      <xdr:row>40</xdr:row>
      <xdr:rowOff>39930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C3FDA5D-D776-2E49-88FB-EE279FA4A128}"/>
            </a:ext>
          </a:extLst>
        </xdr:cNvPr>
        <xdr:cNvSpPr/>
      </xdr:nvSpPr>
      <xdr:spPr>
        <a:xfrm>
          <a:off x="21718944" y="7436822"/>
          <a:ext cx="465667" cy="38820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28</a:t>
          </a:r>
        </a:p>
      </xdr:txBody>
    </xdr:sp>
    <xdr:clientData/>
  </xdr:twoCellAnchor>
  <xdr:twoCellAnchor editAs="oneCell">
    <xdr:from>
      <xdr:col>2</xdr:col>
      <xdr:colOff>642135</xdr:colOff>
      <xdr:row>16</xdr:row>
      <xdr:rowOff>185505</xdr:rowOff>
    </xdr:from>
    <xdr:to>
      <xdr:col>11</xdr:col>
      <xdr:colOff>445071</xdr:colOff>
      <xdr:row>30</xdr:row>
      <xdr:rowOff>30251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F3AA435-2F65-7343-8EE3-F9CF907F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0787" y="3410449"/>
          <a:ext cx="7251700" cy="264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190500</xdr:rowOff>
    </xdr:from>
    <xdr:to>
      <xdr:col>13</xdr:col>
      <xdr:colOff>55081</xdr:colOff>
      <xdr:row>7</xdr:row>
      <xdr:rowOff>71491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5211787-9EF1-A34D-B1B6-F1080376458A}"/>
            </a:ext>
          </a:extLst>
        </xdr:cNvPr>
        <xdr:cNvSpPr/>
      </xdr:nvSpPr>
      <xdr:spPr>
        <a:xfrm>
          <a:off x="6629400" y="3937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9</xdr:col>
      <xdr:colOff>177800</xdr:colOff>
      <xdr:row>3</xdr:row>
      <xdr:rowOff>50800</xdr:rowOff>
    </xdr:from>
    <xdr:to>
      <xdr:col>11</xdr:col>
      <xdr:colOff>4281</xdr:colOff>
      <xdr:row>3</xdr:row>
      <xdr:rowOff>50800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891066A-0EBB-8C46-9FDC-E4111AEC587E}"/>
            </a:ext>
          </a:extLst>
        </xdr:cNvPr>
        <xdr:cNvCxnSpPr/>
      </xdr:nvCxnSpPr>
      <xdr:spPr>
        <a:xfrm>
          <a:off x="5130800" y="6604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</xdr:row>
      <xdr:rowOff>25400</xdr:rowOff>
    </xdr:from>
    <xdr:to>
      <xdr:col>10</xdr:col>
      <xdr:colOff>571500</xdr:colOff>
      <xdr:row>2</xdr:row>
      <xdr:rowOff>197921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F1022E2-1356-CA4A-8030-6E7EEE94E1DE}"/>
            </a:ext>
          </a:extLst>
        </xdr:cNvPr>
        <xdr:cNvSpPr/>
      </xdr:nvSpPr>
      <xdr:spPr>
        <a:xfrm>
          <a:off x="5969000" y="2286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190500</xdr:colOff>
      <xdr:row>5</xdr:row>
      <xdr:rowOff>88900</xdr:rowOff>
    </xdr:from>
    <xdr:to>
      <xdr:col>11</xdr:col>
      <xdr:colOff>16981</xdr:colOff>
      <xdr:row>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FAFABD7-D01E-F54C-AA54-7997313BE9CC}"/>
            </a:ext>
          </a:extLst>
        </xdr:cNvPr>
        <xdr:cNvCxnSpPr/>
      </xdr:nvCxnSpPr>
      <xdr:spPr>
        <a:xfrm>
          <a:off x="5143500" y="11049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5</xdr:row>
      <xdr:rowOff>152400</xdr:rowOff>
    </xdr:from>
    <xdr:to>
      <xdr:col>10</xdr:col>
      <xdr:colOff>635000</xdr:colOff>
      <xdr:row>7</xdr:row>
      <xdr:rowOff>121721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49CA91A-6444-3247-AE17-F55B54D5DF08}"/>
            </a:ext>
          </a:extLst>
        </xdr:cNvPr>
        <xdr:cNvSpPr/>
      </xdr:nvSpPr>
      <xdr:spPr>
        <a:xfrm>
          <a:off x="6032500" y="11684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12</xdr:col>
      <xdr:colOff>101600</xdr:colOff>
      <xdr:row>7</xdr:row>
      <xdr:rowOff>165100</xdr:rowOff>
    </xdr:from>
    <xdr:to>
      <xdr:col>12</xdr:col>
      <xdr:colOff>101600</xdr:colOff>
      <xdr:row>12</xdr:row>
      <xdr:rowOff>139700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D7E6131-61ED-2344-8758-090D23C7AB88}"/>
            </a:ext>
          </a:extLst>
        </xdr:cNvPr>
        <xdr:cNvCxnSpPr/>
      </xdr:nvCxnSpPr>
      <xdr:spPr>
        <a:xfrm flipV="1">
          <a:off x="7531100" y="15875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9</xdr:row>
      <xdr:rowOff>63500</xdr:rowOff>
    </xdr:from>
    <xdr:to>
      <xdr:col>12</xdr:col>
      <xdr:colOff>12700</xdr:colOff>
      <xdr:row>11</xdr:row>
      <xdr:rowOff>32821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17E9A08-ACC6-1549-9A42-71BD4E563974}"/>
            </a:ext>
          </a:extLst>
        </xdr:cNvPr>
        <xdr:cNvSpPr/>
      </xdr:nvSpPr>
      <xdr:spPr>
        <a:xfrm>
          <a:off x="7061200" y="18923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13</xdr:col>
      <xdr:colOff>114300</xdr:colOff>
      <xdr:row>4</xdr:row>
      <xdr:rowOff>139700</xdr:rowOff>
    </xdr:from>
    <xdr:to>
      <xdr:col>14</xdr:col>
      <xdr:colOff>766281</xdr:colOff>
      <xdr:row>4</xdr:row>
      <xdr:rowOff>139700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78705D3-3443-4B44-8C45-8D7D726790A5}"/>
            </a:ext>
          </a:extLst>
        </xdr:cNvPr>
        <xdr:cNvCxnSpPr/>
      </xdr:nvCxnSpPr>
      <xdr:spPr>
        <a:xfrm>
          <a:off x="8369300" y="9525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</xdr:row>
      <xdr:rowOff>25400</xdr:rowOff>
    </xdr:from>
    <xdr:to>
      <xdr:col>17</xdr:col>
      <xdr:colOff>67781</xdr:colOff>
      <xdr:row>7</xdr:row>
      <xdr:rowOff>109591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3F5534B-6FF1-F047-8FF6-81EF35131232}"/>
            </a:ext>
          </a:extLst>
        </xdr:cNvPr>
        <xdr:cNvSpPr/>
      </xdr:nvSpPr>
      <xdr:spPr>
        <a:xfrm>
          <a:off x="9944100" y="4318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17</xdr:col>
      <xdr:colOff>127000</xdr:colOff>
      <xdr:row>4</xdr:row>
      <xdr:rowOff>190500</xdr:rowOff>
    </xdr:from>
    <xdr:to>
      <xdr:col>18</xdr:col>
      <xdr:colOff>778981</xdr:colOff>
      <xdr:row>4</xdr:row>
      <xdr:rowOff>190500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228573A-E204-6747-8430-65C7A2166FCE}"/>
            </a:ext>
          </a:extLst>
        </xdr:cNvPr>
        <xdr:cNvCxnSpPr/>
      </xdr:nvCxnSpPr>
      <xdr:spPr>
        <a:xfrm>
          <a:off x="11684000" y="10033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2</xdr:row>
      <xdr:rowOff>50800</xdr:rowOff>
    </xdr:from>
    <xdr:to>
      <xdr:col>21</xdr:col>
      <xdr:colOff>55081</xdr:colOff>
      <xdr:row>7</xdr:row>
      <xdr:rowOff>134991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F6E2C0-73C6-CA41-A131-1C4D3F62E199}"/>
            </a:ext>
          </a:extLst>
        </xdr:cNvPr>
        <xdr:cNvSpPr/>
      </xdr:nvSpPr>
      <xdr:spPr>
        <a:xfrm>
          <a:off x="13233400" y="4572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20</xdr:col>
      <xdr:colOff>25400</xdr:colOff>
      <xdr:row>8</xdr:row>
      <xdr:rowOff>0</xdr:rowOff>
    </xdr:from>
    <xdr:to>
      <xdr:col>20</xdr:col>
      <xdr:colOff>25400</xdr:colOff>
      <xdr:row>12</xdr:row>
      <xdr:rowOff>177800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82409F0-36B5-A94B-83DA-0AF54AAEECC6}"/>
            </a:ext>
          </a:extLst>
        </xdr:cNvPr>
        <xdr:cNvCxnSpPr/>
      </xdr:nvCxnSpPr>
      <xdr:spPr>
        <a:xfrm flipV="1">
          <a:off x="14058900" y="16256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393700</xdr:colOff>
      <xdr:row>9</xdr:row>
      <xdr:rowOff>88900</xdr:rowOff>
    </xdr:from>
    <xdr:to>
      <xdr:col>19</xdr:col>
      <xdr:colOff>774700</xdr:colOff>
      <xdr:row>11</xdr:row>
      <xdr:rowOff>58221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04AB8E7-4813-5C4F-A7FF-8266FF196443}"/>
            </a:ext>
          </a:extLst>
        </xdr:cNvPr>
        <xdr:cNvSpPr/>
      </xdr:nvSpPr>
      <xdr:spPr>
        <a:xfrm>
          <a:off x="13601700" y="19177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23</xdr:col>
      <xdr:colOff>12700</xdr:colOff>
      <xdr:row>2</xdr:row>
      <xdr:rowOff>76200</xdr:rowOff>
    </xdr:from>
    <xdr:to>
      <xdr:col>25</xdr:col>
      <xdr:colOff>42381</xdr:colOff>
      <xdr:row>7</xdr:row>
      <xdr:rowOff>160391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E82EF1D-830F-4B4E-A2C8-972587A6E07C}"/>
            </a:ext>
          </a:extLst>
        </xdr:cNvPr>
        <xdr:cNvSpPr/>
      </xdr:nvSpPr>
      <xdr:spPr>
        <a:xfrm>
          <a:off x="16522700" y="4826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21</xdr:col>
      <xdr:colOff>139700</xdr:colOff>
      <xdr:row>5</xdr:row>
      <xdr:rowOff>0</xdr:rowOff>
    </xdr:from>
    <xdr:to>
      <xdr:col>22</xdr:col>
      <xdr:colOff>791681</xdr:colOff>
      <xdr:row>5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9F1A718-65DE-B54F-89BD-95E6FE03188A}"/>
            </a:ext>
          </a:extLst>
        </xdr:cNvPr>
        <xdr:cNvCxnSpPr/>
      </xdr:nvCxnSpPr>
      <xdr:spPr>
        <a:xfrm>
          <a:off x="14998700" y="10160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7</xdr:row>
      <xdr:rowOff>190500</xdr:rowOff>
    </xdr:from>
    <xdr:to>
      <xdr:col>24</xdr:col>
      <xdr:colOff>0</xdr:colOff>
      <xdr:row>12</xdr:row>
      <xdr:rowOff>165100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10DD329-E751-EC42-9097-D55DCC7EC8FC}"/>
            </a:ext>
          </a:extLst>
        </xdr:cNvPr>
        <xdr:cNvCxnSpPr/>
      </xdr:nvCxnSpPr>
      <xdr:spPr>
        <a:xfrm flipV="1">
          <a:off x="17335500" y="16129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9</xdr:row>
      <xdr:rowOff>101600</xdr:rowOff>
    </xdr:from>
    <xdr:to>
      <xdr:col>23</xdr:col>
      <xdr:colOff>723900</xdr:colOff>
      <xdr:row>11</xdr:row>
      <xdr:rowOff>70921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852BBE7-578A-914A-B77E-2B70A8F2C996}"/>
            </a:ext>
          </a:extLst>
        </xdr:cNvPr>
        <xdr:cNvSpPr/>
      </xdr:nvSpPr>
      <xdr:spPr>
        <a:xfrm>
          <a:off x="16852900" y="19304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25</xdr:col>
      <xdr:colOff>88900</xdr:colOff>
      <xdr:row>5</xdr:row>
      <xdr:rowOff>25400</xdr:rowOff>
    </xdr:from>
    <xdr:to>
      <xdr:col>26</xdr:col>
      <xdr:colOff>740881</xdr:colOff>
      <xdr:row>5</xdr:row>
      <xdr:rowOff>25400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7359881-0B05-6E44-A449-E071333FA4B3}"/>
            </a:ext>
          </a:extLst>
        </xdr:cNvPr>
        <xdr:cNvCxnSpPr/>
      </xdr:nvCxnSpPr>
      <xdr:spPr>
        <a:xfrm>
          <a:off x="18249900" y="1041400"/>
          <a:ext cx="14774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127000</xdr:rowOff>
    </xdr:from>
    <xdr:to>
      <xdr:col>29</xdr:col>
      <xdr:colOff>42381</xdr:colOff>
      <xdr:row>8</xdr:row>
      <xdr:rowOff>7991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A95A09E-0B75-4343-A2DA-E1A4DCB39AAB}"/>
            </a:ext>
          </a:extLst>
        </xdr:cNvPr>
        <xdr:cNvSpPr/>
      </xdr:nvSpPr>
      <xdr:spPr>
        <a:xfrm>
          <a:off x="19824700" y="533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29</xdr:col>
      <xdr:colOff>76200</xdr:colOff>
      <xdr:row>5</xdr:row>
      <xdr:rowOff>38100</xdr:rowOff>
    </xdr:from>
    <xdr:to>
      <xdr:col>30</xdr:col>
      <xdr:colOff>622300</xdr:colOff>
      <xdr:row>5</xdr:row>
      <xdr:rowOff>38100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0DB57A-3C88-CB4E-86F7-2BA2DA2F9856}"/>
            </a:ext>
          </a:extLst>
        </xdr:cNvPr>
        <xdr:cNvCxnSpPr/>
      </xdr:nvCxnSpPr>
      <xdr:spPr>
        <a:xfrm flipH="1">
          <a:off x="21539200" y="10541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0</xdr:rowOff>
    </xdr:from>
    <xdr:to>
      <xdr:col>30</xdr:col>
      <xdr:colOff>495300</xdr:colOff>
      <xdr:row>5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EEAD093-0857-E346-8030-2AE7EA85F73E}"/>
            </a:ext>
          </a:extLst>
        </xdr:cNvPr>
        <xdr:cNvSpPr/>
      </xdr:nvSpPr>
      <xdr:spPr>
        <a:xfrm>
          <a:off x="22288500" y="6096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13</xdr:col>
      <xdr:colOff>787400</xdr:colOff>
      <xdr:row>2</xdr:row>
      <xdr:rowOff>88900</xdr:rowOff>
    </xdr:from>
    <xdr:to>
      <xdr:col>14</xdr:col>
      <xdr:colOff>342900</xdr:colOff>
      <xdr:row>4</xdr:row>
      <xdr:rowOff>58221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D864321D-7EBF-E145-9DC3-1ECA0CD4E8F3}"/>
            </a:ext>
          </a:extLst>
        </xdr:cNvPr>
        <xdr:cNvSpPr/>
      </xdr:nvSpPr>
      <xdr:spPr>
        <a:xfrm>
          <a:off x="9042400" y="4953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17</xdr:col>
      <xdr:colOff>762000</xdr:colOff>
      <xdr:row>2</xdr:row>
      <xdr:rowOff>152400</xdr:rowOff>
    </xdr:from>
    <xdr:to>
      <xdr:col>18</xdr:col>
      <xdr:colOff>317500</xdr:colOff>
      <xdr:row>4</xdr:row>
      <xdr:rowOff>121721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2D46EAE-A8CB-FB43-BF74-5E017CCD5824}"/>
            </a:ext>
          </a:extLst>
        </xdr:cNvPr>
        <xdr:cNvSpPr/>
      </xdr:nvSpPr>
      <xdr:spPr>
        <a:xfrm>
          <a:off x="12319000" y="5588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673100</xdr:colOff>
      <xdr:row>2</xdr:row>
      <xdr:rowOff>190500</xdr:rowOff>
    </xdr:from>
    <xdr:to>
      <xdr:col>22</xdr:col>
      <xdr:colOff>228600</xdr:colOff>
      <xdr:row>4</xdr:row>
      <xdr:rowOff>159821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FE9B1E58-F714-994C-B21E-CF7571668AA5}"/>
            </a:ext>
          </a:extLst>
        </xdr:cNvPr>
        <xdr:cNvSpPr/>
      </xdr:nvSpPr>
      <xdr:spPr>
        <a:xfrm>
          <a:off x="15532100" y="5969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26</xdr:col>
      <xdr:colOff>0</xdr:colOff>
      <xdr:row>3</xdr:row>
      <xdr:rowOff>0</xdr:rowOff>
    </xdr:from>
    <xdr:to>
      <xdr:col>26</xdr:col>
      <xdr:colOff>381000</xdr:colOff>
      <xdr:row>4</xdr:row>
      <xdr:rowOff>172521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748020E-0154-544B-B353-58DA23679D6B}"/>
            </a:ext>
          </a:extLst>
        </xdr:cNvPr>
        <xdr:cNvSpPr/>
      </xdr:nvSpPr>
      <xdr:spPr>
        <a:xfrm>
          <a:off x="18986500" y="609600"/>
          <a:ext cx="381000" cy="37572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28</xdr:col>
      <xdr:colOff>0</xdr:colOff>
      <xdr:row>8</xdr:row>
      <xdr:rowOff>101600</xdr:rowOff>
    </xdr:from>
    <xdr:to>
      <xdr:col>28</xdr:col>
      <xdr:colOff>12700</xdr:colOff>
      <xdr:row>16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C4CA8EF-ED0C-F445-8CEB-BEFFBC6A3DF0}"/>
            </a:ext>
          </a:extLst>
        </xdr:cNvPr>
        <xdr:cNvCxnSpPr/>
      </xdr:nvCxnSpPr>
      <xdr:spPr>
        <a:xfrm flipH="1">
          <a:off x="20637500" y="1727200"/>
          <a:ext cx="1270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698500</xdr:colOff>
      <xdr:row>17</xdr:row>
      <xdr:rowOff>190500</xdr:rowOff>
    </xdr:from>
    <xdr:to>
      <xdr:col>28</xdr:col>
      <xdr:colOff>728181</xdr:colOff>
      <xdr:row>23</xdr:row>
      <xdr:rowOff>71491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B253C60-1E8C-B947-9B5A-4142E2982ACC}"/>
            </a:ext>
          </a:extLst>
        </xdr:cNvPr>
        <xdr:cNvSpPr/>
      </xdr:nvSpPr>
      <xdr:spPr>
        <a:xfrm>
          <a:off x="19685000" y="36449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28</xdr:col>
      <xdr:colOff>800100</xdr:colOff>
      <xdr:row>20</xdr:row>
      <xdr:rowOff>25400</xdr:rowOff>
    </xdr:from>
    <xdr:to>
      <xdr:col>30</xdr:col>
      <xdr:colOff>520700</xdr:colOff>
      <xdr:row>20</xdr:row>
      <xdr:rowOff>25400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6EAD2DA-7C1C-084B-ABBC-7DF8D0273567}"/>
            </a:ext>
          </a:extLst>
        </xdr:cNvPr>
        <xdr:cNvCxnSpPr/>
      </xdr:nvCxnSpPr>
      <xdr:spPr>
        <a:xfrm flipH="1">
          <a:off x="21437600" y="40894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330200</xdr:colOff>
      <xdr:row>17</xdr:row>
      <xdr:rowOff>101600</xdr:rowOff>
    </xdr:from>
    <xdr:to>
      <xdr:col>30</xdr:col>
      <xdr:colOff>0</xdr:colOff>
      <xdr:row>19</xdr:row>
      <xdr:rowOff>139700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DE30F1C-24A8-394C-B645-244A7A0F441D}"/>
            </a:ext>
          </a:extLst>
        </xdr:cNvPr>
        <xdr:cNvSpPr/>
      </xdr:nvSpPr>
      <xdr:spPr>
        <a:xfrm>
          <a:off x="21793200" y="3556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28</xdr:col>
      <xdr:colOff>76200</xdr:colOff>
      <xdr:row>11</xdr:row>
      <xdr:rowOff>165100</xdr:rowOff>
    </xdr:from>
    <xdr:to>
      <xdr:col>28</xdr:col>
      <xdr:colOff>571500</xdr:colOff>
      <xdr:row>14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FEAB4EBE-C850-3D4F-85AA-378FF840A8D0}"/>
            </a:ext>
          </a:extLst>
        </xdr:cNvPr>
        <xdr:cNvSpPr/>
      </xdr:nvSpPr>
      <xdr:spPr>
        <a:xfrm>
          <a:off x="20713700" y="2400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22</xdr:col>
      <xdr:colOff>787400</xdr:colOff>
      <xdr:row>17</xdr:row>
      <xdr:rowOff>127000</xdr:rowOff>
    </xdr:from>
    <xdr:to>
      <xdr:col>24</xdr:col>
      <xdr:colOff>817081</xdr:colOff>
      <xdr:row>23</xdr:row>
      <xdr:rowOff>7991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6A20334-7A41-8248-95D2-B4734A429887}"/>
            </a:ext>
          </a:extLst>
        </xdr:cNvPr>
        <xdr:cNvSpPr/>
      </xdr:nvSpPr>
      <xdr:spPr>
        <a:xfrm>
          <a:off x="16471900" y="3581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25</xdr:col>
      <xdr:colOff>12700</xdr:colOff>
      <xdr:row>20</xdr:row>
      <xdr:rowOff>12700</xdr:rowOff>
    </xdr:from>
    <xdr:to>
      <xdr:col>26</xdr:col>
      <xdr:colOff>558800</xdr:colOff>
      <xdr:row>20</xdr:row>
      <xdr:rowOff>12700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42B998C-9A46-F34B-AD6B-FD6C53EFC5C6}"/>
            </a:ext>
          </a:extLst>
        </xdr:cNvPr>
        <xdr:cNvCxnSpPr/>
      </xdr:nvCxnSpPr>
      <xdr:spPr>
        <a:xfrm flipH="1">
          <a:off x="18173700" y="40767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23</xdr:row>
      <xdr:rowOff>50800</xdr:rowOff>
    </xdr:from>
    <xdr:to>
      <xdr:col>24</xdr:col>
      <xdr:colOff>0</xdr:colOff>
      <xdr:row>28</xdr:row>
      <xdr:rowOff>25400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96F45A7-1249-7247-AD70-6C4ECBA7701D}"/>
            </a:ext>
          </a:extLst>
        </xdr:cNvPr>
        <xdr:cNvCxnSpPr/>
      </xdr:nvCxnSpPr>
      <xdr:spPr>
        <a:xfrm flipV="1">
          <a:off x="17335500" y="47244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520700</xdr:colOff>
      <xdr:row>17</xdr:row>
      <xdr:rowOff>38100</xdr:rowOff>
    </xdr:from>
    <xdr:to>
      <xdr:col>26</xdr:col>
      <xdr:colOff>190500</xdr:colOff>
      <xdr:row>19</xdr:row>
      <xdr:rowOff>76200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96875E3C-9025-4144-9ECC-ADC757C8F08A}"/>
            </a:ext>
          </a:extLst>
        </xdr:cNvPr>
        <xdr:cNvSpPr/>
      </xdr:nvSpPr>
      <xdr:spPr>
        <a:xfrm>
          <a:off x="18681700" y="34925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24</xdr:col>
      <xdr:colOff>127000</xdr:colOff>
      <xdr:row>24</xdr:row>
      <xdr:rowOff>165100</xdr:rowOff>
    </xdr:from>
    <xdr:to>
      <xdr:col>24</xdr:col>
      <xdr:colOff>622300</xdr:colOff>
      <xdr:row>27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C019B85-6828-184E-8A95-52FD1CC78609}"/>
            </a:ext>
          </a:extLst>
        </xdr:cNvPr>
        <xdr:cNvSpPr/>
      </xdr:nvSpPr>
      <xdr:spPr>
        <a:xfrm>
          <a:off x="17462500" y="50419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18</xdr:col>
      <xdr:colOff>812800</xdr:colOff>
      <xdr:row>17</xdr:row>
      <xdr:rowOff>127000</xdr:rowOff>
    </xdr:from>
    <xdr:to>
      <xdr:col>21</xdr:col>
      <xdr:colOff>16981</xdr:colOff>
      <xdr:row>23</xdr:row>
      <xdr:rowOff>7991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32EB723-DB73-4641-BEB2-12957F62FFA7}"/>
            </a:ext>
          </a:extLst>
        </xdr:cNvPr>
        <xdr:cNvSpPr/>
      </xdr:nvSpPr>
      <xdr:spPr>
        <a:xfrm>
          <a:off x="13195300" y="3581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21</xdr:col>
      <xdr:colOff>114300</xdr:colOff>
      <xdr:row>19</xdr:row>
      <xdr:rowOff>190500</xdr:rowOff>
    </xdr:from>
    <xdr:to>
      <xdr:col>22</xdr:col>
      <xdr:colOff>660400</xdr:colOff>
      <xdr:row>19</xdr:row>
      <xdr:rowOff>190500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3394873-F6D4-EF4C-B945-C9C4AF2283F1}"/>
            </a:ext>
          </a:extLst>
        </xdr:cNvPr>
        <xdr:cNvCxnSpPr/>
      </xdr:nvCxnSpPr>
      <xdr:spPr>
        <a:xfrm flipH="1">
          <a:off x="14973300" y="40513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584200</xdr:colOff>
      <xdr:row>17</xdr:row>
      <xdr:rowOff>88900</xdr:rowOff>
    </xdr:from>
    <xdr:to>
      <xdr:col>22</xdr:col>
      <xdr:colOff>254000</xdr:colOff>
      <xdr:row>19</xdr:row>
      <xdr:rowOff>127000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69CD2F3-7B9C-8A4A-A386-A0495BF4269E}"/>
            </a:ext>
          </a:extLst>
        </xdr:cNvPr>
        <xdr:cNvSpPr/>
      </xdr:nvSpPr>
      <xdr:spPr>
        <a:xfrm>
          <a:off x="15443200" y="3543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17</xdr:col>
      <xdr:colOff>241300</xdr:colOff>
      <xdr:row>20</xdr:row>
      <xdr:rowOff>12700</xdr:rowOff>
    </xdr:from>
    <xdr:to>
      <xdr:col>18</xdr:col>
      <xdr:colOff>787400</xdr:colOff>
      <xdr:row>20</xdr:row>
      <xdr:rowOff>12700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F8A50C5-8C72-9242-8692-D625926B16D1}"/>
            </a:ext>
          </a:extLst>
        </xdr:cNvPr>
        <xdr:cNvCxnSpPr/>
      </xdr:nvCxnSpPr>
      <xdr:spPr>
        <a:xfrm flipH="1">
          <a:off x="11798300" y="40767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698500</xdr:colOff>
      <xdr:row>17</xdr:row>
      <xdr:rowOff>127000</xdr:rowOff>
    </xdr:from>
    <xdr:to>
      <xdr:col>18</xdr:col>
      <xdr:colOff>368300</xdr:colOff>
      <xdr:row>19</xdr:row>
      <xdr:rowOff>165100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4B06D60-2757-D145-8BA5-6F18D8FDB2AD}"/>
            </a:ext>
          </a:extLst>
        </xdr:cNvPr>
        <xdr:cNvSpPr/>
      </xdr:nvSpPr>
      <xdr:spPr>
        <a:xfrm>
          <a:off x="12255500" y="35814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15</xdr:col>
      <xdr:colOff>12700</xdr:colOff>
      <xdr:row>17</xdr:row>
      <xdr:rowOff>101600</xdr:rowOff>
    </xdr:from>
    <xdr:to>
      <xdr:col>17</xdr:col>
      <xdr:colOff>42381</xdr:colOff>
      <xdr:row>22</xdr:row>
      <xdr:rowOff>185791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4320AD3-8B21-5641-9EF8-B41DE614AA31}"/>
            </a:ext>
          </a:extLst>
        </xdr:cNvPr>
        <xdr:cNvSpPr/>
      </xdr:nvSpPr>
      <xdr:spPr>
        <a:xfrm>
          <a:off x="9918700" y="35560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13</xdr:col>
      <xdr:colOff>190500</xdr:colOff>
      <xdr:row>19</xdr:row>
      <xdr:rowOff>190500</xdr:rowOff>
    </xdr:from>
    <xdr:to>
      <xdr:col>14</xdr:col>
      <xdr:colOff>736600</xdr:colOff>
      <xdr:row>19</xdr:row>
      <xdr:rowOff>190500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29B02734-112A-A443-9B4F-BA3E9669B457}"/>
            </a:ext>
          </a:extLst>
        </xdr:cNvPr>
        <xdr:cNvCxnSpPr/>
      </xdr:nvCxnSpPr>
      <xdr:spPr>
        <a:xfrm flipH="1">
          <a:off x="8445500" y="4051300"/>
          <a:ext cx="1371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76200</xdr:rowOff>
    </xdr:from>
    <xdr:to>
      <xdr:col>16</xdr:col>
      <xdr:colOff>12700</xdr:colOff>
      <xdr:row>29</xdr:row>
      <xdr:rowOff>12700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93B9B36-01D3-534C-B04A-5F3684FA9D11}"/>
            </a:ext>
          </a:extLst>
        </xdr:cNvPr>
        <xdr:cNvCxnSpPr/>
      </xdr:nvCxnSpPr>
      <xdr:spPr>
        <a:xfrm>
          <a:off x="10731500" y="4749800"/>
          <a:ext cx="127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101600</xdr:colOff>
      <xdr:row>24</xdr:row>
      <xdr:rowOff>152400</xdr:rowOff>
    </xdr:from>
    <xdr:to>
      <xdr:col>16</xdr:col>
      <xdr:colOff>596900</xdr:colOff>
      <xdr:row>26</xdr:row>
      <xdr:rowOff>190500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86FCF0E9-4F7C-AE4D-B08F-0E3A1BDFC1CD}"/>
            </a:ext>
          </a:extLst>
        </xdr:cNvPr>
        <xdr:cNvSpPr/>
      </xdr:nvSpPr>
      <xdr:spPr>
        <a:xfrm>
          <a:off x="10833100" y="50292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13</xdr:col>
      <xdr:colOff>812800</xdr:colOff>
      <xdr:row>17</xdr:row>
      <xdr:rowOff>114300</xdr:rowOff>
    </xdr:from>
    <xdr:to>
      <xdr:col>14</xdr:col>
      <xdr:colOff>482600</xdr:colOff>
      <xdr:row>19</xdr:row>
      <xdr:rowOff>152400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556EED3-53F8-B94A-8768-6406771375A6}"/>
            </a:ext>
          </a:extLst>
        </xdr:cNvPr>
        <xdr:cNvSpPr/>
      </xdr:nvSpPr>
      <xdr:spPr>
        <a:xfrm>
          <a:off x="9067800" y="35687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16</xdr:col>
      <xdr:colOff>12700</xdr:colOff>
      <xdr:row>11</xdr:row>
      <xdr:rowOff>139700</xdr:rowOff>
    </xdr:from>
    <xdr:to>
      <xdr:col>16</xdr:col>
      <xdr:colOff>27541</xdr:colOff>
      <xdr:row>17</xdr:row>
      <xdr:rowOff>101600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28995257-59DA-9D48-A658-322DB5B6F5D2}"/>
            </a:ext>
          </a:extLst>
        </xdr:cNvPr>
        <xdr:cNvCxnSpPr>
          <a:endCxn id="52" idx="0"/>
        </xdr:cNvCxnSpPr>
      </xdr:nvCxnSpPr>
      <xdr:spPr>
        <a:xfrm>
          <a:off x="10744200" y="2374900"/>
          <a:ext cx="14841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63500</xdr:colOff>
      <xdr:row>13</xdr:row>
      <xdr:rowOff>152400</xdr:rowOff>
    </xdr:from>
    <xdr:to>
      <xdr:col>16</xdr:col>
      <xdr:colOff>558800</xdr:colOff>
      <xdr:row>15</xdr:row>
      <xdr:rowOff>190500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B6BA9AE8-F636-334B-B5D1-E3617D750E49}"/>
            </a:ext>
          </a:extLst>
        </xdr:cNvPr>
        <xdr:cNvSpPr/>
      </xdr:nvSpPr>
      <xdr:spPr>
        <a:xfrm>
          <a:off x="10795000" y="2794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11</xdr:col>
      <xdr:colOff>0</xdr:colOff>
      <xdr:row>17</xdr:row>
      <xdr:rowOff>63500</xdr:rowOff>
    </xdr:from>
    <xdr:to>
      <xdr:col>13</xdr:col>
      <xdr:colOff>29681</xdr:colOff>
      <xdr:row>22</xdr:row>
      <xdr:rowOff>147691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8D114527-3F82-244F-A771-A3190727F0F6}"/>
            </a:ext>
          </a:extLst>
        </xdr:cNvPr>
        <xdr:cNvSpPr/>
      </xdr:nvSpPr>
      <xdr:spPr>
        <a:xfrm>
          <a:off x="6604000" y="35179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9</xdr:col>
      <xdr:colOff>342900</xdr:colOff>
      <xdr:row>20</xdr:row>
      <xdr:rowOff>12700</xdr:rowOff>
    </xdr:from>
    <xdr:to>
      <xdr:col>10</xdr:col>
      <xdr:colOff>787400</xdr:colOff>
      <xdr:row>20</xdr:row>
      <xdr:rowOff>12700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FDB4DE1-A415-0840-9F18-FCA15E6955AB}"/>
            </a:ext>
          </a:extLst>
        </xdr:cNvPr>
        <xdr:cNvCxnSpPr/>
      </xdr:nvCxnSpPr>
      <xdr:spPr>
        <a:xfrm>
          <a:off x="5295900" y="40767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723900</xdr:colOff>
      <xdr:row>17</xdr:row>
      <xdr:rowOff>101600</xdr:rowOff>
    </xdr:from>
    <xdr:to>
      <xdr:col>10</xdr:col>
      <xdr:colOff>393700</xdr:colOff>
      <xdr:row>19</xdr:row>
      <xdr:rowOff>139700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9924FEF4-4C38-9449-8B65-B0FDF6366892}"/>
            </a:ext>
          </a:extLst>
        </xdr:cNvPr>
        <xdr:cNvSpPr/>
      </xdr:nvSpPr>
      <xdr:spPr>
        <a:xfrm>
          <a:off x="5676900" y="3556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12</xdr:col>
      <xdr:colOff>0</xdr:colOff>
      <xdr:row>22</xdr:row>
      <xdr:rowOff>190500</xdr:rowOff>
    </xdr:from>
    <xdr:to>
      <xdr:col>12</xdr:col>
      <xdr:colOff>12700</xdr:colOff>
      <xdr:row>34</xdr:row>
      <xdr:rowOff>76200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BDBF500D-C2C8-1D4D-9644-5206333153E0}"/>
            </a:ext>
          </a:extLst>
        </xdr:cNvPr>
        <xdr:cNvCxnSpPr/>
      </xdr:nvCxnSpPr>
      <xdr:spPr>
        <a:xfrm>
          <a:off x="7429500" y="4660900"/>
          <a:ext cx="1270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35</xdr:row>
      <xdr:rowOff>25400</xdr:rowOff>
    </xdr:from>
    <xdr:to>
      <xdr:col>13</xdr:col>
      <xdr:colOff>16981</xdr:colOff>
      <xdr:row>40</xdr:row>
      <xdr:rowOff>109591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59100CF-3BF1-9949-BDEC-DF6101D48920}"/>
            </a:ext>
          </a:extLst>
        </xdr:cNvPr>
        <xdr:cNvSpPr/>
      </xdr:nvSpPr>
      <xdr:spPr>
        <a:xfrm>
          <a:off x="6591300" y="71374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</a:t>
          </a:r>
        </a:p>
      </xdr:txBody>
    </xdr:sp>
    <xdr:clientData/>
  </xdr:twoCellAnchor>
  <xdr:twoCellAnchor>
    <xdr:from>
      <xdr:col>12</xdr:col>
      <xdr:colOff>101600</xdr:colOff>
      <xdr:row>28</xdr:row>
      <xdr:rowOff>12700</xdr:rowOff>
    </xdr:from>
    <xdr:to>
      <xdr:col>12</xdr:col>
      <xdr:colOff>596900</xdr:colOff>
      <xdr:row>30</xdr:row>
      <xdr:rowOff>50800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AE99FFA7-0603-6741-95F8-9DBCE25A21B1}"/>
            </a:ext>
          </a:extLst>
        </xdr:cNvPr>
        <xdr:cNvSpPr/>
      </xdr:nvSpPr>
      <xdr:spPr>
        <a:xfrm>
          <a:off x="7531100" y="5702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9</xdr:col>
      <xdr:colOff>304800</xdr:colOff>
      <xdr:row>37</xdr:row>
      <xdr:rowOff>127000</xdr:rowOff>
    </xdr:from>
    <xdr:to>
      <xdr:col>10</xdr:col>
      <xdr:colOff>749300</xdr:colOff>
      <xdr:row>37</xdr:row>
      <xdr:rowOff>127000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13F94D04-24A2-C94A-9849-68319465765F}"/>
            </a:ext>
          </a:extLst>
        </xdr:cNvPr>
        <xdr:cNvCxnSpPr/>
      </xdr:nvCxnSpPr>
      <xdr:spPr>
        <a:xfrm>
          <a:off x="5257800" y="76454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762000</xdr:colOff>
      <xdr:row>35</xdr:row>
      <xdr:rowOff>25400</xdr:rowOff>
    </xdr:from>
    <xdr:to>
      <xdr:col>10</xdr:col>
      <xdr:colOff>431800</xdr:colOff>
      <xdr:row>37</xdr:row>
      <xdr:rowOff>63500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2449B69-E17D-4046-B4F2-27B204432E74}"/>
            </a:ext>
          </a:extLst>
        </xdr:cNvPr>
        <xdr:cNvSpPr/>
      </xdr:nvSpPr>
      <xdr:spPr>
        <a:xfrm>
          <a:off x="5715000" y="71374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13</xdr:col>
      <xdr:colOff>63500</xdr:colOff>
      <xdr:row>37</xdr:row>
      <xdr:rowOff>152400</xdr:rowOff>
    </xdr:from>
    <xdr:to>
      <xdr:col>14</xdr:col>
      <xdr:colOff>508000</xdr:colOff>
      <xdr:row>37</xdr:row>
      <xdr:rowOff>152400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0B050EA-4929-8744-802C-86A4F245E803}"/>
            </a:ext>
          </a:extLst>
        </xdr:cNvPr>
        <xdr:cNvCxnSpPr/>
      </xdr:nvCxnSpPr>
      <xdr:spPr>
        <a:xfrm>
          <a:off x="8318500" y="76708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35</xdr:row>
      <xdr:rowOff>114300</xdr:rowOff>
    </xdr:from>
    <xdr:to>
      <xdr:col>16</xdr:col>
      <xdr:colOff>601181</xdr:colOff>
      <xdr:row>40</xdr:row>
      <xdr:rowOff>198491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C3E10EDE-BA22-6840-AD2D-BD1A1F9DA226}"/>
            </a:ext>
          </a:extLst>
        </xdr:cNvPr>
        <xdr:cNvSpPr/>
      </xdr:nvSpPr>
      <xdr:spPr>
        <a:xfrm>
          <a:off x="9652000" y="72263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Pressure Reducer</a:t>
          </a:r>
        </a:p>
      </xdr:txBody>
    </xdr:sp>
    <xdr:clientData/>
  </xdr:twoCellAnchor>
  <xdr:twoCellAnchor>
    <xdr:from>
      <xdr:col>13</xdr:col>
      <xdr:colOff>393700</xdr:colOff>
      <xdr:row>35</xdr:row>
      <xdr:rowOff>63500</xdr:rowOff>
    </xdr:from>
    <xdr:to>
      <xdr:col>14</xdr:col>
      <xdr:colOff>63500</xdr:colOff>
      <xdr:row>37</xdr:row>
      <xdr:rowOff>101600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B28877B4-C9A9-9543-846E-A50850F898EA}"/>
            </a:ext>
          </a:extLst>
        </xdr:cNvPr>
        <xdr:cNvSpPr/>
      </xdr:nvSpPr>
      <xdr:spPr>
        <a:xfrm>
          <a:off x="8648700" y="71755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16</xdr:col>
      <xdr:colOff>723900</xdr:colOff>
      <xdr:row>38</xdr:row>
      <xdr:rowOff>0</xdr:rowOff>
    </xdr:from>
    <xdr:to>
      <xdr:col>18</xdr:col>
      <xdr:colOff>342900</xdr:colOff>
      <xdr:row>38</xdr:row>
      <xdr:rowOff>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68D35F48-44DF-2142-9C7B-A60B7C8E6B7C}"/>
            </a:ext>
          </a:extLst>
        </xdr:cNvPr>
        <xdr:cNvCxnSpPr/>
      </xdr:nvCxnSpPr>
      <xdr:spPr>
        <a:xfrm>
          <a:off x="11455400" y="77216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469900</xdr:colOff>
      <xdr:row>35</xdr:row>
      <xdr:rowOff>114300</xdr:rowOff>
    </xdr:from>
    <xdr:to>
      <xdr:col>20</xdr:col>
      <xdr:colOff>499581</xdr:colOff>
      <xdr:row>40</xdr:row>
      <xdr:rowOff>198491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29D9139F-33BE-8643-B150-BD5734A34672}"/>
            </a:ext>
          </a:extLst>
        </xdr:cNvPr>
        <xdr:cNvSpPr/>
      </xdr:nvSpPr>
      <xdr:spPr>
        <a:xfrm>
          <a:off x="12852400" y="7226300"/>
          <a:ext cx="1680681" cy="11001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17</xdr:col>
      <xdr:colOff>342900</xdr:colOff>
      <xdr:row>35</xdr:row>
      <xdr:rowOff>114300</xdr:rowOff>
    </xdr:from>
    <xdr:to>
      <xdr:col>18</xdr:col>
      <xdr:colOff>12700</xdr:colOff>
      <xdr:row>37</xdr:row>
      <xdr:rowOff>152400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D9CAE2F-6889-AE47-A456-E691BFEA4CFB}"/>
            </a:ext>
          </a:extLst>
        </xdr:cNvPr>
        <xdr:cNvSpPr/>
      </xdr:nvSpPr>
      <xdr:spPr>
        <a:xfrm>
          <a:off x="11899900" y="72263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20</xdr:col>
      <xdr:colOff>558800</xdr:colOff>
      <xdr:row>38</xdr:row>
      <xdr:rowOff>0</xdr:rowOff>
    </xdr:from>
    <xdr:to>
      <xdr:col>22</xdr:col>
      <xdr:colOff>177800</xdr:colOff>
      <xdr:row>38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DFCA228-CA90-2544-B5E3-28D579266BF6}"/>
            </a:ext>
          </a:extLst>
        </xdr:cNvPr>
        <xdr:cNvCxnSpPr/>
      </xdr:nvCxnSpPr>
      <xdr:spPr>
        <a:xfrm>
          <a:off x="14592300" y="772160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558800</xdr:colOff>
      <xdr:row>41</xdr:row>
      <xdr:rowOff>76200</xdr:rowOff>
    </xdr:from>
    <xdr:to>
      <xdr:col>19</xdr:col>
      <xdr:colOff>558800</xdr:colOff>
      <xdr:row>46</xdr:row>
      <xdr:rowOff>50800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1D92322-0F38-FA49-9E95-ED4D7A1B7AB7}"/>
            </a:ext>
          </a:extLst>
        </xdr:cNvPr>
        <xdr:cNvCxnSpPr/>
      </xdr:nvCxnSpPr>
      <xdr:spPr>
        <a:xfrm flipV="1">
          <a:off x="13766800" y="8407400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43</xdr:row>
      <xdr:rowOff>0</xdr:rowOff>
    </xdr:from>
    <xdr:to>
      <xdr:col>19</xdr:col>
      <xdr:colOff>495300</xdr:colOff>
      <xdr:row>45</xdr:row>
      <xdr:rowOff>38100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65233EA2-A4D0-F643-85C3-EB61399E3333}"/>
            </a:ext>
          </a:extLst>
        </xdr:cNvPr>
        <xdr:cNvSpPr/>
      </xdr:nvSpPr>
      <xdr:spPr>
        <a:xfrm>
          <a:off x="13208000" y="87376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21</xdr:col>
      <xdr:colOff>0</xdr:colOff>
      <xdr:row>35</xdr:row>
      <xdr:rowOff>127000</xdr:rowOff>
    </xdr:from>
    <xdr:to>
      <xdr:col>21</xdr:col>
      <xdr:colOff>495300</xdr:colOff>
      <xdr:row>37</xdr:row>
      <xdr:rowOff>165100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79C12C-2DCE-774C-968A-6269CCC8B264}"/>
            </a:ext>
          </a:extLst>
        </xdr:cNvPr>
        <xdr:cNvSpPr/>
      </xdr:nvSpPr>
      <xdr:spPr>
        <a:xfrm>
          <a:off x="14859000" y="7239000"/>
          <a:ext cx="495300" cy="4445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  <xdr:twoCellAnchor editAs="oneCell">
    <xdr:from>
      <xdr:col>3</xdr:col>
      <xdr:colOff>317500</xdr:colOff>
      <xdr:row>7</xdr:row>
      <xdr:rowOff>104076</xdr:rowOff>
    </xdr:from>
    <xdr:to>
      <xdr:col>9</xdr:col>
      <xdr:colOff>356628</xdr:colOff>
      <xdr:row>18</xdr:row>
      <xdr:rowOff>2095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AC964F6-04B5-EE47-94EE-97FEDA567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2794" y="1542164"/>
          <a:ext cx="4969715" cy="2149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5</xdr:row>
      <xdr:rowOff>12700</xdr:rowOff>
    </xdr:from>
    <xdr:to>
      <xdr:col>10</xdr:col>
      <xdr:colOff>590948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A978F-94C2-A34C-A9F4-E827F0B26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231900"/>
          <a:ext cx="5531247" cy="22987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15</xdr:col>
      <xdr:colOff>24977</xdr:colOff>
      <xdr:row>9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6E95E64-7BF3-9644-A89B-E075D007E3E8}"/>
            </a:ext>
          </a:extLst>
        </xdr:cNvPr>
        <xdr:cNvSpPr/>
      </xdr:nvSpPr>
      <xdr:spPr>
        <a:xfrm>
          <a:off x="11557000" y="10160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 under argon</a:t>
          </a:r>
          <a:r>
            <a:rPr lang="en-US" sz="2000" baseline="0">
              <a:solidFill>
                <a:schemeClr val="bg1"/>
              </a:solidFill>
            </a:rPr>
            <a:t> atmosphere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139700</xdr:colOff>
      <xdr:row>6</xdr:row>
      <xdr:rowOff>152400</xdr:rowOff>
    </xdr:from>
    <xdr:to>
      <xdr:col>12</xdr:col>
      <xdr:colOff>786977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0F13FD7-571D-D747-B649-A607FE34828B}"/>
            </a:ext>
          </a:extLst>
        </xdr:cNvPr>
        <xdr:cNvCxnSpPr/>
      </xdr:nvCxnSpPr>
      <xdr:spPr>
        <a:xfrm>
          <a:off x="10045700" y="1574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4</xdr:row>
      <xdr:rowOff>127000</xdr:rowOff>
    </xdr:from>
    <xdr:to>
      <xdr:col>12</xdr:col>
      <xdr:colOff>393700</xdr:colOff>
      <xdr:row>6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9DC475-FD9C-7843-9F36-68B2DFECCE57}"/>
            </a:ext>
          </a:extLst>
        </xdr:cNvPr>
        <xdr:cNvSpPr/>
      </xdr:nvSpPr>
      <xdr:spPr>
        <a:xfrm>
          <a:off x="10744200" y="1143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8</xdr:row>
      <xdr:rowOff>63500</xdr:rowOff>
    </xdr:from>
    <xdr:to>
      <xdr:col>12</xdr:col>
      <xdr:colOff>812377</xdr:colOff>
      <xdr:row>8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11A0FD-D79D-A44F-87A6-C78D265DB63F}"/>
            </a:ext>
          </a:extLst>
        </xdr:cNvPr>
        <xdr:cNvCxnSpPr/>
      </xdr:nvCxnSpPr>
      <xdr:spPr>
        <a:xfrm>
          <a:off x="10071100" y="1892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</xdr:row>
      <xdr:rowOff>114300</xdr:rowOff>
    </xdr:from>
    <xdr:to>
      <xdr:col>12</xdr:col>
      <xdr:colOff>419100</xdr:colOff>
      <xdr:row>10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B46785-EEEF-0740-9D93-7050BAF7C747}"/>
            </a:ext>
          </a:extLst>
        </xdr:cNvPr>
        <xdr:cNvSpPr/>
      </xdr:nvSpPr>
      <xdr:spPr>
        <a:xfrm>
          <a:off x="10769600" y="19431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12700</xdr:colOff>
      <xdr:row>0</xdr:row>
      <xdr:rowOff>152400</xdr:rowOff>
    </xdr:from>
    <xdr:to>
      <xdr:col>14</xdr:col>
      <xdr:colOff>12700</xdr:colOff>
      <xdr:row>3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F0CCE80-1B06-0C45-BBEB-61F9B3FF184C}"/>
            </a:ext>
          </a:extLst>
        </xdr:cNvPr>
        <xdr:cNvCxnSpPr/>
      </xdr:nvCxnSpPr>
      <xdr:spPr>
        <a:xfrm>
          <a:off x="12395200" y="152400"/>
          <a:ext cx="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</xdr:row>
      <xdr:rowOff>0</xdr:rowOff>
    </xdr:from>
    <xdr:to>
      <xdr:col>14</xdr:col>
      <xdr:colOff>508000</xdr:colOff>
      <xdr:row>2</xdr:row>
      <xdr:rowOff>180988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3CC618B-82B6-A349-926C-E40886C904F0}"/>
            </a:ext>
          </a:extLst>
        </xdr:cNvPr>
        <xdr:cNvSpPr/>
      </xdr:nvSpPr>
      <xdr:spPr>
        <a:xfrm>
          <a:off x="12509500" y="406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76200</xdr:colOff>
      <xdr:row>6</xdr:row>
      <xdr:rowOff>165100</xdr:rowOff>
    </xdr:from>
    <xdr:to>
      <xdr:col>16</xdr:col>
      <xdr:colOff>723477</xdr:colOff>
      <xdr:row>6</xdr:row>
      <xdr:rowOff>165100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D4FA2C-34A5-E14C-A8F5-4FE0991C5A4D}"/>
            </a:ext>
          </a:extLst>
        </xdr:cNvPr>
        <xdr:cNvCxnSpPr/>
      </xdr:nvCxnSpPr>
      <xdr:spPr>
        <a:xfrm>
          <a:off x="13284200" y="15875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50800</xdr:colOff>
      <xdr:row>3</xdr:row>
      <xdr:rowOff>177800</xdr:rowOff>
    </xdr:from>
    <xdr:to>
      <xdr:col>19</xdr:col>
      <xdr:colOff>75777</xdr:colOff>
      <xdr:row>9</xdr:row>
      <xdr:rowOff>62554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447ACDE-F5CA-544C-88BD-1FA8EF49697C}"/>
            </a:ext>
          </a:extLst>
        </xdr:cNvPr>
        <xdr:cNvSpPr/>
      </xdr:nvSpPr>
      <xdr:spPr>
        <a:xfrm>
          <a:off x="14909800" y="990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  <a:r>
            <a:rPr lang="en-US" sz="2000" baseline="0">
              <a:solidFill>
                <a:schemeClr val="bg1"/>
              </a:solidFill>
            </a:rPr>
            <a:t> and Stirrer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152400</xdr:colOff>
      <xdr:row>6</xdr:row>
      <xdr:rowOff>139700</xdr:rowOff>
    </xdr:from>
    <xdr:to>
      <xdr:col>20</xdr:col>
      <xdr:colOff>799677</xdr:colOff>
      <xdr:row>6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4FD7B6-7170-B644-A305-EBC99BC90354}"/>
            </a:ext>
          </a:extLst>
        </xdr:cNvPr>
        <xdr:cNvCxnSpPr/>
      </xdr:nvCxnSpPr>
      <xdr:spPr>
        <a:xfrm>
          <a:off x="16662400" y="15621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698500</xdr:colOff>
      <xdr:row>4</xdr:row>
      <xdr:rowOff>127000</xdr:rowOff>
    </xdr:from>
    <xdr:to>
      <xdr:col>16</xdr:col>
      <xdr:colOff>254000</xdr:colOff>
      <xdr:row>6</xdr:row>
      <xdr:rowOff>104788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434EAA3-18E3-8D41-8546-0D06D2285E12}"/>
            </a:ext>
          </a:extLst>
        </xdr:cNvPr>
        <xdr:cNvSpPr/>
      </xdr:nvSpPr>
      <xdr:spPr>
        <a:xfrm>
          <a:off x="13906500" y="1143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711200</xdr:colOff>
      <xdr:row>4</xdr:row>
      <xdr:rowOff>76200</xdr:rowOff>
    </xdr:from>
    <xdr:to>
      <xdr:col>20</xdr:col>
      <xdr:colOff>266700</xdr:colOff>
      <xdr:row>6</xdr:row>
      <xdr:rowOff>53988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C4FB5B0-F0F5-8A44-95E1-859FE0A2BE48}"/>
            </a:ext>
          </a:extLst>
        </xdr:cNvPr>
        <xdr:cNvSpPr/>
      </xdr:nvSpPr>
      <xdr:spPr>
        <a:xfrm>
          <a:off x="17221200" y="1092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12700</xdr:colOff>
      <xdr:row>4</xdr:row>
      <xdr:rowOff>12700</xdr:rowOff>
    </xdr:from>
    <xdr:to>
      <xdr:col>23</xdr:col>
      <xdr:colOff>37677</xdr:colOff>
      <xdr:row>9</xdr:row>
      <xdr:rowOff>100654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FB2CB6A-1001-AB49-AD02-2B949F3AB909}"/>
            </a:ext>
          </a:extLst>
        </xdr:cNvPr>
        <xdr:cNvSpPr/>
      </xdr:nvSpPr>
      <xdr:spPr>
        <a:xfrm>
          <a:off x="18173700" y="10287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22</xdr:col>
      <xdr:colOff>0</xdr:colOff>
      <xdr:row>10</xdr:row>
      <xdr:rowOff>12700</xdr:rowOff>
    </xdr:from>
    <xdr:to>
      <xdr:col>22</xdr:col>
      <xdr:colOff>12277</xdr:colOff>
      <xdr:row>15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6BFF3F-ACA6-8B4A-92BD-B752A5E90670}"/>
            </a:ext>
          </a:extLst>
        </xdr:cNvPr>
        <xdr:cNvCxnSpPr/>
      </xdr:nvCxnSpPr>
      <xdr:spPr>
        <a:xfrm flipV="1">
          <a:off x="18986500" y="22479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11</xdr:row>
      <xdr:rowOff>190500</xdr:rowOff>
    </xdr:from>
    <xdr:to>
      <xdr:col>22</xdr:col>
      <xdr:colOff>520700</xdr:colOff>
      <xdr:row>13</xdr:row>
      <xdr:rowOff>168288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65CC1841-B981-834A-A651-9F7DC04899BC}"/>
            </a:ext>
          </a:extLst>
        </xdr:cNvPr>
        <xdr:cNvSpPr/>
      </xdr:nvSpPr>
      <xdr:spPr>
        <a:xfrm>
          <a:off x="19126200" y="26289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0</xdr:colOff>
      <xdr:row>4</xdr:row>
      <xdr:rowOff>50800</xdr:rowOff>
    </xdr:from>
    <xdr:to>
      <xdr:col>27</xdr:col>
      <xdr:colOff>24977</xdr:colOff>
      <xdr:row>9</xdr:row>
      <xdr:rowOff>138754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D0CE3FC-0EAC-5942-84B7-FB8DA73B5EA1}"/>
            </a:ext>
          </a:extLst>
        </xdr:cNvPr>
        <xdr:cNvSpPr/>
      </xdr:nvSpPr>
      <xdr:spPr>
        <a:xfrm>
          <a:off x="21463000" y="1066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23</xdr:col>
      <xdr:colOff>139700</xdr:colOff>
      <xdr:row>6</xdr:row>
      <xdr:rowOff>152400</xdr:rowOff>
    </xdr:from>
    <xdr:to>
      <xdr:col>24</xdr:col>
      <xdr:colOff>786977</xdr:colOff>
      <xdr:row>6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4267BA-E6D3-2E4A-8915-8B6EE49BD14D}"/>
            </a:ext>
          </a:extLst>
        </xdr:cNvPr>
        <xdr:cNvCxnSpPr/>
      </xdr:nvCxnSpPr>
      <xdr:spPr>
        <a:xfrm>
          <a:off x="19951700" y="1574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723900</xdr:colOff>
      <xdr:row>4</xdr:row>
      <xdr:rowOff>101600</xdr:rowOff>
    </xdr:from>
    <xdr:to>
      <xdr:col>24</xdr:col>
      <xdr:colOff>279400</xdr:colOff>
      <xdr:row>6</xdr:row>
      <xdr:rowOff>79388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559913F-7747-384C-9756-BA4293F32677}"/>
            </a:ext>
          </a:extLst>
        </xdr:cNvPr>
        <xdr:cNvSpPr/>
      </xdr:nvSpPr>
      <xdr:spPr>
        <a:xfrm>
          <a:off x="20535900" y="11176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76200</xdr:colOff>
      <xdr:row>7</xdr:row>
      <xdr:rowOff>25400</xdr:rowOff>
    </xdr:from>
    <xdr:to>
      <xdr:col>28</xdr:col>
      <xdr:colOff>800100</xdr:colOff>
      <xdr:row>7</xdr:row>
      <xdr:rowOff>38100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533D649-23F5-C645-9FD0-71CEF7C5E9ED}"/>
            </a:ext>
          </a:extLst>
        </xdr:cNvPr>
        <xdr:cNvCxnSpPr/>
      </xdr:nvCxnSpPr>
      <xdr:spPr>
        <a:xfrm flipH="1" flipV="1">
          <a:off x="23190200" y="1651000"/>
          <a:ext cx="1549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7</xdr:row>
      <xdr:rowOff>38100</xdr:rowOff>
    </xdr:from>
    <xdr:to>
      <xdr:col>28</xdr:col>
      <xdr:colOff>113877</xdr:colOff>
      <xdr:row>12</xdr:row>
      <xdr:rowOff>165100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9419089-8355-234E-A345-FD4768BE7FB2}"/>
            </a:ext>
          </a:extLst>
        </xdr:cNvPr>
        <xdr:cNvCxnSpPr/>
      </xdr:nvCxnSpPr>
      <xdr:spPr>
        <a:xfrm flipV="1">
          <a:off x="24041100" y="16637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520700</xdr:colOff>
      <xdr:row>4</xdr:row>
      <xdr:rowOff>152400</xdr:rowOff>
    </xdr:from>
    <xdr:to>
      <xdr:col>29</xdr:col>
      <xdr:colOff>76200</xdr:colOff>
      <xdr:row>6</xdr:row>
      <xdr:rowOff>130188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BB04CD5-5947-D440-86CC-8FCF1DB927F9}"/>
            </a:ext>
          </a:extLst>
        </xdr:cNvPr>
        <xdr:cNvSpPr/>
      </xdr:nvSpPr>
      <xdr:spPr>
        <a:xfrm>
          <a:off x="24460200" y="1168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28</xdr:col>
      <xdr:colOff>254000</xdr:colOff>
      <xdr:row>9</xdr:row>
      <xdr:rowOff>50800</xdr:rowOff>
    </xdr:from>
    <xdr:to>
      <xdr:col>28</xdr:col>
      <xdr:colOff>635000</xdr:colOff>
      <xdr:row>11</xdr:row>
      <xdr:rowOff>28588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524930E-BFB0-5341-9AFF-E950F418F611}"/>
            </a:ext>
          </a:extLst>
        </xdr:cNvPr>
        <xdr:cNvSpPr/>
      </xdr:nvSpPr>
      <xdr:spPr>
        <a:xfrm>
          <a:off x="24193500" y="2082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27</xdr:col>
      <xdr:colOff>152400</xdr:colOff>
      <xdr:row>4</xdr:row>
      <xdr:rowOff>152400</xdr:rowOff>
    </xdr:from>
    <xdr:to>
      <xdr:col>27</xdr:col>
      <xdr:colOff>622300</xdr:colOff>
      <xdr:row>6</xdr:row>
      <xdr:rowOff>130188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43E012E3-03AC-174B-8D11-3CF36260A6C5}"/>
            </a:ext>
          </a:extLst>
        </xdr:cNvPr>
        <xdr:cNvSpPr/>
      </xdr:nvSpPr>
      <xdr:spPr>
        <a:xfrm>
          <a:off x="23266400" y="1168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26</xdr:col>
      <xdr:colOff>1</xdr:colOff>
      <xdr:row>10</xdr:row>
      <xdr:rowOff>0</xdr:rowOff>
    </xdr:from>
    <xdr:to>
      <xdr:col>26</xdr:col>
      <xdr:colOff>12700</xdr:colOff>
      <xdr:row>19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947645B-261E-1D47-BC2A-4DA0815C4753}"/>
            </a:ext>
          </a:extLst>
        </xdr:cNvPr>
        <xdr:cNvCxnSpPr/>
      </xdr:nvCxnSpPr>
      <xdr:spPr>
        <a:xfrm>
          <a:off x="22288501" y="2235200"/>
          <a:ext cx="12699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25400</xdr:colOff>
      <xdr:row>19</xdr:row>
      <xdr:rowOff>152400</xdr:rowOff>
    </xdr:from>
    <xdr:to>
      <xdr:col>27</xdr:col>
      <xdr:colOff>50377</xdr:colOff>
      <xdr:row>25</xdr:row>
      <xdr:rowOff>37154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7D77BD-4BAA-2343-81E5-56D2FD74811C}"/>
            </a:ext>
          </a:extLst>
        </xdr:cNvPr>
        <xdr:cNvSpPr/>
      </xdr:nvSpPr>
      <xdr:spPr>
        <a:xfrm>
          <a:off x="21488400" y="42164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127000</xdr:colOff>
      <xdr:row>13</xdr:row>
      <xdr:rowOff>127000</xdr:rowOff>
    </xdr:from>
    <xdr:to>
      <xdr:col>26</xdr:col>
      <xdr:colOff>609600</xdr:colOff>
      <xdr:row>15</xdr:row>
      <xdr:rowOff>104788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EF5A082-595C-5E48-8950-44C838ABF70E}"/>
            </a:ext>
          </a:extLst>
        </xdr:cNvPr>
        <xdr:cNvSpPr/>
      </xdr:nvSpPr>
      <xdr:spPr>
        <a:xfrm>
          <a:off x="22415500" y="29718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23</xdr:col>
      <xdr:colOff>215900</xdr:colOff>
      <xdr:row>22</xdr:row>
      <xdr:rowOff>127000</xdr:rowOff>
    </xdr:from>
    <xdr:to>
      <xdr:col>24</xdr:col>
      <xdr:colOff>787400</xdr:colOff>
      <xdr:row>22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221B937-720F-9146-8460-03E7B27F2074}"/>
            </a:ext>
          </a:extLst>
        </xdr:cNvPr>
        <xdr:cNvCxnSpPr/>
      </xdr:nvCxnSpPr>
      <xdr:spPr>
        <a:xfrm flipH="1">
          <a:off x="20027900" y="48006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20</xdr:row>
      <xdr:rowOff>63500</xdr:rowOff>
    </xdr:from>
    <xdr:to>
      <xdr:col>23</xdr:col>
      <xdr:colOff>151977</xdr:colOff>
      <xdr:row>25</xdr:row>
      <xdr:rowOff>151454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C2DF98F5-0F66-A141-B551-EBE5240C325D}"/>
            </a:ext>
          </a:extLst>
        </xdr:cNvPr>
        <xdr:cNvSpPr/>
      </xdr:nvSpPr>
      <xdr:spPr>
        <a:xfrm>
          <a:off x="18288000" y="43307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Slurried</a:t>
          </a:r>
        </a:p>
      </xdr:txBody>
    </xdr:sp>
    <xdr:clientData/>
  </xdr:twoCellAnchor>
  <xdr:twoCellAnchor>
    <xdr:from>
      <xdr:col>22</xdr:col>
      <xdr:colOff>152400</xdr:colOff>
      <xdr:row>25</xdr:row>
      <xdr:rowOff>190500</xdr:rowOff>
    </xdr:from>
    <xdr:to>
      <xdr:col>22</xdr:col>
      <xdr:colOff>164677</xdr:colOff>
      <xdr:row>31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082BCF7-6CCF-A746-B939-4D770F2DC421}"/>
            </a:ext>
          </a:extLst>
        </xdr:cNvPr>
        <xdr:cNvCxnSpPr/>
      </xdr:nvCxnSpPr>
      <xdr:spPr>
        <a:xfrm flipV="1">
          <a:off x="19138900" y="5473700"/>
          <a:ext cx="12277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723900</xdr:colOff>
      <xdr:row>20</xdr:row>
      <xdr:rowOff>50800</xdr:rowOff>
    </xdr:from>
    <xdr:to>
      <xdr:col>24</xdr:col>
      <xdr:colOff>381000</xdr:colOff>
      <xdr:row>22</xdr:row>
      <xdr:rowOff>28588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849C8DD-A0F7-7A45-9E42-2632AFFCCF0E}"/>
            </a:ext>
          </a:extLst>
        </xdr:cNvPr>
        <xdr:cNvSpPr/>
      </xdr:nvSpPr>
      <xdr:spPr>
        <a:xfrm>
          <a:off x="20535900" y="43180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22</xdr:col>
      <xdr:colOff>241300</xdr:colOff>
      <xdr:row>27</xdr:row>
      <xdr:rowOff>177800</xdr:rowOff>
    </xdr:from>
    <xdr:to>
      <xdr:col>22</xdr:col>
      <xdr:colOff>723900</xdr:colOff>
      <xdr:row>29</xdr:row>
      <xdr:rowOff>155588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FD1EB19A-C974-5242-9A74-C676850CDDA5}"/>
            </a:ext>
          </a:extLst>
        </xdr:cNvPr>
        <xdr:cNvSpPr/>
      </xdr:nvSpPr>
      <xdr:spPr>
        <a:xfrm>
          <a:off x="19227800" y="5867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19</xdr:col>
      <xdr:colOff>317500</xdr:colOff>
      <xdr:row>22</xdr:row>
      <xdr:rowOff>165100</xdr:rowOff>
    </xdr:from>
    <xdr:to>
      <xdr:col>21</xdr:col>
      <xdr:colOff>63500</xdr:colOff>
      <xdr:row>22</xdr:row>
      <xdr:rowOff>165100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720D9FEB-4F8A-D64C-8BA8-AFF53403DAA2}"/>
            </a:ext>
          </a:extLst>
        </xdr:cNvPr>
        <xdr:cNvCxnSpPr/>
      </xdr:nvCxnSpPr>
      <xdr:spPr>
        <a:xfrm flipH="1">
          <a:off x="16827500" y="48387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20</xdr:row>
      <xdr:rowOff>139700</xdr:rowOff>
    </xdr:from>
    <xdr:to>
      <xdr:col>19</xdr:col>
      <xdr:colOff>215477</xdr:colOff>
      <xdr:row>26</xdr:row>
      <xdr:rowOff>24454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3CD2FB7-E3A1-0945-8B7B-DE6C7BD2769A}"/>
            </a:ext>
          </a:extLst>
        </xdr:cNvPr>
        <xdr:cNvSpPr/>
      </xdr:nvSpPr>
      <xdr:spPr>
        <a:xfrm>
          <a:off x="15049500" y="4406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Decant</a:t>
          </a:r>
        </a:p>
      </xdr:txBody>
    </xdr:sp>
    <xdr:clientData/>
  </xdr:twoCellAnchor>
  <xdr:twoCellAnchor>
    <xdr:from>
      <xdr:col>15</xdr:col>
      <xdr:colOff>393700</xdr:colOff>
      <xdr:row>23</xdr:row>
      <xdr:rowOff>0</xdr:rowOff>
    </xdr:from>
    <xdr:to>
      <xdr:col>17</xdr:col>
      <xdr:colOff>139700</xdr:colOff>
      <xdr:row>23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D90001A-D1F9-F946-A263-99BD45911226}"/>
            </a:ext>
          </a:extLst>
        </xdr:cNvPr>
        <xdr:cNvCxnSpPr/>
      </xdr:nvCxnSpPr>
      <xdr:spPr>
        <a:xfrm flipH="1">
          <a:off x="13601700" y="4876800"/>
          <a:ext cx="139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26</xdr:row>
      <xdr:rowOff>76200</xdr:rowOff>
    </xdr:from>
    <xdr:to>
      <xdr:col>18</xdr:col>
      <xdr:colOff>228600</xdr:colOff>
      <xdr:row>32</xdr:row>
      <xdr:rowOff>50800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A0A0C68-4742-3F44-AE87-140B12E558B0}"/>
            </a:ext>
          </a:extLst>
        </xdr:cNvPr>
        <xdr:cNvCxnSpPr/>
      </xdr:nvCxnSpPr>
      <xdr:spPr>
        <a:xfrm>
          <a:off x="15913100" y="5562600"/>
          <a:ext cx="0" cy="119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20</xdr:row>
      <xdr:rowOff>76200</xdr:rowOff>
    </xdr:from>
    <xdr:to>
      <xdr:col>20</xdr:col>
      <xdr:colOff>508000</xdr:colOff>
      <xdr:row>22</xdr:row>
      <xdr:rowOff>53988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940E41A-303E-E94F-8D06-F472559A95FE}"/>
            </a:ext>
          </a:extLst>
        </xdr:cNvPr>
        <xdr:cNvSpPr/>
      </xdr:nvSpPr>
      <xdr:spPr>
        <a:xfrm>
          <a:off x="17360900" y="4343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482600</xdr:colOff>
      <xdr:row>22</xdr:row>
      <xdr:rowOff>180988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2C25598-2D5F-5040-A9B0-F5CFE0F7743B}"/>
            </a:ext>
          </a:extLst>
        </xdr:cNvPr>
        <xdr:cNvSpPr/>
      </xdr:nvSpPr>
      <xdr:spPr>
        <a:xfrm>
          <a:off x="14033500" y="44704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18</xdr:col>
      <xdr:colOff>393700</xdr:colOff>
      <xdr:row>28</xdr:row>
      <xdr:rowOff>50800</xdr:rowOff>
    </xdr:from>
    <xdr:to>
      <xdr:col>19</xdr:col>
      <xdr:colOff>50800</xdr:colOff>
      <xdr:row>30</xdr:row>
      <xdr:rowOff>28588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7621994-4DA8-CB48-8FBC-1A823E21C863}"/>
            </a:ext>
          </a:extLst>
        </xdr:cNvPr>
        <xdr:cNvSpPr/>
      </xdr:nvSpPr>
      <xdr:spPr>
        <a:xfrm>
          <a:off x="16078200" y="5943600"/>
          <a:ext cx="4826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13</xdr:col>
      <xdr:colOff>342900</xdr:colOff>
      <xdr:row>20</xdr:row>
      <xdr:rowOff>152400</xdr:rowOff>
    </xdr:from>
    <xdr:to>
      <xdr:col>15</xdr:col>
      <xdr:colOff>367877</xdr:colOff>
      <xdr:row>26</xdr:row>
      <xdr:rowOff>37154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D968CB9-43AD-8647-BB24-33D695B802B5}"/>
            </a:ext>
          </a:extLst>
        </xdr:cNvPr>
        <xdr:cNvSpPr/>
      </xdr:nvSpPr>
      <xdr:spPr>
        <a:xfrm>
          <a:off x="11899900" y="4419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11</xdr:col>
      <xdr:colOff>482600</xdr:colOff>
      <xdr:row>23</xdr:row>
      <xdr:rowOff>50800</xdr:rowOff>
    </xdr:from>
    <xdr:to>
      <xdr:col>13</xdr:col>
      <xdr:colOff>304377</xdr:colOff>
      <xdr:row>23</xdr:row>
      <xdr:rowOff>50800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22045F1-F96B-2242-8C31-E02BC6108738}"/>
            </a:ext>
          </a:extLst>
        </xdr:cNvPr>
        <xdr:cNvCxnSpPr/>
      </xdr:nvCxnSpPr>
      <xdr:spPr>
        <a:xfrm>
          <a:off x="10388600" y="49276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21</xdr:row>
      <xdr:rowOff>12700</xdr:rowOff>
    </xdr:from>
    <xdr:to>
      <xdr:col>12</xdr:col>
      <xdr:colOff>749300</xdr:colOff>
      <xdr:row>22</xdr:row>
      <xdr:rowOff>193688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4BCB0DE-8B01-E246-AF18-BF808D31EEAB}"/>
            </a:ext>
          </a:extLst>
        </xdr:cNvPr>
        <xdr:cNvSpPr/>
      </xdr:nvSpPr>
      <xdr:spPr>
        <a:xfrm>
          <a:off x="10960100" y="44831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14</xdr:col>
      <xdr:colOff>355600</xdr:colOff>
      <xdr:row>26</xdr:row>
      <xdr:rowOff>114300</xdr:rowOff>
    </xdr:from>
    <xdr:to>
      <xdr:col>14</xdr:col>
      <xdr:colOff>368300</xdr:colOff>
      <xdr:row>37</xdr:row>
      <xdr:rowOff>139700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127C3EF-66E1-BF49-9865-6609BB14AFB3}"/>
            </a:ext>
          </a:extLst>
        </xdr:cNvPr>
        <xdr:cNvCxnSpPr/>
      </xdr:nvCxnSpPr>
      <xdr:spPr>
        <a:xfrm flipH="1">
          <a:off x="12738100" y="5600700"/>
          <a:ext cx="12700" cy="226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393700</xdr:colOff>
      <xdr:row>37</xdr:row>
      <xdr:rowOff>177800</xdr:rowOff>
    </xdr:from>
    <xdr:to>
      <xdr:col>15</xdr:col>
      <xdr:colOff>418677</xdr:colOff>
      <xdr:row>43</xdr:row>
      <xdr:rowOff>62554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14A4ED5-A555-CD42-B9D8-C33DB1FD58A9}"/>
            </a:ext>
          </a:extLst>
        </xdr:cNvPr>
        <xdr:cNvSpPr/>
      </xdr:nvSpPr>
      <xdr:spPr>
        <a:xfrm>
          <a:off x="11950700" y="78994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12</xdr:col>
      <xdr:colOff>254000</xdr:colOff>
      <xdr:row>40</xdr:row>
      <xdr:rowOff>114300</xdr:rowOff>
    </xdr:from>
    <xdr:to>
      <xdr:col>12</xdr:col>
      <xdr:colOff>774700</xdr:colOff>
      <xdr:row>42</xdr:row>
      <xdr:rowOff>92088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2221E65-B2D9-E647-B6C2-B86CE5942DA1}"/>
            </a:ext>
          </a:extLst>
        </xdr:cNvPr>
        <xdr:cNvSpPr/>
      </xdr:nvSpPr>
      <xdr:spPr>
        <a:xfrm>
          <a:off x="10985500" y="84455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11</xdr:col>
      <xdr:colOff>546100</xdr:colOff>
      <xdr:row>40</xdr:row>
      <xdr:rowOff>38100</xdr:rowOff>
    </xdr:from>
    <xdr:to>
      <xdr:col>13</xdr:col>
      <xdr:colOff>367877</xdr:colOff>
      <xdr:row>40</xdr:row>
      <xdr:rowOff>38100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586AEED-3937-954D-BCE9-6DC527C6A97B}"/>
            </a:ext>
          </a:extLst>
        </xdr:cNvPr>
        <xdr:cNvCxnSpPr/>
      </xdr:nvCxnSpPr>
      <xdr:spPr>
        <a:xfrm>
          <a:off x="10452100" y="8369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40</xdr:row>
      <xdr:rowOff>63500</xdr:rowOff>
    </xdr:from>
    <xdr:to>
      <xdr:col>17</xdr:col>
      <xdr:colOff>291677</xdr:colOff>
      <xdr:row>40</xdr:row>
      <xdr:rowOff>63500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6C641FA-1D87-E84E-B248-939D53745D42}"/>
            </a:ext>
          </a:extLst>
        </xdr:cNvPr>
        <xdr:cNvCxnSpPr/>
      </xdr:nvCxnSpPr>
      <xdr:spPr>
        <a:xfrm>
          <a:off x="13677900" y="8394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37</xdr:row>
      <xdr:rowOff>190500</xdr:rowOff>
    </xdr:from>
    <xdr:to>
      <xdr:col>19</xdr:col>
      <xdr:colOff>342477</xdr:colOff>
      <xdr:row>43</xdr:row>
      <xdr:rowOff>75254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583D8F68-8BB7-074D-A1DD-3DD397C89050}"/>
            </a:ext>
          </a:extLst>
        </xdr:cNvPr>
        <xdr:cNvSpPr/>
      </xdr:nvSpPr>
      <xdr:spPr>
        <a:xfrm>
          <a:off x="15176500" y="7912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19</xdr:col>
      <xdr:colOff>419100</xdr:colOff>
      <xdr:row>40</xdr:row>
      <xdr:rowOff>101600</xdr:rowOff>
    </xdr:from>
    <xdr:to>
      <xdr:col>21</xdr:col>
      <xdr:colOff>240877</xdr:colOff>
      <xdr:row>40</xdr:row>
      <xdr:rowOff>101600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6503540-9407-1342-B6CC-5D2F93FCC688}"/>
            </a:ext>
          </a:extLst>
        </xdr:cNvPr>
        <xdr:cNvCxnSpPr/>
      </xdr:nvCxnSpPr>
      <xdr:spPr>
        <a:xfrm>
          <a:off x="16929100" y="84328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317500</xdr:colOff>
      <xdr:row>38</xdr:row>
      <xdr:rowOff>25400</xdr:rowOff>
    </xdr:from>
    <xdr:to>
      <xdr:col>23</xdr:col>
      <xdr:colOff>342477</xdr:colOff>
      <xdr:row>43</xdr:row>
      <xdr:rowOff>113354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664D365F-A502-6C42-B023-00AF4D8D748D}"/>
            </a:ext>
          </a:extLst>
        </xdr:cNvPr>
        <xdr:cNvSpPr/>
      </xdr:nvSpPr>
      <xdr:spPr>
        <a:xfrm>
          <a:off x="18478500" y="79502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Vacuum Filtration</a:t>
          </a:r>
        </a:p>
      </xdr:txBody>
    </xdr:sp>
    <xdr:clientData/>
  </xdr:twoCellAnchor>
  <xdr:twoCellAnchor>
    <xdr:from>
      <xdr:col>23</xdr:col>
      <xdr:colOff>431800</xdr:colOff>
      <xdr:row>40</xdr:row>
      <xdr:rowOff>165100</xdr:rowOff>
    </xdr:from>
    <xdr:to>
      <xdr:col>25</xdr:col>
      <xdr:colOff>253577</xdr:colOff>
      <xdr:row>40</xdr:row>
      <xdr:rowOff>165100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CC5D16C-4978-FB43-8B5F-26874AD2FF9C}"/>
            </a:ext>
          </a:extLst>
        </xdr:cNvPr>
        <xdr:cNvCxnSpPr/>
      </xdr:nvCxnSpPr>
      <xdr:spPr>
        <a:xfrm>
          <a:off x="20243800" y="8496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38</xdr:row>
      <xdr:rowOff>50800</xdr:rowOff>
    </xdr:from>
    <xdr:to>
      <xdr:col>27</xdr:col>
      <xdr:colOff>342477</xdr:colOff>
      <xdr:row>43</xdr:row>
      <xdr:rowOff>138754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D8ED2A9-30EB-9446-AAE9-C80D003B6C89}"/>
            </a:ext>
          </a:extLst>
        </xdr:cNvPr>
        <xdr:cNvSpPr/>
      </xdr:nvSpPr>
      <xdr:spPr>
        <a:xfrm>
          <a:off x="21780500" y="7975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Oven</a:t>
          </a:r>
          <a:r>
            <a:rPr lang="en-US" sz="2000" baseline="0">
              <a:solidFill>
                <a:schemeClr val="bg1"/>
              </a:solidFill>
            </a:rPr>
            <a:t> Dryer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152400</xdr:colOff>
      <xdr:row>38</xdr:row>
      <xdr:rowOff>25400</xdr:rowOff>
    </xdr:from>
    <xdr:to>
      <xdr:col>16</xdr:col>
      <xdr:colOff>673100</xdr:colOff>
      <xdr:row>40</xdr:row>
      <xdr:rowOff>3188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2E85EB7-3783-B24B-BCB0-8CF3F7E2E3B5}"/>
            </a:ext>
          </a:extLst>
        </xdr:cNvPr>
        <xdr:cNvSpPr/>
      </xdr:nvSpPr>
      <xdr:spPr>
        <a:xfrm>
          <a:off x="14185900" y="79502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20</xdr:col>
      <xdr:colOff>101600</xdr:colOff>
      <xdr:row>38</xdr:row>
      <xdr:rowOff>63500</xdr:rowOff>
    </xdr:from>
    <xdr:to>
      <xdr:col>20</xdr:col>
      <xdr:colOff>622300</xdr:colOff>
      <xdr:row>40</xdr:row>
      <xdr:rowOff>41288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EBCA36D9-1C78-2542-B743-40430C3BEB9F}"/>
            </a:ext>
          </a:extLst>
        </xdr:cNvPr>
        <xdr:cNvSpPr/>
      </xdr:nvSpPr>
      <xdr:spPr>
        <a:xfrm>
          <a:off x="17437100" y="79883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24</xdr:col>
      <xdr:colOff>88900</xdr:colOff>
      <xdr:row>38</xdr:row>
      <xdr:rowOff>127000</xdr:rowOff>
    </xdr:from>
    <xdr:to>
      <xdr:col>24</xdr:col>
      <xdr:colOff>609600</xdr:colOff>
      <xdr:row>40</xdr:row>
      <xdr:rowOff>104788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72F3A416-8DBB-2C47-A016-4B5BF12BB960}"/>
            </a:ext>
          </a:extLst>
        </xdr:cNvPr>
        <xdr:cNvSpPr/>
      </xdr:nvSpPr>
      <xdr:spPr>
        <a:xfrm>
          <a:off x="20726400" y="80518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22</xdr:col>
      <xdr:colOff>355600</xdr:colOff>
      <xdr:row>43</xdr:row>
      <xdr:rowOff>177800</xdr:rowOff>
    </xdr:from>
    <xdr:to>
      <xdr:col>22</xdr:col>
      <xdr:colOff>355600</xdr:colOff>
      <xdr:row>50</xdr:row>
      <xdr:rowOff>177800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3C4F2607-4542-404A-B82A-12C040777E5C}"/>
            </a:ext>
          </a:extLst>
        </xdr:cNvPr>
        <xdr:cNvCxnSpPr/>
      </xdr:nvCxnSpPr>
      <xdr:spPr>
        <a:xfrm>
          <a:off x="19342100" y="9118600"/>
          <a:ext cx="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406400</xdr:colOff>
      <xdr:row>45</xdr:row>
      <xdr:rowOff>165100</xdr:rowOff>
    </xdr:from>
    <xdr:to>
      <xdr:col>23</xdr:col>
      <xdr:colOff>101600</xdr:colOff>
      <xdr:row>47</xdr:row>
      <xdr:rowOff>142888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33DA4335-9207-984D-985D-EAC7C08E1FAC}"/>
            </a:ext>
          </a:extLst>
        </xdr:cNvPr>
        <xdr:cNvSpPr/>
      </xdr:nvSpPr>
      <xdr:spPr>
        <a:xfrm>
          <a:off x="19392900" y="9512300"/>
          <a:ext cx="5207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15</xdr:col>
      <xdr:colOff>0</xdr:colOff>
      <xdr:row>31</xdr:row>
      <xdr:rowOff>0</xdr:rowOff>
    </xdr:from>
    <xdr:to>
      <xdr:col>15</xdr:col>
      <xdr:colOff>520700</xdr:colOff>
      <xdr:row>32</xdr:row>
      <xdr:rowOff>179833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19E9DBF4-C5A1-B24D-8A6D-B69681CFFD40}"/>
            </a:ext>
          </a:extLst>
        </xdr:cNvPr>
        <xdr:cNvSpPr/>
      </xdr:nvSpPr>
      <xdr:spPr>
        <a:xfrm>
          <a:off x="21056023" y="6494318"/>
          <a:ext cx="520700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27</xdr:col>
      <xdr:colOff>389660</xdr:colOff>
      <xdr:row>40</xdr:row>
      <xdr:rowOff>173182</xdr:rowOff>
    </xdr:from>
    <xdr:to>
      <xdr:col>29</xdr:col>
      <xdr:colOff>211436</xdr:colOff>
      <xdr:row>40</xdr:row>
      <xdr:rowOff>173182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EF1DB326-DF1F-4D4B-B7AA-FC5B50BDA61B}"/>
            </a:ext>
          </a:extLst>
        </xdr:cNvPr>
        <xdr:cNvCxnSpPr/>
      </xdr:nvCxnSpPr>
      <xdr:spPr>
        <a:xfrm>
          <a:off x="31317046" y="8485909"/>
          <a:ext cx="14670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736023</xdr:colOff>
      <xdr:row>38</xdr:row>
      <xdr:rowOff>115455</xdr:rowOff>
    </xdr:from>
    <xdr:to>
      <xdr:col>28</xdr:col>
      <xdr:colOff>434109</xdr:colOff>
      <xdr:row>40</xdr:row>
      <xdr:rowOff>93243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63E582C1-158B-544F-BEAB-C7B7096227E9}"/>
            </a:ext>
          </a:extLst>
        </xdr:cNvPr>
        <xdr:cNvSpPr/>
      </xdr:nvSpPr>
      <xdr:spPr>
        <a:xfrm>
          <a:off x="31663409" y="8024091"/>
          <a:ext cx="520700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157843</xdr:colOff>
      <xdr:row>5</xdr:row>
      <xdr:rowOff>13305</xdr:rowOff>
    </xdr:from>
    <xdr:to>
      <xdr:col>10</xdr:col>
      <xdr:colOff>665843</xdr:colOff>
      <xdr:row>15</xdr:row>
      <xdr:rowOff>149073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B752F-D253-BB4E-801B-752D1F6E1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748" y="1041400"/>
          <a:ext cx="5442857" cy="221614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15</xdr:col>
      <xdr:colOff>24977</xdr:colOff>
      <xdr:row>10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4874658-F5C4-EC4B-8A5A-6567056FF9AB}"/>
            </a:ext>
          </a:extLst>
        </xdr:cNvPr>
        <xdr:cNvSpPr/>
      </xdr:nvSpPr>
      <xdr:spPr>
        <a:xfrm>
          <a:off x="19316700" y="812800"/>
          <a:ext cx="1675977" cy="1129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11</xdr:col>
      <xdr:colOff>139700</xdr:colOff>
      <xdr:row>7</xdr:row>
      <xdr:rowOff>152400</xdr:rowOff>
    </xdr:from>
    <xdr:to>
      <xdr:col>12</xdr:col>
      <xdr:colOff>786977</xdr:colOff>
      <xdr:row>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387621C-73BD-4A40-8C49-F2472EAAA782}"/>
            </a:ext>
          </a:extLst>
        </xdr:cNvPr>
        <xdr:cNvCxnSpPr/>
      </xdr:nvCxnSpPr>
      <xdr:spPr>
        <a:xfrm>
          <a:off x="17805400" y="1384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</xdr:row>
      <xdr:rowOff>127000</xdr:rowOff>
    </xdr:from>
    <xdr:to>
      <xdr:col>12</xdr:col>
      <xdr:colOff>393700</xdr:colOff>
      <xdr:row>7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248F227-5756-0B44-ABDA-A094031EDD2D}"/>
            </a:ext>
          </a:extLst>
        </xdr:cNvPr>
        <xdr:cNvSpPr/>
      </xdr:nvSpPr>
      <xdr:spPr>
        <a:xfrm>
          <a:off x="18503900" y="939800"/>
          <a:ext cx="381000" cy="3968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9</xdr:row>
      <xdr:rowOff>63500</xdr:rowOff>
    </xdr:from>
    <xdr:to>
      <xdr:col>12</xdr:col>
      <xdr:colOff>812377</xdr:colOff>
      <xdr:row>9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FBE608-1F66-624B-860E-A52BB1CCB146}"/>
            </a:ext>
          </a:extLst>
        </xdr:cNvPr>
        <xdr:cNvCxnSpPr/>
      </xdr:nvCxnSpPr>
      <xdr:spPr>
        <a:xfrm>
          <a:off x="17830800" y="17145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9</xdr:row>
      <xdr:rowOff>114300</xdr:rowOff>
    </xdr:from>
    <xdr:to>
      <xdr:col>12</xdr:col>
      <xdr:colOff>419100</xdr:colOff>
      <xdr:row>11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7A57766-E38D-C740-B4D7-2A211748DAC7}"/>
            </a:ext>
          </a:extLst>
        </xdr:cNvPr>
        <xdr:cNvSpPr/>
      </xdr:nvSpPr>
      <xdr:spPr>
        <a:xfrm>
          <a:off x="18529300" y="17653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12095</xdr:colOff>
      <xdr:row>0</xdr:row>
      <xdr:rowOff>24190</xdr:rowOff>
    </xdr:from>
    <xdr:to>
      <xdr:col>14</xdr:col>
      <xdr:colOff>12700</xdr:colOff>
      <xdr:row>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53D4F8-2B6B-5E45-89F9-07D80793F9BC}"/>
            </a:ext>
          </a:extLst>
        </xdr:cNvPr>
        <xdr:cNvCxnSpPr/>
      </xdr:nvCxnSpPr>
      <xdr:spPr>
        <a:xfrm>
          <a:off x="11526762" y="24190"/>
          <a:ext cx="605" cy="91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2</xdr:row>
      <xdr:rowOff>0</xdr:rowOff>
    </xdr:from>
    <xdr:to>
      <xdr:col>14</xdr:col>
      <xdr:colOff>508000</xdr:colOff>
      <xdr:row>3</xdr:row>
      <xdr:rowOff>180988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4730BDB-C54D-9A42-87C5-C11D30A42FDF}"/>
            </a:ext>
          </a:extLst>
        </xdr:cNvPr>
        <xdr:cNvSpPr/>
      </xdr:nvSpPr>
      <xdr:spPr>
        <a:xfrm>
          <a:off x="20269200" y="203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76200</xdr:colOff>
      <xdr:row>7</xdr:row>
      <xdr:rowOff>165100</xdr:rowOff>
    </xdr:from>
    <xdr:to>
      <xdr:col>16</xdr:col>
      <xdr:colOff>723477</xdr:colOff>
      <xdr:row>7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9A1A3F4-91E7-3B4B-AAEA-45928AF38E8A}"/>
            </a:ext>
          </a:extLst>
        </xdr:cNvPr>
        <xdr:cNvCxnSpPr/>
      </xdr:nvCxnSpPr>
      <xdr:spPr>
        <a:xfrm>
          <a:off x="21043900" y="13970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698500</xdr:colOff>
      <xdr:row>5</xdr:row>
      <xdr:rowOff>127000</xdr:rowOff>
    </xdr:from>
    <xdr:to>
      <xdr:col>16</xdr:col>
      <xdr:colOff>254000</xdr:colOff>
      <xdr:row>7</xdr:row>
      <xdr:rowOff>104788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A3C48F7-9A1B-C148-A5E1-CC17FA8F40C4}"/>
            </a:ext>
          </a:extLst>
        </xdr:cNvPr>
        <xdr:cNvSpPr/>
      </xdr:nvSpPr>
      <xdr:spPr>
        <a:xfrm>
          <a:off x="21666200" y="939800"/>
          <a:ext cx="381000" cy="3968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17</xdr:col>
      <xdr:colOff>24191</xdr:colOff>
      <xdr:row>4</xdr:row>
      <xdr:rowOff>193523</xdr:rowOff>
    </xdr:from>
    <xdr:to>
      <xdr:col>19</xdr:col>
      <xdr:colOff>49168</xdr:colOff>
      <xdr:row>10</xdr:row>
      <xdr:rowOff>75858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BF420B4-AFAF-C949-B7C1-05E1565C2DDF}"/>
            </a:ext>
          </a:extLst>
        </xdr:cNvPr>
        <xdr:cNvSpPr/>
      </xdr:nvSpPr>
      <xdr:spPr>
        <a:xfrm>
          <a:off x="14006286" y="1015999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Stirreer/</a:t>
          </a:r>
        </a:p>
        <a:p>
          <a:pPr algn="ctr"/>
          <a:r>
            <a:rPr lang="en-US" sz="2000">
              <a:solidFill>
                <a:schemeClr val="bg1"/>
              </a:solidFill>
            </a:rPr>
            <a:t>Warmer</a:t>
          </a:r>
        </a:p>
      </xdr:txBody>
    </xdr:sp>
    <xdr:clientData/>
  </xdr:twoCellAnchor>
  <xdr:twoCellAnchor>
    <xdr:from>
      <xdr:col>19</xdr:col>
      <xdr:colOff>96761</xdr:colOff>
      <xdr:row>7</xdr:row>
      <xdr:rowOff>181428</xdr:rowOff>
    </xdr:from>
    <xdr:to>
      <xdr:col>20</xdr:col>
      <xdr:colOff>744038</xdr:colOff>
      <xdr:row>7</xdr:row>
      <xdr:rowOff>181428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2CBC49F-E584-0548-A624-D4A257951613}"/>
            </a:ext>
          </a:extLst>
        </xdr:cNvPr>
        <xdr:cNvCxnSpPr/>
      </xdr:nvCxnSpPr>
      <xdr:spPr>
        <a:xfrm>
          <a:off x="15723809" y="1620761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459618</xdr:colOff>
      <xdr:row>5</xdr:row>
      <xdr:rowOff>169333</xdr:rowOff>
    </xdr:from>
    <xdr:to>
      <xdr:col>20</xdr:col>
      <xdr:colOff>15118</xdr:colOff>
      <xdr:row>7</xdr:row>
      <xdr:rowOff>147121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11F7FBC-8BBE-1642-857F-F56F83C4440F}"/>
            </a:ext>
          </a:extLst>
        </xdr:cNvPr>
        <xdr:cNvSpPr/>
      </xdr:nvSpPr>
      <xdr:spPr>
        <a:xfrm>
          <a:off x="16086666" y="119742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24978</xdr:colOff>
      <xdr:row>10</xdr:row>
      <xdr:rowOff>87954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2C969B5-9ED8-7C4D-BB43-F73094A5ACBD}"/>
            </a:ext>
          </a:extLst>
        </xdr:cNvPr>
        <xdr:cNvSpPr/>
      </xdr:nvSpPr>
      <xdr:spPr>
        <a:xfrm>
          <a:off x="17272000" y="1028095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23</xdr:col>
      <xdr:colOff>120953</xdr:colOff>
      <xdr:row>7</xdr:row>
      <xdr:rowOff>181428</xdr:rowOff>
    </xdr:from>
    <xdr:to>
      <xdr:col>24</xdr:col>
      <xdr:colOff>768229</xdr:colOff>
      <xdr:row>7</xdr:row>
      <xdr:rowOff>181428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4215DB1-8A05-874A-BF67-3CBCC656F5E3}"/>
            </a:ext>
          </a:extLst>
        </xdr:cNvPr>
        <xdr:cNvCxnSpPr/>
      </xdr:nvCxnSpPr>
      <xdr:spPr>
        <a:xfrm>
          <a:off x="19037905" y="1620761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</xdr:row>
      <xdr:rowOff>36286</xdr:rowOff>
    </xdr:from>
    <xdr:to>
      <xdr:col>27</xdr:col>
      <xdr:colOff>24978</xdr:colOff>
      <xdr:row>10</xdr:row>
      <xdr:rowOff>124240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E99D5D6-9BDA-DF4E-80ED-4038B88DB189}"/>
            </a:ext>
          </a:extLst>
        </xdr:cNvPr>
        <xdr:cNvSpPr/>
      </xdr:nvSpPr>
      <xdr:spPr>
        <a:xfrm>
          <a:off x="20561905" y="1064381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26</xdr:col>
      <xdr:colOff>12095</xdr:colOff>
      <xdr:row>0</xdr:row>
      <xdr:rowOff>133047</xdr:rowOff>
    </xdr:from>
    <xdr:to>
      <xdr:col>26</xdr:col>
      <xdr:colOff>12700</xdr:colOff>
      <xdr:row>5</xdr:row>
      <xdr:rowOff>17538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254F1E8-6DD7-CD4C-840A-CC822CCA3ED5}"/>
            </a:ext>
          </a:extLst>
        </xdr:cNvPr>
        <xdr:cNvCxnSpPr/>
      </xdr:nvCxnSpPr>
      <xdr:spPr>
        <a:xfrm>
          <a:off x="21396476" y="133047"/>
          <a:ext cx="605" cy="91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592666</xdr:colOff>
      <xdr:row>5</xdr:row>
      <xdr:rowOff>145143</xdr:rowOff>
    </xdr:from>
    <xdr:to>
      <xdr:col>24</xdr:col>
      <xdr:colOff>148165</xdr:colOff>
      <xdr:row>7</xdr:row>
      <xdr:rowOff>122931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383C5BD-9BFC-D849-BB3D-643C77960932}"/>
            </a:ext>
          </a:extLst>
        </xdr:cNvPr>
        <xdr:cNvSpPr/>
      </xdr:nvSpPr>
      <xdr:spPr>
        <a:xfrm>
          <a:off x="19509618" y="117323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26</xdr:col>
      <xdr:colOff>96762</xdr:colOff>
      <xdr:row>2</xdr:row>
      <xdr:rowOff>12095</xdr:rowOff>
    </xdr:from>
    <xdr:to>
      <xdr:col>26</xdr:col>
      <xdr:colOff>474738</xdr:colOff>
      <xdr:row>3</xdr:row>
      <xdr:rowOff>195502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A25471A-AADE-FC41-A3AE-321AF1A42A34}"/>
            </a:ext>
          </a:extLst>
        </xdr:cNvPr>
        <xdr:cNvSpPr/>
      </xdr:nvSpPr>
      <xdr:spPr>
        <a:xfrm>
          <a:off x="21481143" y="423333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26</xdr:col>
      <xdr:colOff>12095</xdr:colOff>
      <xdr:row>11</xdr:row>
      <xdr:rowOff>24190</xdr:rowOff>
    </xdr:from>
    <xdr:to>
      <xdr:col>26</xdr:col>
      <xdr:colOff>18324</xdr:colOff>
      <xdr:row>16</xdr:row>
      <xdr:rowOff>60476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3CBE839-887E-FF4E-85F0-4AE9B0A4DCCD}"/>
            </a:ext>
          </a:extLst>
        </xdr:cNvPr>
        <xdr:cNvCxnSpPr/>
      </xdr:nvCxnSpPr>
      <xdr:spPr>
        <a:xfrm flipV="1">
          <a:off x="21396476" y="2286000"/>
          <a:ext cx="6229" cy="1064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495904</xdr:colOff>
      <xdr:row>5</xdr:row>
      <xdr:rowOff>133047</xdr:rowOff>
    </xdr:from>
    <xdr:to>
      <xdr:col>28</xdr:col>
      <xdr:colOff>51404</xdr:colOff>
      <xdr:row>7</xdr:row>
      <xdr:rowOff>110835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0D8EAF2-D70C-B741-88B2-ED822F3F517D}"/>
            </a:ext>
          </a:extLst>
        </xdr:cNvPr>
        <xdr:cNvSpPr/>
      </xdr:nvSpPr>
      <xdr:spPr>
        <a:xfrm>
          <a:off x="22702761" y="1161142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28</xdr:col>
      <xdr:colOff>786191</xdr:colOff>
      <xdr:row>5</xdr:row>
      <xdr:rowOff>12095</xdr:rowOff>
    </xdr:from>
    <xdr:to>
      <xdr:col>30</xdr:col>
      <xdr:colOff>811168</xdr:colOff>
      <xdr:row>10</xdr:row>
      <xdr:rowOff>100049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D4873F2-A9B4-1D4E-A519-85508B862395}"/>
            </a:ext>
          </a:extLst>
        </xdr:cNvPr>
        <xdr:cNvSpPr/>
      </xdr:nvSpPr>
      <xdr:spPr>
        <a:xfrm>
          <a:off x="23815524" y="1040190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25</xdr:col>
      <xdr:colOff>338666</xdr:colOff>
      <xdr:row>12</xdr:row>
      <xdr:rowOff>169333</xdr:rowOff>
    </xdr:from>
    <xdr:to>
      <xdr:col>25</xdr:col>
      <xdr:colOff>716642</xdr:colOff>
      <xdr:row>14</xdr:row>
      <xdr:rowOff>147121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EFC6F79-2D36-604C-B0D5-2CE6F03725A6}"/>
            </a:ext>
          </a:extLst>
        </xdr:cNvPr>
        <xdr:cNvSpPr/>
      </xdr:nvSpPr>
      <xdr:spPr>
        <a:xfrm>
          <a:off x="20900571" y="2636762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27</xdr:col>
      <xdr:colOff>108857</xdr:colOff>
      <xdr:row>8</xdr:row>
      <xdr:rowOff>12095</xdr:rowOff>
    </xdr:from>
    <xdr:to>
      <xdr:col>28</xdr:col>
      <xdr:colOff>756134</xdr:colOff>
      <xdr:row>8</xdr:row>
      <xdr:rowOff>12095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58DBE5B-5ACA-6341-A576-54D6ECE09070}"/>
            </a:ext>
          </a:extLst>
        </xdr:cNvPr>
        <xdr:cNvCxnSpPr/>
      </xdr:nvCxnSpPr>
      <xdr:spPr>
        <a:xfrm>
          <a:off x="22315714" y="1657047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10</xdr:row>
      <xdr:rowOff>181430</xdr:rowOff>
    </xdr:from>
    <xdr:to>
      <xdr:col>30</xdr:col>
      <xdr:colOff>12095</xdr:colOff>
      <xdr:row>21</xdr:row>
      <xdr:rowOff>169333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4419CE-9D46-B64A-93E2-E98F821FAD4B}"/>
            </a:ext>
          </a:extLst>
        </xdr:cNvPr>
        <xdr:cNvCxnSpPr/>
      </xdr:nvCxnSpPr>
      <xdr:spPr>
        <a:xfrm>
          <a:off x="24674286" y="2237620"/>
          <a:ext cx="12095" cy="2249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</xdr:row>
      <xdr:rowOff>24190</xdr:rowOff>
    </xdr:from>
    <xdr:to>
      <xdr:col>31</xdr:col>
      <xdr:colOff>24978</xdr:colOff>
      <xdr:row>27</xdr:row>
      <xdr:rowOff>112144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376A196-B099-C04B-A09A-5944C3FD5585}"/>
            </a:ext>
          </a:extLst>
        </xdr:cNvPr>
        <xdr:cNvSpPr/>
      </xdr:nvSpPr>
      <xdr:spPr>
        <a:xfrm>
          <a:off x="23851810" y="4547809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31</xdr:col>
      <xdr:colOff>151372</xdr:colOff>
      <xdr:row>24</xdr:row>
      <xdr:rowOff>157239</xdr:rowOff>
    </xdr:from>
    <xdr:to>
      <xdr:col>33</xdr:col>
      <xdr:colOff>0</xdr:colOff>
      <xdr:row>24</xdr:row>
      <xdr:rowOff>157239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4C41CF5-5866-9747-ADF4-0427B7FF137B}"/>
            </a:ext>
          </a:extLst>
        </xdr:cNvPr>
        <xdr:cNvCxnSpPr/>
      </xdr:nvCxnSpPr>
      <xdr:spPr>
        <a:xfrm flipH="1">
          <a:off x="25648134" y="5092096"/>
          <a:ext cx="14935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27</xdr:row>
      <xdr:rowOff>169333</xdr:rowOff>
    </xdr:from>
    <xdr:to>
      <xdr:col>30</xdr:col>
      <xdr:colOff>0</xdr:colOff>
      <xdr:row>32</xdr:row>
      <xdr:rowOff>169332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DAA1BA1-02BE-6540-A5FE-60DE9AD7FE4B}"/>
            </a:ext>
          </a:extLst>
        </xdr:cNvPr>
        <xdr:cNvCxnSpPr/>
      </xdr:nvCxnSpPr>
      <xdr:spPr>
        <a:xfrm flipV="1">
          <a:off x="24674286" y="5721047"/>
          <a:ext cx="0" cy="1028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725713</xdr:colOff>
      <xdr:row>22</xdr:row>
      <xdr:rowOff>108857</xdr:rowOff>
    </xdr:from>
    <xdr:to>
      <xdr:col>32</xdr:col>
      <xdr:colOff>435428</xdr:colOff>
      <xdr:row>24</xdr:row>
      <xdr:rowOff>86645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35AC7744-8E53-844A-B34D-053960BACE89}"/>
            </a:ext>
          </a:extLst>
        </xdr:cNvPr>
        <xdr:cNvSpPr/>
      </xdr:nvSpPr>
      <xdr:spPr>
        <a:xfrm>
          <a:off x="26222475" y="4632476"/>
          <a:ext cx="532191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30</xdr:col>
      <xdr:colOff>120952</xdr:colOff>
      <xdr:row>15</xdr:row>
      <xdr:rowOff>0</xdr:rowOff>
    </xdr:from>
    <xdr:to>
      <xdr:col>30</xdr:col>
      <xdr:colOff>592666</xdr:colOff>
      <xdr:row>16</xdr:row>
      <xdr:rowOff>183407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0EB8B1-DE24-5143-B161-F58DFD709FF9}"/>
            </a:ext>
          </a:extLst>
        </xdr:cNvPr>
        <xdr:cNvSpPr/>
      </xdr:nvSpPr>
      <xdr:spPr>
        <a:xfrm>
          <a:off x="24795238" y="3084286"/>
          <a:ext cx="471714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30</xdr:col>
      <xdr:colOff>96761</xdr:colOff>
      <xdr:row>29</xdr:row>
      <xdr:rowOff>72572</xdr:rowOff>
    </xdr:from>
    <xdr:to>
      <xdr:col>30</xdr:col>
      <xdr:colOff>580570</xdr:colOff>
      <xdr:row>31</xdr:row>
      <xdr:rowOff>50360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3548F94-EF61-9846-9329-79E147FBC3C9}"/>
            </a:ext>
          </a:extLst>
        </xdr:cNvPr>
        <xdr:cNvSpPr/>
      </xdr:nvSpPr>
      <xdr:spPr>
        <a:xfrm>
          <a:off x="24771047" y="6035524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27</xdr:col>
      <xdr:colOff>229810</xdr:colOff>
      <xdr:row>25</xdr:row>
      <xdr:rowOff>0</xdr:rowOff>
    </xdr:from>
    <xdr:to>
      <xdr:col>28</xdr:col>
      <xdr:colOff>779962</xdr:colOff>
      <xdr:row>25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B3C5160-E430-324B-8982-F3A5A81B749F}"/>
            </a:ext>
          </a:extLst>
        </xdr:cNvPr>
        <xdr:cNvCxnSpPr/>
      </xdr:nvCxnSpPr>
      <xdr:spPr>
        <a:xfrm flipH="1">
          <a:off x="22436667" y="5140476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12094</xdr:colOff>
      <xdr:row>22</xdr:row>
      <xdr:rowOff>12095</xdr:rowOff>
    </xdr:from>
    <xdr:to>
      <xdr:col>27</xdr:col>
      <xdr:colOff>37072</xdr:colOff>
      <xdr:row>27</xdr:row>
      <xdr:rowOff>100049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BD8F2D4-00BE-D74D-B8D4-D16A1312F077}"/>
            </a:ext>
          </a:extLst>
        </xdr:cNvPr>
        <xdr:cNvSpPr/>
      </xdr:nvSpPr>
      <xdr:spPr>
        <a:xfrm>
          <a:off x="20573999" y="453571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26</xdr:col>
      <xdr:colOff>12095</xdr:colOff>
      <xdr:row>27</xdr:row>
      <xdr:rowOff>145143</xdr:rowOff>
    </xdr:from>
    <xdr:to>
      <xdr:col>26</xdr:col>
      <xdr:colOff>12095</xdr:colOff>
      <xdr:row>33</xdr:row>
      <xdr:rowOff>181428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813BC4C-A6A4-FD40-A0C6-DFE0901458DA}"/>
            </a:ext>
          </a:extLst>
        </xdr:cNvPr>
        <xdr:cNvCxnSpPr/>
      </xdr:nvCxnSpPr>
      <xdr:spPr>
        <a:xfrm>
          <a:off x="21396476" y="5696857"/>
          <a:ext cx="0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435429</xdr:colOff>
      <xdr:row>22</xdr:row>
      <xdr:rowOff>157238</xdr:rowOff>
    </xdr:from>
    <xdr:to>
      <xdr:col>28</xdr:col>
      <xdr:colOff>96762</xdr:colOff>
      <xdr:row>24</xdr:row>
      <xdr:rowOff>135026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FACB84D-EEA9-FA47-8881-EF1A849BB1A7}"/>
            </a:ext>
          </a:extLst>
        </xdr:cNvPr>
        <xdr:cNvSpPr/>
      </xdr:nvSpPr>
      <xdr:spPr>
        <a:xfrm>
          <a:off x="22642286" y="4680857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25</xdr:col>
      <xdr:colOff>641532</xdr:colOff>
      <xdr:row>18</xdr:row>
      <xdr:rowOff>157238</xdr:rowOff>
    </xdr:from>
    <xdr:to>
      <xdr:col>26</xdr:col>
      <xdr:colOff>302381</xdr:colOff>
      <xdr:row>20</xdr:row>
      <xdr:rowOff>135026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97C5889A-0ACE-B545-A4E9-D9A32101F816}"/>
            </a:ext>
          </a:extLst>
        </xdr:cNvPr>
        <xdr:cNvSpPr/>
      </xdr:nvSpPr>
      <xdr:spPr>
        <a:xfrm>
          <a:off x="25828172" y="3835158"/>
          <a:ext cx="483809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25</xdr:col>
      <xdr:colOff>544285</xdr:colOff>
      <xdr:row>17</xdr:row>
      <xdr:rowOff>108857</xdr:rowOff>
    </xdr:from>
    <xdr:to>
      <xdr:col>25</xdr:col>
      <xdr:colOff>544285</xdr:colOff>
      <xdr:row>22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83BAD20-450F-EE4F-85DD-571300EF6D6C}"/>
            </a:ext>
          </a:extLst>
        </xdr:cNvPr>
        <xdr:cNvCxnSpPr/>
      </xdr:nvCxnSpPr>
      <xdr:spPr>
        <a:xfrm>
          <a:off x="21106190" y="3604381"/>
          <a:ext cx="0" cy="919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120952</xdr:colOff>
      <xdr:row>30</xdr:row>
      <xdr:rowOff>1452</xdr:rowOff>
    </xdr:from>
    <xdr:to>
      <xdr:col>26</xdr:col>
      <xdr:colOff>605245</xdr:colOff>
      <xdr:row>31</xdr:row>
      <xdr:rowOff>182440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54AC35B-7322-2F45-A3FE-9A4F6B319AA8}"/>
            </a:ext>
          </a:extLst>
        </xdr:cNvPr>
        <xdr:cNvSpPr/>
      </xdr:nvSpPr>
      <xdr:spPr>
        <a:xfrm>
          <a:off x="26130552" y="6117772"/>
          <a:ext cx="484293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23</xdr:col>
      <xdr:colOff>217714</xdr:colOff>
      <xdr:row>24</xdr:row>
      <xdr:rowOff>48381</xdr:rowOff>
    </xdr:from>
    <xdr:to>
      <xdr:col>24</xdr:col>
      <xdr:colOff>767865</xdr:colOff>
      <xdr:row>24</xdr:row>
      <xdr:rowOff>48381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113993D-173B-B84F-9798-CB21F226453A}"/>
            </a:ext>
          </a:extLst>
        </xdr:cNvPr>
        <xdr:cNvCxnSpPr/>
      </xdr:nvCxnSpPr>
      <xdr:spPr>
        <a:xfrm flipH="1">
          <a:off x="19134666" y="4983238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544286</xdr:colOff>
      <xdr:row>22</xdr:row>
      <xdr:rowOff>12095</xdr:rowOff>
    </xdr:from>
    <xdr:to>
      <xdr:col>24</xdr:col>
      <xdr:colOff>205618</xdr:colOff>
      <xdr:row>23</xdr:row>
      <xdr:rowOff>195502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FEFCD44-C699-7141-BC05-9778D92A512C}"/>
            </a:ext>
          </a:extLst>
        </xdr:cNvPr>
        <xdr:cNvSpPr/>
      </xdr:nvSpPr>
      <xdr:spPr>
        <a:xfrm>
          <a:off x="19461238" y="4535714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21</xdr:col>
      <xdr:colOff>145143</xdr:colOff>
      <xdr:row>21</xdr:row>
      <xdr:rowOff>193524</xdr:rowOff>
    </xdr:from>
    <xdr:to>
      <xdr:col>23</xdr:col>
      <xdr:colOff>170121</xdr:colOff>
      <xdr:row>27</xdr:row>
      <xdr:rowOff>75859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87A708A-2B9C-2843-BB83-47E094484A08}"/>
            </a:ext>
          </a:extLst>
        </xdr:cNvPr>
        <xdr:cNvSpPr/>
      </xdr:nvSpPr>
      <xdr:spPr>
        <a:xfrm>
          <a:off x="17417143" y="451152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22</xdr:col>
      <xdr:colOff>157238</xdr:colOff>
      <xdr:row>17</xdr:row>
      <xdr:rowOff>108857</xdr:rowOff>
    </xdr:from>
    <xdr:to>
      <xdr:col>22</xdr:col>
      <xdr:colOff>157238</xdr:colOff>
      <xdr:row>22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0225AF7-FEBF-804C-BA6F-DE3C175C8565}"/>
            </a:ext>
          </a:extLst>
        </xdr:cNvPr>
        <xdr:cNvCxnSpPr/>
      </xdr:nvCxnSpPr>
      <xdr:spPr>
        <a:xfrm>
          <a:off x="18251714" y="3604381"/>
          <a:ext cx="0" cy="919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217714</xdr:colOff>
      <xdr:row>19</xdr:row>
      <xdr:rowOff>60476</xdr:rowOff>
    </xdr:from>
    <xdr:to>
      <xdr:col>22</xdr:col>
      <xdr:colOff>701523</xdr:colOff>
      <xdr:row>21</xdr:row>
      <xdr:rowOff>38264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59E78519-5083-584F-BF11-212D4E35A566}"/>
            </a:ext>
          </a:extLst>
        </xdr:cNvPr>
        <xdr:cNvSpPr/>
      </xdr:nvSpPr>
      <xdr:spPr>
        <a:xfrm>
          <a:off x="18312190" y="3967238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19</xdr:col>
      <xdr:colOff>374953</xdr:colOff>
      <xdr:row>24</xdr:row>
      <xdr:rowOff>120952</xdr:rowOff>
    </xdr:from>
    <xdr:to>
      <xdr:col>21</xdr:col>
      <xdr:colOff>102629</xdr:colOff>
      <xdr:row>24</xdr:row>
      <xdr:rowOff>120952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5C059CF-E4D6-D143-95B3-539C2FE33252}"/>
            </a:ext>
          </a:extLst>
        </xdr:cNvPr>
        <xdr:cNvCxnSpPr/>
      </xdr:nvCxnSpPr>
      <xdr:spPr>
        <a:xfrm flipH="1">
          <a:off x="16002001" y="5055809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314476</xdr:colOff>
      <xdr:row>22</xdr:row>
      <xdr:rowOff>12095</xdr:rowOff>
    </xdr:from>
    <xdr:to>
      <xdr:col>19</xdr:col>
      <xdr:colOff>339453</xdr:colOff>
      <xdr:row>27</xdr:row>
      <xdr:rowOff>100049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15D0772-F660-754F-A81C-BCB5450E1679}"/>
            </a:ext>
          </a:extLst>
        </xdr:cNvPr>
        <xdr:cNvSpPr/>
      </xdr:nvSpPr>
      <xdr:spPr>
        <a:xfrm>
          <a:off x="14296571" y="4535714"/>
          <a:ext cx="1669930" cy="1116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 Pressure</a:t>
          </a:r>
        </a:p>
      </xdr:txBody>
    </xdr:sp>
    <xdr:clientData/>
  </xdr:twoCellAnchor>
  <xdr:twoCellAnchor>
    <xdr:from>
      <xdr:col>20</xdr:col>
      <xdr:colOff>0</xdr:colOff>
      <xdr:row>22</xdr:row>
      <xdr:rowOff>0</xdr:rowOff>
    </xdr:from>
    <xdr:to>
      <xdr:col>20</xdr:col>
      <xdr:colOff>483809</xdr:colOff>
      <xdr:row>23</xdr:row>
      <xdr:rowOff>183407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145CF5FA-376E-1F4D-B117-84839A04C7FC}"/>
            </a:ext>
          </a:extLst>
        </xdr:cNvPr>
        <xdr:cNvSpPr/>
      </xdr:nvSpPr>
      <xdr:spPr>
        <a:xfrm>
          <a:off x="16449524" y="4523619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15</xdr:col>
      <xdr:colOff>544286</xdr:colOff>
      <xdr:row>24</xdr:row>
      <xdr:rowOff>120952</xdr:rowOff>
    </xdr:from>
    <xdr:to>
      <xdr:col>17</xdr:col>
      <xdr:colOff>271962</xdr:colOff>
      <xdr:row>24</xdr:row>
      <xdr:rowOff>120952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978BA90-DC7A-6646-BFA6-2BA722484049}"/>
            </a:ext>
          </a:extLst>
        </xdr:cNvPr>
        <xdr:cNvCxnSpPr/>
      </xdr:nvCxnSpPr>
      <xdr:spPr>
        <a:xfrm flipH="1">
          <a:off x="12881429" y="5055809"/>
          <a:ext cx="13726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120953</xdr:colOff>
      <xdr:row>22</xdr:row>
      <xdr:rowOff>96762</xdr:rowOff>
    </xdr:from>
    <xdr:to>
      <xdr:col>16</xdr:col>
      <xdr:colOff>604762</xdr:colOff>
      <xdr:row>24</xdr:row>
      <xdr:rowOff>74550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1CD74BD4-63C3-FC42-829A-84F60DB7B39D}"/>
            </a:ext>
          </a:extLst>
        </xdr:cNvPr>
        <xdr:cNvSpPr/>
      </xdr:nvSpPr>
      <xdr:spPr>
        <a:xfrm>
          <a:off x="13280572" y="4620381"/>
          <a:ext cx="483809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673100</xdr:colOff>
      <xdr:row>5</xdr:row>
      <xdr:rowOff>26555</xdr:rowOff>
    </xdr:from>
    <xdr:to>
      <xdr:col>12</xdr:col>
      <xdr:colOff>198764</xdr:colOff>
      <xdr:row>15</xdr:row>
      <xdr:rowOff>65809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54853-8828-A44E-8C6A-85E7B8E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100" y="1077191"/>
          <a:ext cx="7007119" cy="212898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7</xdr:row>
      <xdr:rowOff>0</xdr:rowOff>
    </xdr:from>
    <xdr:to>
      <xdr:col>17</xdr:col>
      <xdr:colOff>24977</xdr:colOff>
      <xdr:row>12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973F48-3677-8A44-9D01-E9818A1E74E8}"/>
            </a:ext>
          </a:extLst>
        </xdr:cNvPr>
        <xdr:cNvSpPr/>
      </xdr:nvSpPr>
      <xdr:spPr>
        <a:xfrm>
          <a:off x="19291300" y="1016000"/>
          <a:ext cx="1675977" cy="1129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13</xdr:col>
      <xdr:colOff>139700</xdr:colOff>
      <xdr:row>9</xdr:row>
      <xdr:rowOff>152400</xdr:rowOff>
    </xdr:from>
    <xdr:to>
      <xdr:col>14</xdr:col>
      <xdr:colOff>786977</xdr:colOff>
      <xdr:row>9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00471E-FA82-0C40-ABD9-E1199120B010}"/>
            </a:ext>
          </a:extLst>
        </xdr:cNvPr>
        <xdr:cNvCxnSpPr/>
      </xdr:nvCxnSpPr>
      <xdr:spPr>
        <a:xfrm>
          <a:off x="17780000" y="1600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</xdr:row>
      <xdr:rowOff>127000</xdr:rowOff>
    </xdr:from>
    <xdr:to>
      <xdr:col>14</xdr:col>
      <xdr:colOff>393700</xdr:colOff>
      <xdr:row>9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F4C34E-DC72-AD4C-B832-E602143E1F1E}"/>
            </a:ext>
          </a:extLst>
        </xdr:cNvPr>
        <xdr:cNvSpPr/>
      </xdr:nvSpPr>
      <xdr:spPr>
        <a:xfrm>
          <a:off x="18478500" y="1143000"/>
          <a:ext cx="381000" cy="4095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165100</xdr:colOff>
      <xdr:row>11</xdr:row>
      <xdr:rowOff>63500</xdr:rowOff>
    </xdr:from>
    <xdr:to>
      <xdr:col>14</xdr:col>
      <xdr:colOff>812377</xdr:colOff>
      <xdr:row>11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3930BA5-7ABD-604D-B668-9FCD85E6FFCE}"/>
            </a:ext>
          </a:extLst>
        </xdr:cNvPr>
        <xdr:cNvCxnSpPr/>
      </xdr:nvCxnSpPr>
      <xdr:spPr>
        <a:xfrm>
          <a:off x="17805400" y="1917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14</xdr:col>
      <xdr:colOff>419100</xdr:colOff>
      <xdr:row>13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705AA2-A999-AC44-B9F0-67FEBC0AC117}"/>
            </a:ext>
          </a:extLst>
        </xdr:cNvPr>
        <xdr:cNvSpPr/>
      </xdr:nvSpPr>
      <xdr:spPr>
        <a:xfrm>
          <a:off x="18503900" y="19685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16</xdr:col>
      <xdr:colOff>12095</xdr:colOff>
      <xdr:row>2</xdr:row>
      <xdr:rowOff>24190</xdr:rowOff>
    </xdr:from>
    <xdr:to>
      <xdr:col>16</xdr:col>
      <xdr:colOff>12700</xdr:colOff>
      <xdr:row>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5F29176-CC04-7745-B1F8-248A338A6700}"/>
            </a:ext>
          </a:extLst>
        </xdr:cNvPr>
        <xdr:cNvCxnSpPr/>
      </xdr:nvCxnSpPr>
      <xdr:spPr>
        <a:xfrm>
          <a:off x="20128895" y="2419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127000</xdr:colOff>
      <xdr:row>4</xdr:row>
      <xdr:rowOff>0</xdr:rowOff>
    </xdr:from>
    <xdr:to>
      <xdr:col>16</xdr:col>
      <xdr:colOff>508000</xdr:colOff>
      <xdr:row>5</xdr:row>
      <xdr:rowOff>180988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6F04846-85EF-224D-B5EC-7B882328EE8A}"/>
            </a:ext>
          </a:extLst>
        </xdr:cNvPr>
        <xdr:cNvSpPr/>
      </xdr:nvSpPr>
      <xdr:spPr>
        <a:xfrm>
          <a:off x="20243800" y="4064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17</xdr:col>
      <xdr:colOff>76200</xdr:colOff>
      <xdr:row>9</xdr:row>
      <xdr:rowOff>165100</xdr:rowOff>
    </xdr:from>
    <xdr:to>
      <xdr:col>18</xdr:col>
      <xdr:colOff>723477</xdr:colOff>
      <xdr:row>9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A7D8F05-207C-B44F-AB1A-D2560707F026}"/>
            </a:ext>
          </a:extLst>
        </xdr:cNvPr>
        <xdr:cNvCxnSpPr/>
      </xdr:nvCxnSpPr>
      <xdr:spPr>
        <a:xfrm>
          <a:off x="21018500" y="16129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698500</xdr:colOff>
      <xdr:row>7</xdr:row>
      <xdr:rowOff>127000</xdr:rowOff>
    </xdr:from>
    <xdr:to>
      <xdr:col>18</xdr:col>
      <xdr:colOff>254000</xdr:colOff>
      <xdr:row>9</xdr:row>
      <xdr:rowOff>104788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8EEB557-6933-EF4A-BD74-4613F4A8258B}"/>
            </a:ext>
          </a:extLst>
        </xdr:cNvPr>
        <xdr:cNvSpPr/>
      </xdr:nvSpPr>
      <xdr:spPr>
        <a:xfrm>
          <a:off x="21640800" y="1143000"/>
          <a:ext cx="381000" cy="4095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25400</xdr:colOff>
      <xdr:row>7</xdr:row>
      <xdr:rowOff>25400</xdr:rowOff>
    </xdr:from>
    <xdr:to>
      <xdr:col>21</xdr:col>
      <xdr:colOff>50377</xdr:colOff>
      <xdr:row>12</xdr:row>
      <xdr:rowOff>113354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34F192A-18E4-6441-B2CB-CB96930ACA06}"/>
            </a:ext>
          </a:extLst>
        </xdr:cNvPr>
        <xdr:cNvSpPr/>
      </xdr:nvSpPr>
      <xdr:spPr>
        <a:xfrm>
          <a:off x="15709900" y="1447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20</xdr:col>
      <xdr:colOff>25400</xdr:colOff>
      <xdr:row>2</xdr:row>
      <xdr:rowOff>25400</xdr:rowOff>
    </xdr:from>
    <xdr:to>
      <xdr:col>20</xdr:col>
      <xdr:colOff>26005</xdr:colOff>
      <xdr:row>6</xdr:row>
      <xdr:rowOff>115510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9071BC3-0B56-E644-8811-C2E26EAD3D46}"/>
            </a:ext>
          </a:extLst>
        </xdr:cNvPr>
        <xdr:cNvCxnSpPr/>
      </xdr:nvCxnSpPr>
      <xdr:spPr>
        <a:xfrm>
          <a:off x="16535400" y="431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139700</xdr:colOff>
      <xdr:row>4</xdr:row>
      <xdr:rowOff>76200</xdr:rowOff>
    </xdr:from>
    <xdr:to>
      <xdr:col>20</xdr:col>
      <xdr:colOff>520700</xdr:colOff>
      <xdr:row>6</xdr:row>
      <xdr:rowOff>53988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FA697D0-6B5F-9542-936E-AB76594112D9}"/>
            </a:ext>
          </a:extLst>
        </xdr:cNvPr>
        <xdr:cNvSpPr/>
      </xdr:nvSpPr>
      <xdr:spPr>
        <a:xfrm>
          <a:off x="16649700" y="8890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21</xdr:col>
      <xdr:colOff>114300</xdr:colOff>
      <xdr:row>9</xdr:row>
      <xdr:rowOff>152400</xdr:rowOff>
    </xdr:from>
    <xdr:to>
      <xdr:col>22</xdr:col>
      <xdr:colOff>761577</xdr:colOff>
      <xdr:row>9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098C15F-ACC6-DE49-B79E-BEFA70B4B81C}"/>
            </a:ext>
          </a:extLst>
        </xdr:cNvPr>
        <xdr:cNvCxnSpPr/>
      </xdr:nvCxnSpPr>
      <xdr:spPr>
        <a:xfrm>
          <a:off x="17449800" y="1981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</xdr:row>
      <xdr:rowOff>12700</xdr:rowOff>
    </xdr:from>
    <xdr:to>
      <xdr:col>25</xdr:col>
      <xdr:colOff>24977</xdr:colOff>
      <xdr:row>12</xdr:row>
      <xdr:rowOff>100654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00944B4-C2C1-2D4B-BF59-21B3B5E867AD}"/>
            </a:ext>
          </a:extLst>
        </xdr:cNvPr>
        <xdr:cNvSpPr/>
      </xdr:nvSpPr>
      <xdr:spPr>
        <a:xfrm>
          <a:off x="189865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Heater</a:t>
          </a:r>
        </a:p>
      </xdr:txBody>
    </xdr:sp>
    <xdr:clientData/>
  </xdr:twoCellAnchor>
  <xdr:twoCellAnchor>
    <xdr:from>
      <xdr:col>21</xdr:col>
      <xdr:colOff>660400</xdr:colOff>
      <xdr:row>7</xdr:row>
      <xdr:rowOff>88900</xdr:rowOff>
    </xdr:from>
    <xdr:to>
      <xdr:col>22</xdr:col>
      <xdr:colOff>215900</xdr:colOff>
      <xdr:row>9</xdr:row>
      <xdr:rowOff>66688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C59DAB7-9ECE-1343-8872-4D1B492AB691}"/>
            </a:ext>
          </a:extLst>
        </xdr:cNvPr>
        <xdr:cNvSpPr/>
      </xdr:nvSpPr>
      <xdr:spPr>
        <a:xfrm>
          <a:off x="17995900" y="15113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88900</xdr:colOff>
      <xdr:row>9</xdr:row>
      <xdr:rowOff>152400</xdr:rowOff>
    </xdr:from>
    <xdr:to>
      <xdr:col>26</xdr:col>
      <xdr:colOff>736177</xdr:colOff>
      <xdr:row>9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40BC2A8-DC2E-EF45-8898-BFCCE81127B0}"/>
            </a:ext>
          </a:extLst>
        </xdr:cNvPr>
        <xdr:cNvCxnSpPr/>
      </xdr:nvCxnSpPr>
      <xdr:spPr>
        <a:xfrm>
          <a:off x="20726400" y="19812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647700</xdr:colOff>
      <xdr:row>7</xdr:row>
      <xdr:rowOff>152400</xdr:rowOff>
    </xdr:from>
    <xdr:to>
      <xdr:col>26</xdr:col>
      <xdr:colOff>203200</xdr:colOff>
      <xdr:row>9</xdr:row>
      <xdr:rowOff>130188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FA0C897-DF20-4847-A143-B64477F093D7}"/>
            </a:ext>
          </a:extLst>
        </xdr:cNvPr>
        <xdr:cNvSpPr/>
      </xdr:nvSpPr>
      <xdr:spPr>
        <a:xfrm>
          <a:off x="21285200" y="1574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25400</xdr:colOff>
      <xdr:row>7</xdr:row>
      <xdr:rowOff>12700</xdr:rowOff>
    </xdr:from>
    <xdr:to>
      <xdr:col>29</xdr:col>
      <xdr:colOff>50377</xdr:colOff>
      <xdr:row>12</xdr:row>
      <xdr:rowOff>100654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0AE41F7-81E7-7F41-92E0-68674C776293}"/>
            </a:ext>
          </a:extLst>
        </xdr:cNvPr>
        <xdr:cNvSpPr/>
      </xdr:nvSpPr>
      <xdr:spPr>
        <a:xfrm>
          <a:off x="223139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28</xdr:col>
      <xdr:colOff>0</xdr:colOff>
      <xdr:row>2</xdr:row>
      <xdr:rowOff>0</xdr:rowOff>
    </xdr:from>
    <xdr:to>
      <xdr:col>28</xdr:col>
      <xdr:colOff>605</xdr:colOff>
      <xdr:row>6</xdr:row>
      <xdr:rowOff>90110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585F69-C889-B146-B3B2-4A3C3C7D6894}"/>
            </a:ext>
          </a:extLst>
        </xdr:cNvPr>
        <xdr:cNvCxnSpPr/>
      </xdr:nvCxnSpPr>
      <xdr:spPr>
        <a:xfrm>
          <a:off x="23114000" y="4064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139700</xdr:colOff>
      <xdr:row>4</xdr:row>
      <xdr:rowOff>25400</xdr:rowOff>
    </xdr:from>
    <xdr:to>
      <xdr:col>28</xdr:col>
      <xdr:colOff>520700</xdr:colOff>
      <xdr:row>6</xdr:row>
      <xdr:rowOff>3188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542869A-AC24-934D-83F8-8C6CD8B7029A}"/>
            </a:ext>
          </a:extLst>
        </xdr:cNvPr>
        <xdr:cNvSpPr/>
      </xdr:nvSpPr>
      <xdr:spPr>
        <a:xfrm>
          <a:off x="23253700" y="8382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27</xdr:col>
      <xdr:colOff>812800</xdr:colOff>
      <xdr:row>12</xdr:row>
      <xdr:rowOff>152400</xdr:rowOff>
    </xdr:from>
    <xdr:to>
      <xdr:col>28</xdr:col>
      <xdr:colOff>0</xdr:colOff>
      <xdr:row>22</xdr:row>
      <xdr:rowOff>127000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80E3321-4044-0547-94D6-F55B0E286886}"/>
            </a:ext>
          </a:extLst>
        </xdr:cNvPr>
        <xdr:cNvCxnSpPr/>
      </xdr:nvCxnSpPr>
      <xdr:spPr>
        <a:xfrm>
          <a:off x="23101300" y="2590800"/>
          <a:ext cx="1270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23</xdr:row>
      <xdr:rowOff>12700</xdr:rowOff>
    </xdr:from>
    <xdr:to>
      <xdr:col>29</xdr:col>
      <xdr:colOff>37677</xdr:colOff>
      <xdr:row>28</xdr:row>
      <xdr:rowOff>100654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4AF65AE-0304-3B4B-8168-1D857E58AA31}"/>
            </a:ext>
          </a:extLst>
        </xdr:cNvPr>
        <xdr:cNvSpPr/>
      </xdr:nvSpPr>
      <xdr:spPr>
        <a:xfrm>
          <a:off x="223012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Cooler</a:t>
          </a:r>
        </a:p>
      </xdr:txBody>
    </xdr:sp>
    <xdr:clientData/>
  </xdr:twoCellAnchor>
  <xdr:twoCellAnchor>
    <xdr:from>
      <xdr:col>22</xdr:col>
      <xdr:colOff>812800</xdr:colOff>
      <xdr:row>23</xdr:row>
      <xdr:rowOff>0</xdr:rowOff>
    </xdr:from>
    <xdr:to>
      <xdr:col>25</xdr:col>
      <xdr:colOff>12277</xdr:colOff>
      <xdr:row>28</xdr:row>
      <xdr:rowOff>87954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F921602-08D2-0743-814C-75D3F0BC10E8}"/>
            </a:ext>
          </a:extLst>
        </xdr:cNvPr>
        <xdr:cNvSpPr/>
      </xdr:nvSpPr>
      <xdr:spPr>
        <a:xfrm>
          <a:off x="18973800" y="46736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25</xdr:col>
      <xdr:colOff>76200</xdr:colOff>
      <xdr:row>25</xdr:row>
      <xdr:rowOff>139700</xdr:rowOff>
    </xdr:from>
    <xdr:to>
      <xdr:col>26</xdr:col>
      <xdr:colOff>711200</xdr:colOff>
      <xdr:row>25</xdr:row>
      <xdr:rowOff>139700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49A9E51-592A-E440-9BFD-4BD09700DF40}"/>
            </a:ext>
          </a:extLst>
        </xdr:cNvPr>
        <xdr:cNvCxnSpPr/>
      </xdr:nvCxnSpPr>
      <xdr:spPr>
        <a:xfrm flipH="1">
          <a:off x="20713700" y="52197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88900</xdr:colOff>
      <xdr:row>17</xdr:row>
      <xdr:rowOff>25400</xdr:rowOff>
    </xdr:from>
    <xdr:to>
      <xdr:col>28</xdr:col>
      <xdr:colOff>469900</xdr:colOff>
      <xdr:row>19</xdr:row>
      <xdr:rowOff>3188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5CB64D9-EA8B-704D-9478-5FD5B27282D0}"/>
            </a:ext>
          </a:extLst>
        </xdr:cNvPr>
        <xdr:cNvSpPr/>
      </xdr:nvSpPr>
      <xdr:spPr>
        <a:xfrm>
          <a:off x="23202900" y="3479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25</xdr:col>
      <xdr:colOff>495300</xdr:colOff>
      <xdr:row>23</xdr:row>
      <xdr:rowOff>76200</xdr:rowOff>
    </xdr:from>
    <xdr:to>
      <xdr:col>26</xdr:col>
      <xdr:colOff>139700</xdr:colOff>
      <xdr:row>25</xdr:row>
      <xdr:rowOff>53988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D3D8231-A445-9E4D-B92F-49BAEEFD0622}"/>
            </a:ext>
          </a:extLst>
        </xdr:cNvPr>
        <xdr:cNvSpPr/>
      </xdr:nvSpPr>
      <xdr:spPr>
        <a:xfrm>
          <a:off x="21132800" y="47498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24</xdr:col>
      <xdr:colOff>0</xdr:colOff>
      <xdr:row>18</xdr:row>
      <xdr:rowOff>63500</xdr:rowOff>
    </xdr:from>
    <xdr:to>
      <xdr:col>24</xdr:col>
      <xdr:colOff>605</xdr:colOff>
      <xdr:row>22</xdr:row>
      <xdr:rowOff>153610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9A5C39F-A025-4A47-814C-BCA7A71D7BB2}"/>
            </a:ext>
          </a:extLst>
        </xdr:cNvPr>
        <xdr:cNvCxnSpPr/>
      </xdr:nvCxnSpPr>
      <xdr:spPr>
        <a:xfrm>
          <a:off x="19812000" y="37211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101600</xdr:colOff>
      <xdr:row>20</xdr:row>
      <xdr:rowOff>12700</xdr:rowOff>
    </xdr:from>
    <xdr:to>
      <xdr:col>24</xdr:col>
      <xdr:colOff>571500</xdr:colOff>
      <xdr:row>21</xdr:row>
      <xdr:rowOff>193688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2E699317-5165-A344-9D1B-A4490C2EE8D7}"/>
            </a:ext>
          </a:extLst>
        </xdr:cNvPr>
        <xdr:cNvSpPr/>
      </xdr:nvSpPr>
      <xdr:spPr>
        <a:xfrm>
          <a:off x="19913600" y="4076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21</xdr:col>
      <xdr:colOff>165100</xdr:colOff>
      <xdr:row>25</xdr:row>
      <xdr:rowOff>114300</xdr:rowOff>
    </xdr:from>
    <xdr:to>
      <xdr:col>22</xdr:col>
      <xdr:colOff>800100</xdr:colOff>
      <xdr:row>25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9D0A4F8-9F5F-F64F-B5BA-A52853B2BFF4}"/>
            </a:ext>
          </a:extLst>
        </xdr:cNvPr>
        <xdr:cNvCxnSpPr/>
      </xdr:nvCxnSpPr>
      <xdr:spPr>
        <a:xfrm flipH="1">
          <a:off x="17500600" y="51943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812800</xdr:colOff>
      <xdr:row>28</xdr:row>
      <xdr:rowOff>139700</xdr:rowOff>
    </xdr:from>
    <xdr:to>
      <xdr:col>23</xdr:col>
      <xdr:colOff>813405</xdr:colOff>
      <xdr:row>33</xdr:row>
      <xdr:rowOff>26610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A362B6F-1960-B64E-A0C2-1FCF7A4DC71F}"/>
            </a:ext>
          </a:extLst>
        </xdr:cNvPr>
        <xdr:cNvCxnSpPr/>
      </xdr:nvCxnSpPr>
      <xdr:spPr>
        <a:xfrm>
          <a:off x="19799300" y="58293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30</xdr:row>
      <xdr:rowOff>88900</xdr:rowOff>
    </xdr:from>
    <xdr:to>
      <xdr:col>24</xdr:col>
      <xdr:colOff>546100</xdr:colOff>
      <xdr:row>32</xdr:row>
      <xdr:rowOff>66688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4E416CD-9129-2942-8AAD-29B9D23AB2A9}"/>
            </a:ext>
          </a:extLst>
        </xdr:cNvPr>
        <xdr:cNvSpPr/>
      </xdr:nvSpPr>
      <xdr:spPr>
        <a:xfrm>
          <a:off x="19888200" y="6184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22</xdr:col>
      <xdr:colOff>0</xdr:colOff>
      <xdr:row>23</xdr:row>
      <xdr:rowOff>50800</xdr:rowOff>
    </xdr:from>
    <xdr:to>
      <xdr:col>22</xdr:col>
      <xdr:colOff>469900</xdr:colOff>
      <xdr:row>25</xdr:row>
      <xdr:rowOff>28588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004764A-E598-1B41-A121-71378695BB21}"/>
            </a:ext>
          </a:extLst>
        </xdr:cNvPr>
        <xdr:cNvSpPr/>
      </xdr:nvSpPr>
      <xdr:spPr>
        <a:xfrm>
          <a:off x="18161000" y="4724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19</xdr:col>
      <xdr:colOff>63500</xdr:colOff>
      <xdr:row>23</xdr:row>
      <xdr:rowOff>12700</xdr:rowOff>
    </xdr:from>
    <xdr:to>
      <xdr:col>21</xdr:col>
      <xdr:colOff>88477</xdr:colOff>
      <xdr:row>28</xdr:row>
      <xdr:rowOff>100654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54E8367-EA31-F644-9D0C-E720339065F1}"/>
            </a:ext>
          </a:extLst>
        </xdr:cNvPr>
        <xdr:cNvSpPr/>
      </xdr:nvSpPr>
      <xdr:spPr>
        <a:xfrm>
          <a:off x="157480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20</xdr:col>
      <xdr:colOff>101600</xdr:colOff>
      <xdr:row>18</xdr:row>
      <xdr:rowOff>76200</xdr:rowOff>
    </xdr:from>
    <xdr:to>
      <xdr:col>20</xdr:col>
      <xdr:colOff>102205</xdr:colOff>
      <xdr:row>22</xdr:row>
      <xdr:rowOff>166310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EABE222-9F56-054F-BB38-D6FCD8643ABC}"/>
            </a:ext>
          </a:extLst>
        </xdr:cNvPr>
        <xdr:cNvCxnSpPr/>
      </xdr:nvCxnSpPr>
      <xdr:spPr>
        <a:xfrm>
          <a:off x="16611600" y="3733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215900</xdr:colOff>
      <xdr:row>20</xdr:row>
      <xdr:rowOff>12700</xdr:rowOff>
    </xdr:from>
    <xdr:to>
      <xdr:col>20</xdr:col>
      <xdr:colOff>685800</xdr:colOff>
      <xdr:row>21</xdr:row>
      <xdr:rowOff>193688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D53E5DF-279B-5946-AEF7-EEA8C347BF28}"/>
            </a:ext>
          </a:extLst>
        </xdr:cNvPr>
        <xdr:cNvSpPr/>
      </xdr:nvSpPr>
      <xdr:spPr>
        <a:xfrm>
          <a:off x="16725900" y="4076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17</xdr:col>
      <xdr:colOff>215900</xdr:colOff>
      <xdr:row>25</xdr:row>
      <xdr:rowOff>165100</xdr:rowOff>
    </xdr:from>
    <xdr:to>
      <xdr:col>19</xdr:col>
      <xdr:colOff>25400</xdr:colOff>
      <xdr:row>25</xdr:row>
      <xdr:rowOff>165100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A77C057-6E46-CE42-AB4C-4C50822D9CAF}"/>
            </a:ext>
          </a:extLst>
        </xdr:cNvPr>
        <xdr:cNvCxnSpPr/>
      </xdr:nvCxnSpPr>
      <xdr:spPr>
        <a:xfrm flipH="1">
          <a:off x="14249400" y="52451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812800</xdr:colOff>
      <xdr:row>23</xdr:row>
      <xdr:rowOff>12700</xdr:rowOff>
    </xdr:from>
    <xdr:to>
      <xdr:col>17</xdr:col>
      <xdr:colOff>12277</xdr:colOff>
      <xdr:row>28</xdr:row>
      <xdr:rowOff>100654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555ADCC-5D54-7244-8025-17B8CA9811BB}"/>
            </a:ext>
          </a:extLst>
        </xdr:cNvPr>
        <xdr:cNvSpPr/>
      </xdr:nvSpPr>
      <xdr:spPr>
        <a:xfrm>
          <a:off x="12369800" y="46863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13</xdr:col>
      <xdr:colOff>88900</xdr:colOff>
      <xdr:row>25</xdr:row>
      <xdr:rowOff>139700</xdr:rowOff>
    </xdr:from>
    <xdr:to>
      <xdr:col>14</xdr:col>
      <xdr:colOff>736177</xdr:colOff>
      <xdr:row>25</xdr:row>
      <xdr:rowOff>139700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6861DEB-B85F-E94A-89E3-B977A3F7E8AF}"/>
            </a:ext>
          </a:extLst>
        </xdr:cNvPr>
        <xdr:cNvCxnSpPr/>
      </xdr:nvCxnSpPr>
      <xdr:spPr>
        <a:xfrm>
          <a:off x="10820400" y="5219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50800</xdr:colOff>
      <xdr:row>23</xdr:row>
      <xdr:rowOff>63500</xdr:rowOff>
    </xdr:from>
    <xdr:to>
      <xdr:col>18</xdr:col>
      <xdr:colOff>520700</xdr:colOff>
      <xdr:row>25</xdr:row>
      <xdr:rowOff>41288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6E71FC6-F2FC-6146-BEE8-795675097B8C}"/>
            </a:ext>
          </a:extLst>
        </xdr:cNvPr>
        <xdr:cNvSpPr/>
      </xdr:nvSpPr>
      <xdr:spPr>
        <a:xfrm>
          <a:off x="14909800" y="4737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13</xdr:col>
      <xdr:colOff>596900</xdr:colOff>
      <xdr:row>23</xdr:row>
      <xdr:rowOff>114300</xdr:rowOff>
    </xdr:from>
    <xdr:to>
      <xdr:col>14</xdr:col>
      <xdr:colOff>241300</xdr:colOff>
      <xdr:row>25</xdr:row>
      <xdr:rowOff>92088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62445B6-23DB-6D48-9C3D-036FE44A4E4D}"/>
            </a:ext>
          </a:extLst>
        </xdr:cNvPr>
        <xdr:cNvSpPr/>
      </xdr:nvSpPr>
      <xdr:spPr>
        <a:xfrm>
          <a:off x="11328400" y="478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16</xdr:col>
      <xdr:colOff>0</xdr:colOff>
      <xdr:row>38</xdr:row>
      <xdr:rowOff>177800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CC7C8B3-21F8-234B-B45F-E3C11E9D7965}"/>
            </a:ext>
          </a:extLst>
        </xdr:cNvPr>
        <xdr:cNvCxnSpPr/>
      </xdr:nvCxnSpPr>
      <xdr:spPr>
        <a:xfrm>
          <a:off x="13208000" y="5892800"/>
          <a:ext cx="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800100</xdr:colOff>
      <xdr:row>39</xdr:row>
      <xdr:rowOff>12700</xdr:rowOff>
    </xdr:from>
    <xdr:to>
      <xdr:col>16</xdr:col>
      <xdr:colOff>825077</xdr:colOff>
      <xdr:row>44</xdr:row>
      <xdr:rowOff>100654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0DA23F0-9A45-CF42-A9E1-ACF7543DD6C7}"/>
            </a:ext>
          </a:extLst>
        </xdr:cNvPr>
        <xdr:cNvSpPr/>
      </xdr:nvSpPr>
      <xdr:spPr>
        <a:xfrm>
          <a:off x="12357100" y="79375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13</xdr:col>
      <xdr:colOff>127000</xdr:colOff>
      <xdr:row>41</xdr:row>
      <xdr:rowOff>190500</xdr:rowOff>
    </xdr:from>
    <xdr:to>
      <xdr:col>14</xdr:col>
      <xdr:colOff>774277</xdr:colOff>
      <xdr:row>41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A7DA251-B3F9-1244-A394-715B7DACDB2A}"/>
            </a:ext>
          </a:extLst>
        </xdr:cNvPr>
        <xdr:cNvCxnSpPr/>
      </xdr:nvCxnSpPr>
      <xdr:spPr>
        <a:xfrm>
          <a:off x="108585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33</xdr:row>
      <xdr:rowOff>63500</xdr:rowOff>
    </xdr:from>
    <xdr:to>
      <xdr:col>16</xdr:col>
      <xdr:colOff>584200</xdr:colOff>
      <xdr:row>35</xdr:row>
      <xdr:rowOff>41288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ED0C494-D69F-D14A-883C-7191020D07FB}"/>
            </a:ext>
          </a:extLst>
        </xdr:cNvPr>
        <xdr:cNvSpPr/>
      </xdr:nvSpPr>
      <xdr:spPr>
        <a:xfrm>
          <a:off x="13322300" y="6769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13</xdr:col>
      <xdr:colOff>800100</xdr:colOff>
      <xdr:row>39</xdr:row>
      <xdr:rowOff>177800</xdr:rowOff>
    </xdr:from>
    <xdr:to>
      <xdr:col>14</xdr:col>
      <xdr:colOff>444500</xdr:colOff>
      <xdr:row>41</xdr:row>
      <xdr:rowOff>155588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B647391B-35E7-034C-92C1-BF4533F524F6}"/>
            </a:ext>
          </a:extLst>
        </xdr:cNvPr>
        <xdr:cNvSpPr/>
      </xdr:nvSpPr>
      <xdr:spPr>
        <a:xfrm>
          <a:off x="11531600" y="81026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17</xdr:col>
      <xdr:colOff>50800</xdr:colOff>
      <xdr:row>41</xdr:row>
      <xdr:rowOff>190500</xdr:rowOff>
    </xdr:from>
    <xdr:to>
      <xdr:col>18</xdr:col>
      <xdr:colOff>698077</xdr:colOff>
      <xdr:row>41</xdr:row>
      <xdr:rowOff>190500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A5D6CA4C-A19E-0C48-889B-FE4EBF3E7FE8}"/>
            </a:ext>
          </a:extLst>
        </xdr:cNvPr>
        <xdr:cNvCxnSpPr/>
      </xdr:nvCxnSpPr>
      <xdr:spPr>
        <a:xfrm>
          <a:off x="140843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39</xdr:row>
      <xdr:rowOff>25400</xdr:rowOff>
    </xdr:from>
    <xdr:to>
      <xdr:col>21</xdr:col>
      <xdr:colOff>24977</xdr:colOff>
      <xdr:row>44</xdr:row>
      <xdr:rowOff>113354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15B587F6-FD76-1949-9848-3C524E80F638}"/>
            </a:ext>
          </a:extLst>
        </xdr:cNvPr>
        <xdr:cNvSpPr/>
      </xdr:nvSpPr>
      <xdr:spPr>
        <a:xfrm>
          <a:off x="15684500" y="79502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Washer</a:t>
          </a:r>
        </a:p>
      </xdr:txBody>
    </xdr:sp>
    <xdr:clientData/>
  </xdr:twoCellAnchor>
  <xdr:twoCellAnchor>
    <xdr:from>
      <xdr:col>17</xdr:col>
      <xdr:colOff>546100</xdr:colOff>
      <xdr:row>39</xdr:row>
      <xdr:rowOff>88900</xdr:rowOff>
    </xdr:from>
    <xdr:to>
      <xdr:col>18</xdr:col>
      <xdr:colOff>190500</xdr:colOff>
      <xdr:row>41</xdr:row>
      <xdr:rowOff>66688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6405892-11FA-324B-8C3D-B35500B66AB8}"/>
            </a:ext>
          </a:extLst>
        </xdr:cNvPr>
        <xdr:cNvSpPr/>
      </xdr:nvSpPr>
      <xdr:spPr>
        <a:xfrm>
          <a:off x="14579600" y="80137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20</xdr:col>
      <xdr:colOff>12700</xdr:colOff>
      <xdr:row>34</xdr:row>
      <xdr:rowOff>127000</xdr:rowOff>
    </xdr:from>
    <xdr:to>
      <xdr:col>20</xdr:col>
      <xdr:colOff>13305</xdr:colOff>
      <xdr:row>39</xdr:row>
      <xdr:rowOff>13910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AA47DB7A-11D7-0B45-B8C0-E207DA4C7A51}"/>
            </a:ext>
          </a:extLst>
        </xdr:cNvPr>
        <xdr:cNvCxnSpPr/>
      </xdr:nvCxnSpPr>
      <xdr:spPr>
        <a:xfrm>
          <a:off x="16522700" y="70358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36</xdr:row>
      <xdr:rowOff>12700</xdr:rowOff>
    </xdr:from>
    <xdr:to>
      <xdr:col>20</xdr:col>
      <xdr:colOff>584200</xdr:colOff>
      <xdr:row>37</xdr:row>
      <xdr:rowOff>193688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1A4A214D-694B-8048-BD40-34911C014482}"/>
            </a:ext>
          </a:extLst>
        </xdr:cNvPr>
        <xdr:cNvSpPr/>
      </xdr:nvSpPr>
      <xdr:spPr>
        <a:xfrm>
          <a:off x="16624300" y="732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23</xdr:col>
      <xdr:colOff>12700</xdr:colOff>
      <xdr:row>39</xdr:row>
      <xdr:rowOff>38100</xdr:rowOff>
    </xdr:from>
    <xdr:to>
      <xdr:col>25</xdr:col>
      <xdr:colOff>37677</xdr:colOff>
      <xdr:row>44</xdr:row>
      <xdr:rowOff>126054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17142910-0568-CC4F-B228-E25E4730B35C}"/>
            </a:ext>
          </a:extLst>
        </xdr:cNvPr>
        <xdr:cNvSpPr/>
      </xdr:nvSpPr>
      <xdr:spPr>
        <a:xfrm>
          <a:off x="18999200" y="7962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Mixer/Dryer</a:t>
          </a:r>
        </a:p>
      </xdr:txBody>
    </xdr:sp>
    <xdr:clientData/>
  </xdr:twoCellAnchor>
  <xdr:twoCellAnchor>
    <xdr:from>
      <xdr:col>21</xdr:col>
      <xdr:colOff>76200</xdr:colOff>
      <xdr:row>41</xdr:row>
      <xdr:rowOff>177800</xdr:rowOff>
    </xdr:from>
    <xdr:to>
      <xdr:col>22</xdr:col>
      <xdr:colOff>723477</xdr:colOff>
      <xdr:row>41</xdr:row>
      <xdr:rowOff>177800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4BAF595-A4E8-7448-A483-F85DCB96CCDE}"/>
            </a:ext>
          </a:extLst>
        </xdr:cNvPr>
        <xdr:cNvCxnSpPr/>
      </xdr:nvCxnSpPr>
      <xdr:spPr>
        <a:xfrm>
          <a:off x="17411700" y="85090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762000</xdr:colOff>
      <xdr:row>39</xdr:row>
      <xdr:rowOff>139700</xdr:rowOff>
    </xdr:from>
    <xdr:to>
      <xdr:col>22</xdr:col>
      <xdr:colOff>406400</xdr:colOff>
      <xdr:row>41</xdr:row>
      <xdr:rowOff>117488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CEE5BF5B-57A4-0640-BA1A-89F68031C0CF}"/>
            </a:ext>
          </a:extLst>
        </xdr:cNvPr>
        <xdr:cNvSpPr/>
      </xdr:nvSpPr>
      <xdr:spPr>
        <a:xfrm>
          <a:off x="18097500" y="80645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21</a:t>
          </a:r>
        </a:p>
      </xdr:txBody>
    </xdr:sp>
    <xdr:clientData/>
  </xdr:twoCellAnchor>
  <xdr:twoCellAnchor>
    <xdr:from>
      <xdr:col>23</xdr:col>
      <xdr:colOff>419100</xdr:colOff>
      <xdr:row>34</xdr:row>
      <xdr:rowOff>139700</xdr:rowOff>
    </xdr:from>
    <xdr:to>
      <xdr:col>23</xdr:col>
      <xdr:colOff>419705</xdr:colOff>
      <xdr:row>39</xdr:row>
      <xdr:rowOff>26610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3220951-31F1-B24C-80C2-8A48B1937F0C}"/>
            </a:ext>
          </a:extLst>
        </xdr:cNvPr>
        <xdr:cNvCxnSpPr/>
      </xdr:nvCxnSpPr>
      <xdr:spPr>
        <a:xfrm>
          <a:off x="19405600" y="7048500"/>
          <a:ext cx="605" cy="9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546100</xdr:colOff>
      <xdr:row>36</xdr:row>
      <xdr:rowOff>12700</xdr:rowOff>
    </xdr:from>
    <xdr:to>
      <xdr:col>24</xdr:col>
      <xdr:colOff>190500</xdr:colOff>
      <xdr:row>37</xdr:row>
      <xdr:rowOff>193688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CE4B2736-2F0B-BB40-9472-1FDE903748FE}"/>
            </a:ext>
          </a:extLst>
        </xdr:cNvPr>
        <xdr:cNvSpPr/>
      </xdr:nvSpPr>
      <xdr:spPr>
        <a:xfrm>
          <a:off x="19532600" y="73279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22</a:t>
          </a:r>
        </a:p>
      </xdr:txBody>
    </xdr:sp>
    <xdr:clientData/>
  </xdr:twoCellAnchor>
  <xdr:twoCellAnchor>
    <xdr:from>
      <xdr:col>25</xdr:col>
      <xdr:colOff>88900</xdr:colOff>
      <xdr:row>41</xdr:row>
      <xdr:rowOff>190500</xdr:rowOff>
    </xdr:from>
    <xdr:to>
      <xdr:col>26</xdr:col>
      <xdr:colOff>736177</xdr:colOff>
      <xdr:row>41</xdr:row>
      <xdr:rowOff>190500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8721D1E-B9AF-324A-82B7-DDC880137D7C}"/>
            </a:ext>
          </a:extLst>
        </xdr:cNvPr>
        <xdr:cNvCxnSpPr/>
      </xdr:nvCxnSpPr>
      <xdr:spPr>
        <a:xfrm>
          <a:off x="20726400" y="85217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39</xdr:row>
      <xdr:rowOff>38100</xdr:rowOff>
    </xdr:from>
    <xdr:to>
      <xdr:col>29</xdr:col>
      <xdr:colOff>37677</xdr:colOff>
      <xdr:row>44</xdr:row>
      <xdr:rowOff>126054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865412D7-19C9-A045-A62F-12CAE30980A6}"/>
            </a:ext>
          </a:extLst>
        </xdr:cNvPr>
        <xdr:cNvSpPr/>
      </xdr:nvSpPr>
      <xdr:spPr>
        <a:xfrm>
          <a:off x="22301200" y="79629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635000</xdr:colOff>
      <xdr:row>39</xdr:row>
      <xdr:rowOff>114300</xdr:rowOff>
    </xdr:from>
    <xdr:to>
      <xdr:col>26</xdr:col>
      <xdr:colOff>279400</xdr:colOff>
      <xdr:row>41</xdr:row>
      <xdr:rowOff>92088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0EE3D3D-47F6-0641-8397-DD3D6DA8658C}"/>
            </a:ext>
          </a:extLst>
        </xdr:cNvPr>
        <xdr:cNvSpPr/>
      </xdr:nvSpPr>
      <xdr:spPr>
        <a:xfrm>
          <a:off x="21272500" y="8039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28</xdr:col>
      <xdr:colOff>0</xdr:colOff>
      <xdr:row>45</xdr:row>
      <xdr:rowOff>12700</xdr:rowOff>
    </xdr:from>
    <xdr:to>
      <xdr:col>28</xdr:col>
      <xdr:colOff>12700</xdr:colOff>
      <xdr:row>54</xdr:row>
      <xdr:rowOff>190500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593F7A4-5F09-7E43-87C1-88AD06EDA33E}"/>
            </a:ext>
          </a:extLst>
        </xdr:cNvPr>
        <xdr:cNvCxnSpPr/>
      </xdr:nvCxnSpPr>
      <xdr:spPr>
        <a:xfrm>
          <a:off x="23114000" y="9156700"/>
          <a:ext cx="12700" cy="200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55</xdr:row>
      <xdr:rowOff>38100</xdr:rowOff>
    </xdr:from>
    <xdr:to>
      <xdr:col>29</xdr:col>
      <xdr:colOff>24977</xdr:colOff>
      <xdr:row>60</xdr:row>
      <xdr:rowOff>126054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8ED0FADF-80AE-124E-83B6-9DEE0C1091A2}"/>
            </a:ext>
          </a:extLst>
        </xdr:cNvPr>
        <xdr:cNvSpPr/>
      </xdr:nvSpPr>
      <xdr:spPr>
        <a:xfrm>
          <a:off x="22288500" y="11214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28</xdr:col>
      <xdr:colOff>50800</xdr:colOff>
      <xdr:row>48</xdr:row>
      <xdr:rowOff>177800</xdr:rowOff>
    </xdr:from>
    <xdr:to>
      <xdr:col>28</xdr:col>
      <xdr:colOff>520700</xdr:colOff>
      <xdr:row>50</xdr:row>
      <xdr:rowOff>155588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C4CE35D7-6523-8744-A19D-89257405F97E}"/>
            </a:ext>
          </a:extLst>
        </xdr:cNvPr>
        <xdr:cNvSpPr/>
      </xdr:nvSpPr>
      <xdr:spPr>
        <a:xfrm>
          <a:off x="23164800" y="99314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24</a:t>
          </a:r>
        </a:p>
      </xdr:txBody>
    </xdr:sp>
    <xdr:clientData/>
  </xdr:twoCellAnchor>
  <xdr:twoCellAnchor>
    <xdr:from>
      <xdr:col>29</xdr:col>
      <xdr:colOff>88900</xdr:colOff>
      <xdr:row>58</xdr:row>
      <xdr:rowOff>0</xdr:rowOff>
    </xdr:from>
    <xdr:to>
      <xdr:col>30</xdr:col>
      <xdr:colOff>723900</xdr:colOff>
      <xdr:row>58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82E0728F-C475-3D49-9EF6-45D1AF631EBD}"/>
            </a:ext>
          </a:extLst>
        </xdr:cNvPr>
        <xdr:cNvCxnSpPr/>
      </xdr:nvCxnSpPr>
      <xdr:spPr>
        <a:xfrm flipH="1">
          <a:off x="24028400" y="117856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520700</xdr:colOff>
      <xdr:row>55</xdr:row>
      <xdr:rowOff>127000</xdr:rowOff>
    </xdr:from>
    <xdr:to>
      <xdr:col>30</xdr:col>
      <xdr:colOff>165100</xdr:colOff>
      <xdr:row>57</xdr:row>
      <xdr:rowOff>104788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1FE8B09-50E6-D341-ADBF-7E1CFB8DFD39}"/>
            </a:ext>
          </a:extLst>
        </xdr:cNvPr>
        <xdr:cNvSpPr/>
      </xdr:nvSpPr>
      <xdr:spPr>
        <a:xfrm>
          <a:off x="24460200" y="113030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25</xdr:col>
      <xdr:colOff>114300</xdr:colOff>
      <xdr:row>57</xdr:row>
      <xdr:rowOff>190500</xdr:rowOff>
    </xdr:from>
    <xdr:to>
      <xdr:col>26</xdr:col>
      <xdr:colOff>749300</xdr:colOff>
      <xdr:row>57</xdr:row>
      <xdr:rowOff>190500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37CDDE7-7E43-9348-9720-10F4C2A71384}"/>
            </a:ext>
          </a:extLst>
        </xdr:cNvPr>
        <xdr:cNvCxnSpPr/>
      </xdr:nvCxnSpPr>
      <xdr:spPr>
        <a:xfrm flipH="1">
          <a:off x="20751800" y="117729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749300</xdr:colOff>
      <xdr:row>55</xdr:row>
      <xdr:rowOff>165100</xdr:rowOff>
    </xdr:from>
    <xdr:to>
      <xdr:col>26</xdr:col>
      <xdr:colOff>393700</xdr:colOff>
      <xdr:row>57</xdr:row>
      <xdr:rowOff>142888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A11A3E53-219A-B745-96B4-C6624D7E9272}"/>
            </a:ext>
          </a:extLst>
        </xdr:cNvPr>
        <xdr:cNvSpPr/>
      </xdr:nvSpPr>
      <xdr:spPr>
        <a:xfrm>
          <a:off x="21386800" y="11341100"/>
          <a:ext cx="4699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12700</xdr:rowOff>
    </xdr:from>
    <xdr:to>
      <xdr:col>10</xdr:col>
      <xdr:colOff>200862</xdr:colOff>
      <xdr:row>13</xdr:row>
      <xdr:rowOff>125268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FBE3A-06C6-5449-865E-90D71F03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0" y="1231900"/>
          <a:ext cx="5153862" cy="15494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24977</xdr:colOff>
      <xdr:row>12</xdr:row>
      <xdr:rowOff>87954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E6A773-EFE0-CE4E-9315-E5AC3BE207CD}"/>
            </a:ext>
          </a:extLst>
        </xdr:cNvPr>
        <xdr:cNvSpPr/>
      </xdr:nvSpPr>
      <xdr:spPr>
        <a:xfrm>
          <a:off x="20789900" y="14478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11</xdr:col>
      <xdr:colOff>139700</xdr:colOff>
      <xdr:row>9</xdr:row>
      <xdr:rowOff>152400</xdr:rowOff>
    </xdr:from>
    <xdr:to>
      <xdr:col>12</xdr:col>
      <xdr:colOff>786977</xdr:colOff>
      <xdr:row>9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CFA2E41-7C5C-7E46-96FA-E56E8DFC23F6}"/>
            </a:ext>
          </a:extLst>
        </xdr:cNvPr>
        <xdr:cNvCxnSpPr/>
      </xdr:nvCxnSpPr>
      <xdr:spPr>
        <a:xfrm>
          <a:off x="19278600" y="20066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7</xdr:row>
      <xdr:rowOff>127000</xdr:rowOff>
    </xdr:from>
    <xdr:to>
      <xdr:col>12</xdr:col>
      <xdr:colOff>393700</xdr:colOff>
      <xdr:row>9</xdr:row>
      <xdr:rowOff>104788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6CA660D-DBAD-B44F-A2D6-AC458168268C}"/>
            </a:ext>
          </a:extLst>
        </xdr:cNvPr>
        <xdr:cNvSpPr/>
      </xdr:nvSpPr>
      <xdr:spPr>
        <a:xfrm>
          <a:off x="19977100" y="15748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165100</xdr:colOff>
      <xdr:row>11</xdr:row>
      <xdr:rowOff>63500</xdr:rowOff>
    </xdr:from>
    <xdr:to>
      <xdr:col>12</xdr:col>
      <xdr:colOff>812377</xdr:colOff>
      <xdr:row>11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B7D33E9-F810-184C-97E1-7A4E94346E9D}"/>
            </a:ext>
          </a:extLst>
        </xdr:cNvPr>
        <xdr:cNvCxnSpPr/>
      </xdr:nvCxnSpPr>
      <xdr:spPr>
        <a:xfrm>
          <a:off x="19304000" y="23241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11</xdr:row>
      <xdr:rowOff>114300</xdr:rowOff>
    </xdr:from>
    <xdr:to>
      <xdr:col>12</xdr:col>
      <xdr:colOff>419100</xdr:colOff>
      <xdr:row>13</xdr:row>
      <xdr:rowOff>92088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46DCA9D-5682-B344-B112-EA50E42501D1}"/>
            </a:ext>
          </a:extLst>
        </xdr:cNvPr>
        <xdr:cNvSpPr/>
      </xdr:nvSpPr>
      <xdr:spPr>
        <a:xfrm>
          <a:off x="20002500" y="2374900"/>
          <a:ext cx="381000" cy="3841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76200</xdr:colOff>
      <xdr:row>9</xdr:row>
      <xdr:rowOff>165100</xdr:rowOff>
    </xdr:from>
    <xdr:to>
      <xdr:col>16</xdr:col>
      <xdr:colOff>723477</xdr:colOff>
      <xdr:row>9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973C5B9-6B94-3144-8A0B-6992C7269726}"/>
            </a:ext>
          </a:extLst>
        </xdr:cNvPr>
        <xdr:cNvCxnSpPr/>
      </xdr:nvCxnSpPr>
      <xdr:spPr>
        <a:xfrm>
          <a:off x="22517100" y="2019300"/>
          <a:ext cx="14727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722690</xdr:colOff>
      <xdr:row>7</xdr:row>
      <xdr:rowOff>137885</xdr:rowOff>
    </xdr:from>
    <xdr:to>
      <xdr:col>16</xdr:col>
      <xdr:colOff>278190</xdr:colOff>
      <xdr:row>9</xdr:row>
      <xdr:rowOff>115673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8011F29-D220-614F-9212-208A6FDA9FA2}"/>
            </a:ext>
          </a:extLst>
        </xdr:cNvPr>
        <xdr:cNvSpPr/>
      </xdr:nvSpPr>
      <xdr:spPr>
        <a:xfrm>
          <a:off x="13059833" y="1577218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17</xdr:col>
      <xdr:colOff>12700</xdr:colOff>
      <xdr:row>7</xdr:row>
      <xdr:rowOff>12700</xdr:rowOff>
    </xdr:from>
    <xdr:to>
      <xdr:col>19</xdr:col>
      <xdr:colOff>37677</xdr:colOff>
      <xdr:row>12</xdr:row>
      <xdr:rowOff>100654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D7D64FC-DF10-1243-9C20-0AE7BB4E7223}"/>
            </a:ext>
          </a:extLst>
        </xdr:cNvPr>
        <xdr:cNvSpPr/>
      </xdr:nvSpPr>
      <xdr:spPr>
        <a:xfrm>
          <a:off x="14046200" y="1435100"/>
          <a:ext cx="1675977" cy="1103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Stirrer</a:t>
          </a:r>
        </a:p>
      </xdr:txBody>
    </xdr:sp>
    <xdr:clientData/>
  </xdr:twoCellAnchor>
  <xdr:twoCellAnchor>
    <xdr:from>
      <xdr:col>18</xdr:col>
      <xdr:colOff>0</xdr:colOff>
      <xdr:row>1</xdr:row>
      <xdr:rowOff>169333</xdr:rowOff>
    </xdr:from>
    <xdr:to>
      <xdr:col>18</xdr:col>
      <xdr:colOff>0</xdr:colOff>
      <xdr:row>6</xdr:row>
      <xdr:rowOff>193524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B1D2F0B-682B-F142-8B79-829E132502E7}"/>
            </a:ext>
          </a:extLst>
        </xdr:cNvPr>
        <xdr:cNvCxnSpPr/>
      </xdr:nvCxnSpPr>
      <xdr:spPr>
        <a:xfrm>
          <a:off x="14804571" y="374952"/>
          <a:ext cx="0" cy="1052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84667</xdr:colOff>
      <xdr:row>3</xdr:row>
      <xdr:rowOff>157239</xdr:rowOff>
    </xdr:from>
    <xdr:to>
      <xdr:col>18</xdr:col>
      <xdr:colOff>462643</xdr:colOff>
      <xdr:row>5</xdr:row>
      <xdr:rowOff>135027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E4EA735-4512-C546-948A-4C89D8ECF45F}"/>
            </a:ext>
          </a:extLst>
        </xdr:cNvPr>
        <xdr:cNvSpPr/>
      </xdr:nvSpPr>
      <xdr:spPr>
        <a:xfrm>
          <a:off x="14889238" y="774096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19</xdr:col>
      <xdr:colOff>72571</xdr:colOff>
      <xdr:row>10</xdr:row>
      <xdr:rowOff>0</xdr:rowOff>
    </xdr:from>
    <xdr:to>
      <xdr:col>20</xdr:col>
      <xdr:colOff>719848</xdr:colOff>
      <xdr:row>10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263CE88-04AD-814B-B089-20BF5DD3C372}"/>
            </a:ext>
          </a:extLst>
        </xdr:cNvPr>
        <xdr:cNvCxnSpPr/>
      </xdr:nvCxnSpPr>
      <xdr:spPr>
        <a:xfrm>
          <a:off x="15699619" y="2056190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12095</xdr:colOff>
      <xdr:row>7</xdr:row>
      <xdr:rowOff>12095</xdr:rowOff>
    </xdr:from>
    <xdr:to>
      <xdr:col>23</xdr:col>
      <xdr:colOff>37073</xdr:colOff>
      <xdr:row>12</xdr:row>
      <xdr:rowOff>100049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25025C7-7DB0-3745-BE5F-A8A24B6E824C}"/>
            </a:ext>
          </a:extLst>
        </xdr:cNvPr>
        <xdr:cNvSpPr/>
      </xdr:nvSpPr>
      <xdr:spPr>
        <a:xfrm>
          <a:off x="17284095" y="1451428"/>
          <a:ext cx="1669930" cy="1116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Warmed</a:t>
          </a:r>
        </a:p>
      </xdr:txBody>
    </xdr:sp>
    <xdr:clientData/>
  </xdr:twoCellAnchor>
  <xdr:twoCellAnchor>
    <xdr:from>
      <xdr:col>19</xdr:col>
      <xdr:colOff>774095</xdr:colOff>
      <xdr:row>7</xdr:row>
      <xdr:rowOff>169333</xdr:rowOff>
    </xdr:from>
    <xdr:to>
      <xdr:col>20</xdr:col>
      <xdr:colOff>329595</xdr:colOff>
      <xdr:row>9</xdr:row>
      <xdr:rowOff>147121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B659203A-C315-5540-B5EF-09DD93A49132}"/>
            </a:ext>
          </a:extLst>
        </xdr:cNvPr>
        <xdr:cNvSpPr/>
      </xdr:nvSpPr>
      <xdr:spPr>
        <a:xfrm>
          <a:off x="16401143" y="1608666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23</xdr:col>
      <xdr:colOff>96762</xdr:colOff>
      <xdr:row>9</xdr:row>
      <xdr:rowOff>193524</xdr:rowOff>
    </xdr:from>
    <xdr:to>
      <xdr:col>24</xdr:col>
      <xdr:colOff>744038</xdr:colOff>
      <xdr:row>9</xdr:row>
      <xdr:rowOff>193524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935C8D-BBA6-D14B-B4B8-2B03C4F99057}"/>
            </a:ext>
          </a:extLst>
        </xdr:cNvPr>
        <xdr:cNvCxnSpPr/>
      </xdr:nvCxnSpPr>
      <xdr:spPr>
        <a:xfrm>
          <a:off x="19013714" y="2044095"/>
          <a:ext cx="146975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604763</xdr:colOff>
      <xdr:row>7</xdr:row>
      <xdr:rowOff>96762</xdr:rowOff>
    </xdr:from>
    <xdr:to>
      <xdr:col>24</xdr:col>
      <xdr:colOff>160262</xdr:colOff>
      <xdr:row>9</xdr:row>
      <xdr:rowOff>74550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3C60288-373C-3446-8798-5D20D7252089}"/>
            </a:ext>
          </a:extLst>
        </xdr:cNvPr>
        <xdr:cNvSpPr/>
      </xdr:nvSpPr>
      <xdr:spPr>
        <a:xfrm>
          <a:off x="19521715" y="1536095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25</xdr:col>
      <xdr:colOff>0</xdr:colOff>
      <xdr:row>7</xdr:row>
      <xdr:rowOff>0</xdr:rowOff>
    </xdr:from>
    <xdr:to>
      <xdr:col>27</xdr:col>
      <xdr:colOff>24978</xdr:colOff>
      <xdr:row>12</xdr:row>
      <xdr:rowOff>87954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20F92FF-35C7-5E46-978B-0BC38286C072}"/>
            </a:ext>
          </a:extLst>
        </xdr:cNvPr>
        <xdr:cNvSpPr/>
      </xdr:nvSpPr>
      <xdr:spPr>
        <a:xfrm>
          <a:off x="20561905" y="1439333"/>
          <a:ext cx="1669930" cy="1116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26</xdr:col>
      <xdr:colOff>0</xdr:colOff>
      <xdr:row>1</xdr:row>
      <xdr:rowOff>120952</xdr:rowOff>
    </xdr:from>
    <xdr:to>
      <xdr:col>26</xdr:col>
      <xdr:colOff>0</xdr:colOff>
      <xdr:row>6</xdr:row>
      <xdr:rowOff>145143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36BB0C7-3FA2-D54E-86E0-5B19EFB0C235}"/>
            </a:ext>
          </a:extLst>
        </xdr:cNvPr>
        <xdr:cNvCxnSpPr/>
      </xdr:nvCxnSpPr>
      <xdr:spPr>
        <a:xfrm>
          <a:off x="21384381" y="326571"/>
          <a:ext cx="0" cy="1052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60477</xdr:colOff>
      <xdr:row>3</xdr:row>
      <xdr:rowOff>145143</xdr:rowOff>
    </xdr:from>
    <xdr:to>
      <xdr:col>26</xdr:col>
      <xdr:colOff>438453</xdr:colOff>
      <xdr:row>5</xdr:row>
      <xdr:rowOff>122931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6A0734E-7979-854A-B4A2-5A60B436EC8D}"/>
            </a:ext>
          </a:extLst>
        </xdr:cNvPr>
        <xdr:cNvSpPr/>
      </xdr:nvSpPr>
      <xdr:spPr>
        <a:xfrm>
          <a:off x="21444858" y="762000"/>
          <a:ext cx="377976" cy="38902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27</xdr:col>
      <xdr:colOff>86591</xdr:colOff>
      <xdr:row>9</xdr:row>
      <xdr:rowOff>158750</xdr:rowOff>
    </xdr:from>
    <xdr:to>
      <xdr:col>28</xdr:col>
      <xdr:colOff>733866</xdr:colOff>
      <xdr:row>9</xdr:row>
      <xdr:rowOff>158750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D001F43-8F00-6A43-AD38-036C33C0CF73}"/>
            </a:ext>
          </a:extLst>
        </xdr:cNvPr>
        <xdr:cNvCxnSpPr/>
      </xdr:nvCxnSpPr>
      <xdr:spPr>
        <a:xfrm>
          <a:off x="22297159" y="1977159"/>
          <a:ext cx="14698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</xdr:row>
      <xdr:rowOff>14433</xdr:rowOff>
    </xdr:from>
    <xdr:to>
      <xdr:col>31</xdr:col>
      <xdr:colOff>24977</xdr:colOff>
      <xdr:row>12</xdr:row>
      <xdr:rowOff>102387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FB0FCBE-C481-AE4B-A7E4-5DC1023B80B1}"/>
            </a:ext>
          </a:extLst>
        </xdr:cNvPr>
        <xdr:cNvSpPr/>
      </xdr:nvSpPr>
      <xdr:spPr>
        <a:xfrm>
          <a:off x="23855795" y="1428751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30</xdr:col>
      <xdr:colOff>14432</xdr:colOff>
      <xdr:row>1</xdr:row>
      <xdr:rowOff>101024</xdr:rowOff>
    </xdr:from>
    <xdr:to>
      <xdr:col>30</xdr:col>
      <xdr:colOff>14432</xdr:colOff>
      <xdr:row>6</xdr:row>
      <xdr:rowOff>125215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65B01B7-9AC2-1A48-BED6-16665C96A0EB}"/>
            </a:ext>
          </a:extLst>
        </xdr:cNvPr>
        <xdr:cNvCxnSpPr/>
      </xdr:nvCxnSpPr>
      <xdr:spPr>
        <a:xfrm>
          <a:off x="24692841" y="303069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620569</xdr:colOff>
      <xdr:row>7</xdr:row>
      <xdr:rowOff>101023</xdr:rowOff>
    </xdr:from>
    <xdr:to>
      <xdr:col>28</xdr:col>
      <xdr:colOff>175931</xdr:colOff>
      <xdr:row>9</xdr:row>
      <xdr:rowOff>78811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CEFCFD48-8A23-C94F-8E10-B95B5BD33B37}"/>
            </a:ext>
          </a:extLst>
        </xdr:cNvPr>
        <xdr:cNvSpPr/>
      </xdr:nvSpPr>
      <xdr:spPr>
        <a:xfrm>
          <a:off x="22831137" y="1515341"/>
          <a:ext cx="377976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30</xdr:col>
      <xdr:colOff>129887</xdr:colOff>
      <xdr:row>3</xdr:row>
      <xdr:rowOff>144318</xdr:rowOff>
    </xdr:from>
    <xdr:to>
      <xdr:col>30</xdr:col>
      <xdr:colOff>507863</xdr:colOff>
      <xdr:row>5</xdr:row>
      <xdr:rowOff>122106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A7A5795-9800-D646-B35D-56F3DFDE5014}"/>
            </a:ext>
          </a:extLst>
        </xdr:cNvPr>
        <xdr:cNvSpPr/>
      </xdr:nvSpPr>
      <xdr:spPr>
        <a:xfrm>
          <a:off x="24808296" y="750454"/>
          <a:ext cx="377976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29</xdr:col>
      <xdr:colOff>808182</xdr:colOff>
      <xdr:row>12</xdr:row>
      <xdr:rowOff>187614</xdr:rowOff>
    </xdr:from>
    <xdr:to>
      <xdr:col>30</xdr:col>
      <xdr:colOff>14432</xdr:colOff>
      <xdr:row>23</xdr:row>
      <xdr:rowOff>187614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9B3D488-3909-C247-A54B-06B6EF3E2E1A}"/>
            </a:ext>
          </a:extLst>
        </xdr:cNvPr>
        <xdr:cNvCxnSpPr/>
      </xdr:nvCxnSpPr>
      <xdr:spPr>
        <a:xfrm>
          <a:off x="24663977" y="2612159"/>
          <a:ext cx="28864" cy="222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808181</xdr:colOff>
      <xdr:row>24</xdr:row>
      <xdr:rowOff>28864</xdr:rowOff>
    </xdr:from>
    <xdr:to>
      <xdr:col>31</xdr:col>
      <xdr:colOff>10545</xdr:colOff>
      <xdr:row>29</xdr:row>
      <xdr:rowOff>116818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46B9270-4281-3544-96EE-567E661D6351}"/>
            </a:ext>
          </a:extLst>
        </xdr:cNvPr>
        <xdr:cNvSpPr/>
      </xdr:nvSpPr>
      <xdr:spPr>
        <a:xfrm>
          <a:off x="23841363" y="4877955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Separator</a:t>
          </a:r>
        </a:p>
      </xdr:txBody>
    </xdr:sp>
    <xdr:clientData/>
  </xdr:twoCellAnchor>
  <xdr:twoCellAnchor>
    <xdr:from>
      <xdr:col>27</xdr:col>
      <xdr:colOff>144318</xdr:colOff>
      <xdr:row>26</xdr:row>
      <xdr:rowOff>129886</xdr:rowOff>
    </xdr:from>
    <xdr:to>
      <xdr:col>28</xdr:col>
      <xdr:colOff>764886</xdr:colOff>
      <xdr:row>26</xdr:row>
      <xdr:rowOff>129887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527AA4F-1C67-1142-9395-671E56782D4E}"/>
            </a:ext>
          </a:extLst>
        </xdr:cNvPr>
        <xdr:cNvCxnSpPr/>
      </xdr:nvCxnSpPr>
      <xdr:spPr>
        <a:xfrm flipH="1" flipV="1">
          <a:off x="22354886" y="5383068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793750</xdr:colOff>
      <xdr:row>23</xdr:row>
      <xdr:rowOff>187615</xdr:rowOff>
    </xdr:from>
    <xdr:to>
      <xdr:col>26</xdr:col>
      <xdr:colOff>818727</xdr:colOff>
      <xdr:row>29</xdr:row>
      <xdr:rowOff>73523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8AB32D0-7E6E-0442-AA2E-72A32D90C3CA}"/>
            </a:ext>
          </a:extLst>
        </xdr:cNvPr>
        <xdr:cNvSpPr/>
      </xdr:nvSpPr>
      <xdr:spPr>
        <a:xfrm>
          <a:off x="20536477" y="4834660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Mixer</a:t>
          </a:r>
        </a:p>
      </xdr:txBody>
    </xdr:sp>
    <xdr:clientData/>
  </xdr:twoCellAnchor>
  <xdr:twoCellAnchor>
    <xdr:from>
      <xdr:col>30</xdr:col>
      <xdr:colOff>14432</xdr:colOff>
      <xdr:row>30</xdr:row>
      <xdr:rowOff>0</xdr:rowOff>
    </xdr:from>
    <xdr:to>
      <xdr:col>30</xdr:col>
      <xdr:colOff>14432</xdr:colOff>
      <xdr:row>35</xdr:row>
      <xdr:rowOff>24192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45C57BD-F808-5D4A-AEAA-822A4B16D3E3}"/>
            </a:ext>
          </a:extLst>
        </xdr:cNvPr>
        <xdr:cNvCxnSpPr/>
      </xdr:nvCxnSpPr>
      <xdr:spPr>
        <a:xfrm>
          <a:off x="24692841" y="6061364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</xdr:colOff>
      <xdr:row>18</xdr:row>
      <xdr:rowOff>57727</xdr:rowOff>
    </xdr:from>
    <xdr:to>
      <xdr:col>30</xdr:col>
      <xdr:colOff>519545</xdr:colOff>
      <xdr:row>20</xdr:row>
      <xdr:rowOff>35515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E21A1BF-4D78-954C-A25A-6DCC2550058F}"/>
            </a:ext>
          </a:extLst>
        </xdr:cNvPr>
        <xdr:cNvSpPr/>
      </xdr:nvSpPr>
      <xdr:spPr>
        <a:xfrm>
          <a:off x="24736136" y="369454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30</xdr:col>
      <xdr:colOff>129887</xdr:colOff>
      <xdr:row>31</xdr:row>
      <xdr:rowOff>187615</xdr:rowOff>
    </xdr:from>
    <xdr:to>
      <xdr:col>30</xdr:col>
      <xdr:colOff>591705</xdr:colOff>
      <xdr:row>33</xdr:row>
      <xdr:rowOff>165403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B425254-7B56-604A-A28B-F58BA01A515C}"/>
            </a:ext>
          </a:extLst>
        </xdr:cNvPr>
        <xdr:cNvSpPr/>
      </xdr:nvSpPr>
      <xdr:spPr>
        <a:xfrm>
          <a:off x="24808296" y="6451024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27</xdr:col>
      <xdr:colOff>606136</xdr:colOff>
      <xdr:row>24</xdr:row>
      <xdr:rowOff>86591</xdr:rowOff>
    </xdr:from>
    <xdr:to>
      <xdr:col>28</xdr:col>
      <xdr:colOff>245340</xdr:colOff>
      <xdr:row>26</xdr:row>
      <xdr:rowOff>64379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71C29C3-55EC-9E47-B2CB-755309D5B52F}"/>
            </a:ext>
          </a:extLst>
        </xdr:cNvPr>
        <xdr:cNvSpPr/>
      </xdr:nvSpPr>
      <xdr:spPr>
        <a:xfrm>
          <a:off x="22816704" y="4935682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23</xdr:col>
      <xdr:colOff>144318</xdr:colOff>
      <xdr:row>26</xdr:row>
      <xdr:rowOff>115455</xdr:rowOff>
    </xdr:from>
    <xdr:to>
      <xdr:col>24</xdr:col>
      <xdr:colOff>764887</xdr:colOff>
      <xdr:row>26</xdr:row>
      <xdr:rowOff>115456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2964A25-E998-CB46-A2FA-3C1D1C05BEE3}"/>
            </a:ext>
          </a:extLst>
        </xdr:cNvPr>
        <xdr:cNvCxnSpPr/>
      </xdr:nvCxnSpPr>
      <xdr:spPr>
        <a:xfrm flipH="1" flipV="1">
          <a:off x="19064432" y="5368637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101023</xdr:colOff>
      <xdr:row>24</xdr:row>
      <xdr:rowOff>14432</xdr:rowOff>
    </xdr:from>
    <xdr:to>
      <xdr:col>23</xdr:col>
      <xdr:colOff>126000</xdr:colOff>
      <xdr:row>29</xdr:row>
      <xdr:rowOff>102386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FDB052F-A506-254D-9E61-8BBBCA87B220}"/>
            </a:ext>
          </a:extLst>
        </xdr:cNvPr>
        <xdr:cNvSpPr/>
      </xdr:nvSpPr>
      <xdr:spPr>
        <a:xfrm>
          <a:off x="17375909" y="4863523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Dryer/Mixer</a:t>
          </a:r>
        </a:p>
      </xdr:txBody>
    </xdr:sp>
    <xdr:clientData/>
  </xdr:twoCellAnchor>
  <xdr:twoCellAnchor>
    <xdr:from>
      <xdr:col>22</xdr:col>
      <xdr:colOff>72159</xdr:colOff>
      <xdr:row>18</xdr:row>
      <xdr:rowOff>129886</xdr:rowOff>
    </xdr:from>
    <xdr:to>
      <xdr:col>22</xdr:col>
      <xdr:colOff>72159</xdr:colOff>
      <xdr:row>23</xdr:row>
      <xdr:rowOff>154078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815ACC2-A8CB-1644-B176-B9AF1021DFFD}"/>
            </a:ext>
          </a:extLst>
        </xdr:cNvPr>
        <xdr:cNvCxnSpPr/>
      </xdr:nvCxnSpPr>
      <xdr:spPr>
        <a:xfrm>
          <a:off x="18169659" y="3766704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620567</xdr:colOff>
      <xdr:row>24</xdr:row>
      <xdr:rowOff>57726</xdr:rowOff>
    </xdr:from>
    <xdr:to>
      <xdr:col>24</xdr:col>
      <xdr:colOff>259772</xdr:colOff>
      <xdr:row>26</xdr:row>
      <xdr:rowOff>35514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1CDC311D-A546-084E-8666-98A0C4696A49}"/>
            </a:ext>
          </a:extLst>
        </xdr:cNvPr>
        <xdr:cNvSpPr/>
      </xdr:nvSpPr>
      <xdr:spPr>
        <a:xfrm>
          <a:off x="19540681" y="4906817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22</xdr:col>
      <xdr:colOff>115454</xdr:colOff>
      <xdr:row>20</xdr:row>
      <xdr:rowOff>43296</xdr:rowOff>
    </xdr:from>
    <xdr:to>
      <xdr:col>22</xdr:col>
      <xdr:colOff>577272</xdr:colOff>
      <xdr:row>22</xdr:row>
      <xdr:rowOff>21084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DE12FF3-D0C7-6840-86A7-EE38D2AD3A96}"/>
            </a:ext>
          </a:extLst>
        </xdr:cNvPr>
        <xdr:cNvSpPr/>
      </xdr:nvSpPr>
      <xdr:spPr>
        <a:xfrm>
          <a:off x="18212954" y="408420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</xdr:txBody>
    </xdr:sp>
    <xdr:clientData/>
  </xdr:twoCellAnchor>
  <xdr:twoCellAnchor>
    <xdr:from>
      <xdr:col>19</xdr:col>
      <xdr:colOff>230908</xdr:colOff>
      <xdr:row>26</xdr:row>
      <xdr:rowOff>115454</xdr:rowOff>
    </xdr:from>
    <xdr:to>
      <xdr:col>21</xdr:col>
      <xdr:colOff>28863</xdr:colOff>
      <xdr:row>26</xdr:row>
      <xdr:rowOff>115455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3A2B081-59C8-E14E-8B6F-DEB00F54C489}"/>
            </a:ext>
          </a:extLst>
        </xdr:cNvPr>
        <xdr:cNvCxnSpPr/>
      </xdr:nvCxnSpPr>
      <xdr:spPr>
        <a:xfrm flipH="1" flipV="1">
          <a:off x="15860567" y="5368636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158750</xdr:colOff>
      <xdr:row>23</xdr:row>
      <xdr:rowOff>158751</xdr:rowOff>
    </xdr:from>
    <xdr:to>
      <xdr:col>19</xdr:col>
      <xdr:colOff>183728</xdr:colOff>
      <xdr:row>29</xdr:row>
      <xdr:rowOff>44659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43AA8DD-DBAF-8849-A8AD-ABEF67597EF9}"/>
            </a:ext>
          </a:extLst>
        </xdr:cNvPr>
        <xdr:cNvSpPr/>
      </xdr:nvSpPr>
      <xdr:spPr>
        <a:xfrm>
          <a:off x="14143182" y="4805796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Reduced</a:t>
          </a:r>
          <a:r>
            <a:rPr lang="en-US" sz="2000" baseline="0">
              <a:solidFill>
                <a:schemeClr val="bg1"/>
              </a:solidFill>
            </a:rPr>
            <a:t> Pressure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303068</xdr:colOff>
      <xdr:row>26</xdr:row>
      <xdr:rowOff>86591</xdr:rowOff>
    </xdr:from>
    <xdr:to>
      <xdr:col>17</xdr:col>
      <xdr:colOff>101023</xdr:colOff>
      <xdr:row>26</xdr:row>
      <xdr:rowOff>86592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D60DEB1-6BB0-7244-AC7F-13DE73284FEE}"/>
            </a:ext>
          </a:extLst>
        </xdr:cNvPr>
        <xdr:cNvCxnSpPr/>
      </xdr:nvCxnSpPr>
      <xdr:spPr>
        <a:xfrm flipH="1" flipV="1">
          <a:off x="12642273" y="5339773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24</xdr:row>
      <xdr:rowOff>86590</xdr:rowOff>
    </xdr:from>
    <xdr:to>
      <xdr:col>20</xdr:col>
      <xdr:colOff>461818</xdr:colOff>
      <xdr:row>26</xdr:row>
      <xdr:rowOff>64378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9D1BAD0-9D11-7441-88C9-A09FE0F9901A}"/>
            </a:ext>
          </a:extLst>
        </xdr:cNvPr>
        <xdr:cNvSpPr/>
      </xdr:nvSpPr>
      <xdr:spPr>
        <a:xfrm>
          <a:off x="16452273" y="4935681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16</xdr:col>
      <xdr:colOff>101023</xdr:colOff>
      <xdr:row>24</xdr:row>
      <xdr:rowOff>28864</xdr:rowOff>
    </xdr:from>
    <xdr:to>
      <xdr:col>16</xdr:col>
      <xdr:colOff>562841</xdr:colOff>
      <xdr:row>26</xdr:row>
      <xdr:rowOff>6652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30F3ACC2-B06A-3A4A-A709-F21D07EE25B3}"/>
            </a:ext>
          </a:extLst>
        </xdr:cNvPr>
        <xdr:cNvSpPr/>
      </xdr:nvSpPr>
      <xdr:spPr>
        <a:xfrm>
          <a:off x="13262841" y="4877955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12</xdr:col>
      <xdr:colOff>816262</xdr:colOff>
      <xdr:row>23</xdr:row>
      <xdr:rowOff>80241</xdr:rowOff>
    </xdr:from>
    <xdr:to>
      <xdr:col>15</xdr:col>
      <xdr:colOff>18626</xdr:colOff>
      <xdr:row>28</xdr:row>
      <xdr:rowOff>168194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DC8CC6C-AADE-2B46-96DC-09889B2FD24D}"/>
            </a:ext>
          </a:extLst>
        </xdr:cNvPr>
        <xdr:cNvSpPr/>
      </xdr:nvSpPr>
      <xdr:spPr>
        <a:xfrm>
          <a:off x="10687626" y="4727286"/>
          <a:ext cx="1670205" cy="10981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bg1"/>
              </a:solidFill>
            </a:rPr>
            <a:t>Silica Gel Chromatography</a:t>
          </a:r>
        </a:p>
      </xdr:txBody>
    </xdr:sp>
    <xdr:clientData/>
  </xdr:twoCellAnchor>
  <xdr:twoCellAnchor>
    <xdr:from>
      <xdr:col>14</xdr:col>
      <xdr:colOff>14431</xdr:colOff>
      <xdr:row>17</xdr:row>
      <xdr:rowOff>173182</xdr:rowOff>
    </xdr:from>
    <xdr:to>
      <xdr:col>14</xdr:col>
      <xdr:colOff>14431</xdr:colOff>
      <xdr:row>22</xdr:row>
      <xdr:rowOff>197374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0837FAF-8A88-CC40-8EF3-A1B12C7ADBCA}"/>
            </a:ext>
          </a:extLst>
        </xdr:cNvPr>
        <xdr:cNvCxnSpPr/>
      </xdr:nvCxnSpPr>
      <xdr:spPr>
        <a:xfrm>
          <a:off x="11531022" y="3607955"/>
          <a:ext cx="0" cy="1034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129887</xdr:colOff>
      <xdr:row>19</xdr:row>
      <xdr:rowOff>158750</xdr:rowOff>
    </xdr:from>
    <xdr:to>
      <xdr:col>14</xdr:col>
      <xdr:colOff>591705</xdr:colOff>
      <xdr:row>21</xdr:row>
      <xdr:rowOff>136538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3FF8D0B-C743-414D-ADBD-11EAB1CCF127}"/>
            </a:ext>
          </a:extLst>
        </xdr:cNvPr>
        <xdr:cNvSpPr/>
      </xdr:nvSpPr>
      <xdr:spPr>
        <a:xfrm>
          <a:off x="11646478" y="3997614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19</a:t>
          </a:r>
        </a:p>
      </xdr:txBody>
    </xdr:sp>
    <xdr:clientData/>
  </xdr:twoCellAnchor>
  <xdr:twoCellAnchor>
    <xdr:from>
      <xdr:col>11</xdr:col>
      <xdr:colOff>129886</xdr:colOff>
      <xdr:row>26</xdr:row>
      <xdr:rowOff>57727</xdr:rowOff>
    </xdr:from>
    <xdr:to>
      <xdr:col>12</xdr:col>
      <xdr:colOff>750454</xdr:colOff>
      <xdr:row>26</xdr:row>
      <xdr:rowOff>57728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F0C28F9-A8FA-3842-A36B-56F7CA8C3C3A}"/>
            </a:ext>
          </a:extLst>
        </xdr:cNvPr>
        <xdr:cNvCxnSpPr/>
      </xdr:nvCxnSpPr>
      <xdr:spPr>
        <a:xfrm flipH="1" flipV="1">
          <a:off x="9178636" y="5310909"/>
          <a:ext cx="144318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750455</xdr:colOff>
      <xdr:row>23</xdr:row>
      <xdr:rowOff>144318</xdr:rowOff>
    </xdr:from>
    <xdr:to>
      <xdr:col>12</xdr:col>
      <xdr:colOff>389659</xdr:colOff>
      <xdr:row>25</xdr:row>
      <xdr:rowOff>122106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9871FD9F-0B56-D34C-9566-45F449E308F6}"/>
            </a:ext>
          </a:extLst>
        </xdr:cNvPr>
        <xdr:cNvSpPr/>
      </xdr:nvSpPr>
      <xdr:spPr>
        <a:xfrm>
          <a:off x="9799205" y="4791363"/>
          <a:ext cx="461818" cy="38187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</a:t>
          </a:r>
        </a:p>
      </xdr:txBody>
    </xdr:sp>
    <xdr:clientData/>
  </xdr:twoCellAnchor>
  <xdr:twoCellAnchor>
    <xdr:from>
      <xdr:col>31</xdr:col>
      <xdr:colOff>83869</xdr:colOff>
      <xdr:row>27</xdr:row>
      <xdr:rowOff>1</xdr:rowOff>
    </xdr:from>
    <xdr:to>
      <xdr:col>32</xdr:col>
      <xdr:colOff>704436</xdr:colOff>
      <xdr:row>27</xdr:row>
      <xdr:rowOff>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E055857-8DC8-9F49-A67C-C6F6EDA668F2}"/>
            </a:ext>
          </a:extLst>
        </xdr:cNvPr>
        <xdr:cNvCxnSpPr/>
      </xdr:nvCxnSpPr>
      <xdr:spPr>
        <a:xfrm flipH="1" flipV="1">
          <a:off x="31234812" y="5523303"/>
          <a:ext cx="144726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587076</xdr:colOff>
      <xdr:row>24</xdr:row>
      <xdr:rowOff>107831</xdr:rowOff>
    </xdr:from>
    <xdr:to>
      <xdr:col>32</xdr:col>
      <xdr:colOff>222195</xdr:colOff>
      <xdr:row>26</xdr:row>
      <xdr:rowOff>85618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1EEF53A-F6E3-C24C-9E22-BEDB15F1DEEB}"/>
            </a:ext>
          </a:extLst>
        </xdr:cNvPr>
        <xdr:cNvSpPr/>
      </xdr:nvSpPr>
      <xdr:spPr>
        <a:xfrm>
          <a:off x="31738019" y="5020095"/>
          <a:ext cx="461818" cy="38514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26</xdr:col>
      <xdr:colOff>11981</xdr:colOff>
      <xdr:row>18</xdr:row>
      <xdr:rowOff>119810</xdr:rowOff>
    </xdr:from>
    <xdr:to>
      <xdr:col>26</xdr:col>
      <xdr:colOff>11981</xdr:colOff>
      <xdr:row>23</xdr:row>
      <xdr:rowOff>144002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D5197AC1-9C46-FC4E-81E8-446A9B6DF565}"/>
            </a:ext>
          </a:extLst>
        </xdr:cNvPr>
        <xdr:cNvCxnSpPr/>
      </xdr:nvCxnSpPr>
      <xdr:spPr>
        <a:xfrm>
          <a:off x="27029434" y="3809999"/>
          <a:ext cx="0" cy="1042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119811</xdr:colOff>
      <xdr:row>20</xdr:row>
      <xdr:rowOff>107830</xdr:rowOff>
    </xdr:from>
    <xdr:to>
      <xdr:col>26</xdr:col>
      <xdr:colOff>585713</xdr:colOff>
      <xdr:row>22</xdr:row>
      <xdr:rowOff>85618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97CD4767-B4D3-8942-B924-1987C85140BA}"/>
            </a:ext>
          </a:extLst>
        </xdr:cNvPr>
        <xdr:cNvSpPr/>
      </xdr:nvSpPr>
      <xdr:spPr>
        <a:xfrm>
          <a:off x="27137264" y="4205377"/>
          <a:ext cx="465902" cy="385147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4549-12E9-B946-A723-BAF02B5DDAFC}">
  <dimension ref="A7:C40"/>
  <sheetViews>
    <sheetView zoomScale="88" workbookViewId="0">
      <selection activeCell="D40" sqref="D40"/>
    </sheetView>
  </sheetViews>
  <sheetFormatPr baseColWidth="10" defaultRowHeight="16"/>
  <cols>
    <col min="2" max="2" width="102.6640625" bestFit="1" customWidth="1"/>
  </cols>
  <sheetData>
    <row r="7" spans="1:2" ht="17" thickBot="1"/>
    <row r="8" spans="1:2" ht="17" thickBot="1">
      <c r="A8" s="4" t="s">
        <v>0</v>
      </c>
      <c r="B8" s="5" t="s">
        <v>1</v>
      </c>
    </row>
    <row r="9" spans="1:2">
      <c r="A9" s="2">
        <v>1</v>
      </c>
      <c r="B9" s="1" t="s">
        <v>2</v>
      </c>
    </row>
    <row r="10" spans="1:2">
      <c r="A10" s="2">
        <v>2</v>
      </c>
      <c r="B10" s="1" t="s">
        <v>3</v>
      </c>
    </row>
    <row r="11" spans="1:2">
      <c r="A11" s="2">
        <v>3</v>
      </c>
      <c r="B11" s="1" t="s">
        <v>4</v>
      </c>
    </row>
    <row r="12" spans="1:2">
      <c r="A12" s="2">
        <v>4</v>
      </c>
      <c r="B12" s="1" t="s">
        <v>5</v>
      </c>
    </row>
    <row r="13" spans="1:2">
      <c r="A13" s="2">
        <v>5</v>
      </c>
      <c r="B13" s="1" t="s">
        <v>10</v>
      </c>
    </row>
    <row r="14" spans="1:2">
      <c r="A14" s="2">
        <v>6</v>
      </c>
      <c r="B14" s="1" t="s">
        <v>7</v>
      </c>
    </row>
    <row r="15" spans="1:2">
      <c r="A15" s="2">
        <v>7</v>
      </c>
      <c r="B15" s="1" t="s">
        <v>8</v>
      </c>
    </row>
    <row r="16" spans="1:2">
      <c r="A16" s="2">
        <v>8</v>
      </c>
      <c r="B16" s="1" t="s">
        <v>9</v>
      </c>
    </row>
    <row r="17" spans="1:2">
      <c r="A17" s="2">
        <v>9</v>
      </c>
      <c r="B17" s="1" t="s">
        <v>11</v>
      </c>
    </row>
    <row r="18" spans="1:2">
      <c r="A18" s="2">
        <v>10</v>
      </c>
      <c r="B18" s="1" t="s">
        <v>13</v>
      </c>
    </row>
    <row r="19" spans="1:2">
      <c r="A19" s="2">
        <v>11</v>
      </c>
      <c r="B19" s="1" t="s">
        <v>38</v>
      </c>
    </row>
    <row r="20" spans="1:2">
      <c r="A20" s="2">
        <v>12</v>
      </c>
      <c r="B20" s="1" t="s">
        <v>12</v>
      </c>
    </row>
    <row r="21" spans="1:2">
      <c r="A21" s="2">
        <v>13</v>
      </c>
      <c r="B21" s="1" t="s">
        <v>14</v>
      </c>
    </row>
    <row r="22" spans="1:2">
      <c r="A22" s="2">
        <v>14</v>
      </c>
      <c r="B22" s="1" t="s">
        <v>15</v>
      </c>
    </row>
    <row r="23" spans="1:2">
      <c r="A23" s="2">
        <v>15</v>
      </c>
      <c r="B23" s="1" t="s">
        <v>6</v>
      </c>
    </row>
    <row r="24" spans="1:2">
      <c r="A24" s="2">
        <v>16</v>
      </c>
      <c r="B24" s="1" t="s">
        <v>16</v>
      </c>
    </row>
    <row r="25" spans="1:2">
      <c r="A25" s="2">
        <v>17</v>
      </c>
      <c r="B25" s="1" t="s">
        <v>6</v>
      </c>
    </row>
    <row r="26" spans="1:2">
      <c r="A26" s="2">
        <v>18</v>
      </c>
      <c r="B26" s="1" t="s">
        <v>17</v>
      </c>
    </row>
    <row r="27" spans="1:2">
      <c r="A27" s="2">
        <v>19</v>
      </c>
      <c r="B27" s="1" t="s">
        <v>18</v>
      </c>
    </row>
    <row r="28" spans="1:2">
      <c r="A28" s="2">
        <v>20</v>
      </c>
      <c r="B28" s="1" t="s">
        <v>19</v>
      </c>
    </row>
    <row r="29" spans="1:2">
      <c r="A29" s="2">
        <v>21</v>
      </c>
      <c r="B29" s="1" t="s">
        <v>20</v>
      </c>
    </row>
    <row r="30" spans="1:2">
      <c r="A30" s="2">
        <v>22</v>
      </c>
      <c r="B30" s="1" t="s">
        <v>21</v>
      </c>
    </row>
    <row r="31" spans="1:2">
      <c r="A31" s="2">
        <v>23</v>
      </c>
      <c r="B31" s="1" t="s">
        <v>22</v>
      </c>
    </row>
    <row r="32" spans="1:2">
      <c r="A32" s="2">
        <v>24</v>
      </c>
      <c r="B32" s="1" t="s">
        <v>23</v>
      </c>
    </row>
    <row r="33" spans="1:3">
      <c r="A33" s="2">
        <v>25</v>
      </c>
      <c r="B33" s="1" t="s">
        <v>24</v>
      </c>
    </row>
    <row r="34" spans="1:3">
      <c r="A34" s="2">
        <v>26</v>
      </c>
      <c r="B34" s="1" t="s">
        <v>25</v>
      </c>
    </row>
    <row r="35" spans="1:3">
      <c r="A35" s="2">
        <v>27</v>
      </c>
      <c r="B35" s="1" t="s">
        <v>6</v>
      </c>
      <c r="C35" s="7"/>
    </row>
    <row r="36" spans="1:3">
      <c r="A36" s="2">
        <v>28</v>
      </c>
      <c r="B36" s="1" t="s">
        <v>26</v>
      </c>
    </row>
    <row r="37" spans="1:3">
      <c r="A37" s="2">
        <v>29</v>
      </c>
      <c r="B37" s="1" t="s">
        <v>27</v>
      </c>
    </row>
    <row r="38" spans="1:3">
      <c r="A38" s="2">
        <v>30</v>
      </c>
      <c r="B38" s="1" t="s">
        <v>19</v>
      </c>
    </row>
    <row r="39" spans="1:3">
      <c r="A39" s="2">
        <v>31</v>
      </c>
      <c r="B39" s="2" t="s">
        <v>28</v>
      </c>
    </row>
    <row r="40" spans="1:3" ht="17" thickBot="1">
      <c r="A40" s="3">
        <v>32</v>
      </c>
      <c r="B40" s="144" t="s">
        <v>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1871-B0C0-BD43-9CC9-E9A2F949347A}">
  <dimension ref="B4:N31"/>
  <sheetViews>
    <sheetView topLeftCell="B7" workbookViewId="0">
      <selection activeCell="G10" sqref="G10:N10"/>
    </sheetView>
  </sheetViews>
  <sheetFormatPr baseColWidth="10" defaultRowHeight="16"/>
  <cols>
    <col min="2" max="2" width="41.1640625" customWidth="1"/>
    <col min="3" max="3" width="29.6640625" customWidth="1"/>
    <col min="8" max="8" width="33.6640625" customWidth="1"/>
    <col min="9" max="10" width="11" bestFit="1" customWidth="1"/>
    <col min="12" max="12" width="11.6640625" bestFit="1" customWidth="1"/>
  </cols>
  <sheetData>
    <row r="4" spans="2:14" ht="17" thickBot="1"/>
    <row r="5" spans="2:14" ht="17" thickBot="1">
      <c r="B5" s="24" t="s">
        <v>39</v>
      </c>
      <c r="C5" s="4" t="s">
        <v>37</v>
      </c>
    </row>
    <row r="6" spans="2:14" ht="72" customHeight="1" thickBot="1">
      <c r="B6" s="107" t="s">
        <v>132</v>
      </c>
      <c r="C6" s="117">
        <v>331.33</v>
      </c>
      <c r="G6" s="112" t="s">
        <v>29</v>
      </c>
      <c r="H6" s="120" t="s">
        <v>132</v>
      </c>
      <c r="I6" s="122">
        <v>1.1000000000000001</v>
      </c>
      <c r="J6" s="123" t="s">
        <v>30</v>
      </c>
      <c r="K6" s="124"/>
      <c r="L6" s="124"/>
    </row>
    <row r="7" spans="2:14" ht="115" customHeight="1" thickBot="1">
      <c r="B7" s="115" t="s">
        <v>131</v>
      </c>
      <c r="C7" s="41">
        <v>450.43</v>
      </c>
      <c r="G7" s="113" t="s">
        <v>57</v>
      </c>
      <c r="H7" s="121" t="s">
        <v>142</v>
      </c>
      <c r="I7" s="125">
        <f>I11 * C17 * 0.7</f>
        <v>1.4934974194911419</v>
      </c>
      <c r="J7" s="126" t="s">
        <v>30</v>
      </c>
      <c r="K7" s="124"/>
      <c r="L7" s="124"/>
    </row>
    <row r="8" spans="2:14">
      <c r="B8" s="108" t="s">
        <v>144</v>
      </c>
      <c r="C8" s="2">
        <v>41.05</v>
      </c>
      <c r="I8" s="124"/>
      <c r="J8" s="124"/>
      <c r="K8" s="124"/>
      <c r="L8" s="124"/>
    </row>
    <row r="9" spans="2:14" ht="17" thickBot="1">
      <c r="B9" s="109" t="s">
        <v>133</v>
      </c>
      <c r="C9" s="2">
        <v>95.210999999999999</v>
      </c>
      <c r="I9" s="124"/>
      <c r="J9" s="124"/>
      <c r="K9" s="124"/>
      <c r="L9" s="124"/>
    </row>
    <row r="10" spans="2:14" ht="17" thickBot="1">
      <c r="B10" s="109" t="s">
        <v>135</v>
      </c>
      <c r="C10" s="2">
        <v>129.25</v>
      </c>
      <c r="G10" s="24" t="s">
        <v>45</v>
      </c>
      <c r="H10" s="4" t="s">
        <v>39</v>
      </c>
      <c r="I10" s="127" t="s">
        <v>105</v>
      </c>
      <c r="J10" s="128" t="s">
        <v>47</v>
      </c>
      <c r="K10" s="127" t="s">
        <v>46</v>
      </c>
      <c r="L10" s="129" t="s">
        <v>48</v>
      </c>
      <c r="M10" s="38" t="s">
        <v>46</v>
      </c>
      <c r="N10" s="36" t="s">
        <v>54</v>
      </c>
    </row>
    <row r="11" spans="2:14" ht="65" customHeight="1">
      <c r="B11" s="116" t="s">
        <v>36</v>
      </c>
      <c r="C11" s="41">
        <v>88.11</v>
      </c>
      <c r="G11" s="119">
        <v>1</v>
      </c>
      <c r="H11" s="110" t="s">
        <v>132</v>
      </c>
      <c r="I11" s="130">
        <f>J11 / C6</f>
        <v>3.319952917031359E-3</v>
      </c>
      <c r="J11" s="46">
        <f>I6</f>
        <v>1.1000000000000001</v>
      </c>
      <c r="K11" s="42" t="s">
        <v>30</v>
      </c>
      <c r="L11" s="46"/>
      <c r="M11" s="2"/>
      <c r="N11" s="1"/>
    </row>
    <row r="12" spans="2:14" ht="51">
      <c r="B12" s="116" t="s">
        <v>145</v>
      </c>
      <c r="C12" s="41">
        <v>192.124</v>
      </c>
      <c r="G12" s="7">
        <v>2</v>
      </c>
      <c r="H12" s="29" t="s">
        <v>131</v>
      </c>
      <c r="I12" s="130">
        <f xml:space="preserve"> I11 * 1.2</f>
        <v>3.9839435004376308E-3</v>
      </c>
      <c r="J12" s="46">
        <f xml:space="preserve"> I12 * C7</f>
        <v>1.794487670902122</v>
      </c>
      <c r="K12" s="42" t="s">
        <v>30</v>
      </c>
      <c r="L12" s="46"/>
      <c r="M12" s="2"/>
      <c r="N12" s="1"/>
    </row>
    <row r="13" spans="2:14">
      <c r="B13" s="109" t="s">
        <v>149</v>
      </c>
      <c r="C13" s="2">
        <v>53.491</v>
      </c>
      <c r="G13" s="7">
        <v>3</v>
      </c>
      <c r="H13" s="2" t="s">
        <v>151</v>
      </c>
      <c r="I13" s="130">
        <f>I11</f>
        <v>3.319952917031359E-3</v>
      </c>
      <c r="J13" s="46">
        <f>I13 * C9</f>
        <v>0.31609603718347273</v>
      </c>
      <c r="K13" s="47" t="s">
        <v>30</v>
      </c>
      <c r="L13" s="46"/>
      <c r="M13" s="2"/>
      <c r="N13" s="1"/>
    </row>
    <row r="14" spans="2:14">
      <c r="B14" s="109" t="s">
        <v>146</v>
      </c>
      <c r="C14" s="2">
        <v>138.20500000000001</v>
      </c>
      <c r="G14" s="7"/>
      <c r="H14" s="2"/>
      <c r="I14" s="130"/>
      <c r="J14" s="46"/>
      <c r="K14" s="42"/>
      <c r="L14" s="46"/>
      <c r="M14" s="2"/>
      <c r="N14" s="1"/>
    </row>
    <row r="15" spans="2:14">
      <c r="B15" s="109" t="s">
        <v>25</v>
      </c>
      <c r="C15" s="2">
        <v>76.459999999999994</v>
      </c>
      <c r="G15" s="7">
        <v>5</v>
      </c>
      <c r="H15" s="2" t="s">
        <v>134</v>
      </c>
      <c r="I15" s="130"/>
      <c r="J15" s="46"/>
      <c r="K15" s="42"/>
      <c r="L15" s="46">
        <f xml:space="preserve"> I11 * 1000 / (0.00332 / 16)</f>
        <v>15999.773094127031</v>
      </c>
      <c r="M15" s="2" t="s">
        <v>49</v>
      </c>
      <c r="N15" s="1"/>
    </row>
    <row r="16" spans="2:14">
      <c r="B16" s="111" t="s">
        <v>42</v>
      </c>
      <c r="C16" s="2">
        <v>142.04</v>
      </c>
      <c r="G16" s="7"/>
      <c r="H16" s="2"/>
      <c r="I16" s="130"/>
      <c r="J16" s="46"/>
      <c r="K16" s="42"/>
      <c r="L16" s="46"/>
      <c r="M16" s="2"/>
      <c r="N16" s="1"/>
    </row>
    <row r="17" spans="2:14" ht="86" thickBot="1">
      <c r="B17" s="114" t="s">
        <v>142</v>
      </c>
      <c r="C17" s="118">
        <v>642.65</v>
      </c>
      <c r="G17" s="7">
        <v>8</v>
      </c>
      <c r="H17" s="2" t="s">
        <v>135</v>
      </c>
      <c r="I17" s="130">
        <f xml:space="preserve"> I11 * 2.5</f>
        <v>8.299882292578397E-3</v>
      </c>
      <c r="J17" s="46">
        <f xml:space="preserve"> I17 * C10</f>
        <v>1.0727597863157579</v>
      </c>
      <c r="K17" s="42" t="s">
        <v>30</v>
      </c>
      <c r="L17" s="46">
        <f xml:space="preserve"> J17 * 1000 / C21</f>
        <v>1445.7679060859268</v>
      </c>
      <c r="M17" s="2" t="s">
        <v>49</v>
      </c>
      <c r="N17" s="1"/>
    </row>
    <row r="18" spans="2:14" ht="17" thickBot="1">
      <c r="G18" s="7"/>
      <c r="H18" s="2"/>
      <c r="I18" s="130"/>
      <c r="J18" s="46"/>
      <c r="K18" s="42"/>
      <c r="L18" s="46"/>
      <c r="M18" s="2"/>
      <c r="N18" s="1"/>
    </row>
    <row r="19" spans="2:14" ht="17" thickBot="1">
      <c r="B19" s="24" t="s">
        <v>39</v>
      </c>
      <c r="C19" s="4" t="s">
        <v>43</v>
      </c>
      <c r="G19" s="7">
        <v>11</v>
      </c>
      <c r="H19" s="2" t="s">
        <v>36</v>
      </c>
      <c r="I19" s="130"/>
      <c r="J19" s="46"/>
      <c r="K19" s="42"/>
      <c r="L19" s="46">
        <f xml:space="preserve"> I11 * 1000 / (0.00332 / 100)</f>
        <v>99998.581838293947</v>
      </c>
      <c r="M19" s="2" t="s">
        <v>49</v>
      </c>
      <c r="N19" s="1"/>
    </row>
    <row r="20" spans="2:14">
      <c r="B20" s="7" t="s">
        <v>134</v>
      </c>
      <c r="C20" s="2">
        <v>0.78600000000000003</v>
      </c>
      <c r="G20" s="7"/>
      <c r="H20" s="2"/>
      <c r="I20" s="130"/>
      <c r="J20" s="46"/>
      <c r="K20" s="42"/>
      <c r="L20" s="46"/>
      <c r="M20" s="2"/>
      <c r="N20" s="1"/>
    </row>
    <row r="21" spans="2:14">
      <c r="B21" s="7" t="s">
        <v>135</v>
      </c>
      <c r="C21" s="2">
        <v>0.74199999999999999</v>
      </c>
      <c r="G21" s="7">
        <v>14</v>
      </c>
      <c r="H21" s="2" t="s">
        <v>152</v>
      </c>
      <c r="I21" s="130"/>
      <c r="J21" s="46"/>
      <c r="K21" s="42"/>
      <c r="L21" s="46">
        <f xml:space="preserve"> J13 * 1000 / (0.02 / 45)</f>
        <v>711216.08366281365</v>
      </c>
      <c r="M21" s="2" t="s">
        <v>49</v>
      </c>
      <c r="N21" s="1"/>
    </row>
    <row r="22" spans="2:14">
      <c r="B22" s="7" t="s">
        <v>36</v>
      </c>
      <c r="C22" s="2">
        <v>0.90200000000000002</v>
      </c>
      <c r="G22" s="7"/>
      <c r="H22" s="2"/>
      <c r="I22" s="130"/>
      <c r="J22" s="46"/>
      <c r="K22" s="42"/>
      <c r="L22" s="46"/>
      <c r="M22" s="2"/>
      <c r="N22" s="1"/>
    </row>
    <row r="23" spans="2:14">
      <c r="B23" s="7" t="s">
        <v>147</v>
      </c>
      <c r="C23" s="2">
        <v>1.0188999999999999</v>
      </c>
      <c r="G23" s="7">
        <v>16</v>
      </c>
      <c r="H23" s="2" t="s">
        <v>153</v>
      </c>
      <c r="I23" s="130"/>
      <c r="J23" s="46"/>
      <c r="K23" s="42"/>
      <c r="L23" s="46">
        <f xml:space="preserve"> J13 * 1000 / (0.02 / 45)</f>
        <v>711216.08366281365</v>
      </c>
      <c r="M23" s="2" t="s">
        <v>49</v>
      </c>
      <c r="N23" s="1"/>
    </row>
    <row r="24" spans="2:14">
      <c r="B24" s="7" t="s">
        <v>148</v>
      </c>
      <c r="C24" s="2">
        <v>1.0044999999999999</v>
      </c>
      <c r="G24" s="7"/>
      <c r="H24" s="2"/>
      <c r="I24" s="130"/>
      <c r="J24" s="46"/>
      <c r="K24" s="42"/>
      <c r="L24" s="46"/>
      <c r="M24" s="2"/>
      <c r="N24" s="1"/>
    </row>
    <row r="25" spans="2:14">
      <c r="B25" s="7" t="s">
        <v>150</v>
      </c>
      <c r="C25" s="2">
        <v>1.0437000000000001</v>
      </c>
      <c r="G25" s="7">
        <v>18</v>
      </c>
      <c r="H25" s="2" t="s">
        <v>150</v>
      </c>
      <c r="I25" s="130"/>
      <c r="J25" s="46"/>
      <c r="K25" s="42"/>
      <c r="L25" s="46">
        <f xml:space="preserve"> J13 * 1000 / (0.02 / 45)</f>
        <v>711216.08366281365</v>
      </c>
      <c r="M25" s="2" t="s">
        <v>49</v>
      </c>
      <c r="N25" s="1"/>
    </row>
    <row r="26" spans="2:14" ht="17" thickBot="1">
      <c r="B26" s="23" t="s">
        <v>25</v>
      </c>
      <c r="C26" s="3">
        <v>1.1859999999999999</v>
      </c>
      <c r="G26" s="7"/>
      <c r="H26" s="2"/>
      <c r="I26" s="130"/>
      <c r="J26" s="46"/>
      <c r="K26" s="42"/>
      <c r="L26" s="46"/>
      <c r="M26" s="2"/>
      <c r="N26" s="1"/>
    </row>
    <row r="27" spans="2:14">
      <c r="G27" s="7">
        <v>20</v>
      </c>
      <c r="H27" s="2" t="s">
        <v>25</v>
      </c>
      <c r="I27" s="130"/>
      <c r="J27" s="46"/>
      <c r="K27" s="42"/>
      <c r="L27" s="46">
        <f xml:space="preserve"> J13 * 1000 / (0.02 / 45)</f>
        <v>711216.08366281365</v>
      </c>
      <c r="M27" s="2" t="s">
        <v>49</v>
      </c>
      <c r="N27" s="1"/>
    </row>
    <row r="28" spans="2:14">
      <c r="G28" s="7"/>
      <c r="H28" s="2"/>
      <c r="I28" s="130"/>
      <c r="J28" s="46"/>
      <c r="K28" s="42"/>
      <c r="L28" s="46"/>
      <c r="M28" s="2"/>
      <c r="N28" s="1"/>
    </row>
    <row r="29" spans="2:14">
      <c r="G29" s="7">
        <v>22</v>
      </c>
      <c r="H29" s="2" t="s">
        <v>42</v>
      </c>
      <c r="I29" s="130"/>
      <c r="J29" s="46"/>
      <c r="K29" s="42"/>
      <c r="L29" s="46">
        <f xml:space="preserve"> J13 * 1000 / (0.02 / 45)</f>
        <v>711216.08366281365</v>
      </c>
      <c r="M29" s="2" t="s">
        <v>49</v>
      </c>
      <c r="N29" s="1"/>
    </row>
    <row r="30" spans="2:14">
      <c r="G30" s="7"/>
      <c r="H30" s="2"/>
      <c r="I30" s="130"/>
      <c r="J30" s="131"/>
      <c r="K30" s="130"/>
      <c r="L30" s="131"/>
      <c r="M30" s="2"/>
      <c r="N30" s="1"/>
    </row>
    <row r="31" spans="2:14" ht="17" thickBot="1">
      <c r="G31" s="23">
        <v>25</v>
      </c>
      <c r="H31" s="3" t="s">
        <v>154</v>
      </c>
      <c r="I31" s="132"/>
      <c r="J31" s="133"/>
      <c r="K31" s="132"/>
      <c r="L31" s="133"/>
      <c r="M31" s="3"/>
      <c r="N31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FB4C-8ED8-CF45-A8B5-1B85CC3A76AB}">
  <dimension ref="B6:C28"/>
  <sheetViews>
    <sheetView topLeftCell="K1" zoomScaleNormal="100" workbookViewId="0">
      <selection activeCell="B7" sqref="B7:B28"/>
    </sheetView>
  </sheetViews>
  <sheetFormatPr baseColWidth="10" defaultRowHeight="16"/>
  <cols>
    <col min="3" max="3" width="83.33203125" customWidth="1"/>
  </cols>
  <sheetData>
    <row r="6" spans="2:3" ht="17" thickBot="1"/>
    <row r="7" spans="2:3" ht="17" thickBot="1">
      <c r="B7" s="4" t="s">
        <v>0</v>
      </c>
      <c r="C7" s="5" t="s">
        <v>1</v>
      </c>
    </row>
    <row r="8" spans="2:3">
      <c r="B8" s="147">
        <v>1</v>
      </c>
      <c r="C8" s="145" t="s">
        <v>155</v>
      </c>
    </row>
    <row r="9" spans="2:3">
      <c r="B9" s="148"/>
      <c r="C9" s="146"/>
    </row>
    <row r="10" spans="2:3">
      <c r="B10" s="2">
        <v>2</v>
      </c>
      <c r="C10" s="1" t="s">
        <v>44</v>
      </c>
    </row>
    <row r="11" spans="2:3">
      <c r="B11" s="2">
        <v>3</v>
      </c>
      <c r="C11" s="1" t="s">
        <v>6</v>
      </c>
    </row>
    <row r="12" spans="2:3">
      <c r="B12" s="2">
        <v>4</v>
      </c>
      <c r="C12" s="1" t="s">
        <v>156</v>
      </c>
    </row>
    <row r="13" spans="2:3">
      <c r="B13" s="2">
        <v>5</v>
      </c>
      <c r="C13" s="1" t="s">
        <v>4</v>
      </c>
    </row>
    <row r="14" spans="2:3">
      <c r="B14" s="2">
        <v>6</v>
      </c>
      <c r="C14" s="1" t="s">
        <v>4</v>
      </c>
    </row>
    <row r="15" spans="2:3">
      <c r="B15" s="2">
        <v>7</v>
      </c>
      <c r="C15" s="1" t="s">
        <v>34</v>
      </c>
    </row>
    <row r="16" spans="2:3">
      <c r="B16" s="2">
        <v>8</v>
      </c>
      <c r="C16" s="1" t="s">
        <v>4</v>
      </c>
    </row>
    <row r="17" spans="2:3">
      <c r="B17" s="2">
        <v>9</v>
      </c>
      <c r="C17" s="1" t="s">
        <v>157</v>
      </c>
    </row>
    <row r="18" spans="2:3">
      <c r="B18" s="2">
        <v>10</v>
      </c>
      <c r="C18" s="1" t="s">
        <v>4</v>
      </c>
    </row>
    <row r="19" spans="2:3">
      <c r="B19" s="2">
        <v>11</v>
      </c>
      <c r="C19" s="1" t="s">
        <v>36</v>
      </c>
    </row>
    <row r="20" spans="2:3">
      <c r="B20" s="2">
        <v>12</v>
      </c>
      <c r="C20" s="1" t="s">
        <v>158</v>
      </c>
    </row>
    <row r="21" spans="2:3">
      <c r="B21" s="2">
        <v>13</v>
      </c>
      <c r="C21" s="1" t="s">
        <v>159</v>
      </c>
    </row>
    <row r="22" spans="2:3">
      <c r="B22" s="2">
        <v>14</v>
      </c>
      <c r="C22" s="1" t="s">
        <v>160</v>
      </c>
    </row>
    <row r="23" spans="2:3">
      <c r="B23" s="2">
        <v>15</v>
      </c>
      <c r="C23" s="1" t="s">
        <v>4</v>
      </c>
    </row>
    <row r="24" spans="2:3">
      <c r="B24" s="2">
        <v>16</v>
      </c>
      <c r="C24" s="1" t="s">
        <v>42</v>
      </c>
    </row>
    <row r="25" spans="2:3">
      <c r="B25" s="2">
        <v>17</v>
      </c>
      <c r="C25" s="1" t="s">
        <v>161</v>
      </c>
    </row>
    <row r="26" spans="2:3">
      <c r="B26" s="2">
        <v>18</v>
      </c>
      <c r="C26" s="1" t="s">
        <v>162</v>
      </c>
    </row>
    <row r="27" spans="2:3">
      <c r="B27" s="2">
        <v>19</v>
      </c>
      <c r="C27" s="1" t="s">
        <v>163</v>
      </c>
    </row>
    <row r="28" spans="2:3" ht="17" thickBot="1">
      <c r="B28" s="3">
        <v>20</v>
      </c>
      <c r="C28" s="31" t="s">
        <v>164</v>
      </c>
    </row>
  </sheetData>
  <mergeCells count="2">
    <mergeCell ref="C8:C9"/>
    <mergeCell ref="B8:B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81A1-ACD3-1C47-9932-314E1B270879}">
  <dimension ref="B3:N25"/>
  <sheetViews>
    <sheetView workbookViewId="0">
      <selection activeCell="F13" sqref="F13"/>
    </sheetView>
  </sheetViews>
  <sheetFormatPr baseColWidth="10" defaultRowHeight="16"/>
  <cols>
    <col min="2" max="2" width="44.33203125" customWidth="1"/>
    <col min="3" max="3" width="19.83203125" bestFit="1" customWidth="1"/>
    <col min="7" max="7" width="12.6640625" bestFit="1" customWidth="1"/>
    <col min="8" max="8" width="46" customWidth="1"/>
    <col min="14" max="14" width="13.1640625" bestFit="1" customWidth="1"/>
  </cols>
  <sheetData>
    <row r="3" spans="2:14" ht="17" thickBot="1"/>
    <row r="4" spans="2:14" ht="17" thickBot="1">
      <c r="B4" s="24" t="s">
        <v>39</v>
      </c>
      <c r="C4" s="4" t="s">
        <v>37</v>
      </c>
    </row>
    <row r="5" spans="2:14" ht="69" thickBot="1">
      <c r="B5" s="115" t="s">
        <v>155</v>
      </c>
      <c r="C5" s="41">
        <v>642.65</v>
      </c>
      <c r="G5" s="112" t="s">
        <v>29</v>
      </c>
      <c r="H5" s="139" t="s">
        <v>170</v>
      </c>
      <c r="I5" s="140">
        <v>12.9</v>
      </c>
      <c r="J5" s="141" t="s">
        <v>30</v>
      </c>
      <c r="K5" s="135"/>
      <c r="L5" s="135"/>
    </row>
    <row r="6" spans="2:14" ht="17" thickBot="1">
      <c r="B6" s="7" t="s">
        <v>44</v>
      </c>
      <c r="C6" s="2">
        <v>72.11</v>
      </c>
      <c r="G6" s="113" t="s">
        <v>57</v>
      </c>
      <c r="H6" s="72" t="s">
        <v>167</v>
      </c>
      <c r="I6" s="142">
        <f>I10 * C13 * 0.69</f>
        <v>8.3462889597759276</v>
      </c>
      <c r="J6" s="143" t="s">
        <v>30</v>
      </c>
      <c r="K6" s="135"/>
      <c r="L6" s="135"/>
    </row>
    <row r="7" spans="2:14">
      <c r="B7" s="7" t="s">
        <v>165</v>
      </c>
      <c r="C7" s="2">
        <v>36.46</v>
      </c>
      <c r="I7" s="135"/>
      <c r="J7" s="135"/>
      <c r="K7" s="135"/>
      <c r="L7" s="135"/>
    </row>
    <row r="8" spans="2:14" ht="17" thickBot="1">
      <c r="B8" s="7" t="s">
        <v>34</v>
      </c>
      <c r="C8" s="2">
        <v>18.015999999999998</v>
      </c>
      <c r="I8" s="135"/>
      <c r="J8" s="135"/>
      <c r="K8" s="135"/>
      <c r="L8" s="135"/>
    </row>
    <row r="9" spans="2:14" ht="17" thickBot="1">
      <c r="B9" s="7" t="s">
        <v>41</v>
      </c>
      <c r="C9" s="2">
        <v>84.007000000000005</v>
      </c>
      <c r="G9" s="24" t="s">
        <v>45</v>
      </c>
      <c r="H9" s="4" t="s">
        <v>39</v>
      </c>
      <c r="I9" s="136" t="s">
        <v>105</v>
      </c>
      <c r="J9" s="137" t="s">
        <v>47</v>
      </c>
      <c r="K9" s="136" t="s">
        <v>46</v>
      </c>
      <c r="L9" s="138" t="s">
        <v>48</v>
      </c>
      <c r="M9" s="35" t="s">
        <v>46</v>
      </c>
      <c r="N9" s="38" t="s">
        <v>54</v>
      </c>
    </row>
    <row r="10" spans="2:14" ht="68">
      <c r="B10" s="134" t="s">
        <v>36</v>
      </c>
      <c r="C10" s="41">
        <v>88.105999999999995</v>
      </c>
      <c r="G10" s="7">
        <v>1</v>
      </c>
      <c r="H10" s="75" t="s">
        <v>170</v>
      </c>
      <c r="I10" s="76">
        <f>J10 / C5</f>
        <v>2.0073134676729169E-2</v>
      </c>
      <c r="J10" s="77">
        <f>I5</f>
        <v>12.9</v>
      </c>
      <c r="K10" s="76" t="s">
        <v>30</v>
      </c>
      <c r="L10" s="77"/>
      <c r="M10" s="10"/>
      <c r="N10" s="2"/>
    </row>
    <row r="11" spans="2:14">
      <c r="B11" s="7" t="s">
        <v>25</v>
      </c>
      <c r="C11" s="2">
        <v>76.459999999999994</v>
      </c>
      <c r="G11" s="7">
        <v>2</v>
      </c>
      <c r="H11" s="2" t="s">
        <v>44</v>
      </c>
      <c r="I11" s="76"/>
      <c r="J11" s="77"/>
      <c r="K11" s="76"/>
      <c r="L11" s="77">
        <f xml:space="preserve"> I10  * 1000/ (0.02 / 100)</f>
        <v>100365.67338364583</v>
      </c>
      <c r="M11" s="10" t="s">
        <v>49</v>
      </c>
      <c r="N11" s="2"/>
    </row>
    <row r="12" spans="2:14">
      <c r="B12" s="7" t="s">
        <v>166</v>
      </c>
      <c r="C12" s="2">
        <v>142.04</v>
      </c>
      <c r="G12" s="7"/>
      <c r="H12" s="2"/>
      <c r="I12" s="76"/>
      <c r="J12" s="77"/>
      <c r="K12" s="76"/>
      <c r="L12" s="77"/>
      <c r="M12" s="10"/>
      <c r="N12" s="2"/>
    </row>
    <row r="13" spans="2:14" ht="17" thickBot="1">
      <c r="B13" s="23" t="s">
        <v>167</v>
      </c>
      <c r="C13" s="3">
        <v>602.6</v>
      </c>
      <c r="G13" s="7">
        <v>4</v>
      </c>
      <c r="H13" s="2" t="s">
        <v>168</v>
      </c>
      <c r="I13" s="76"/>
      <c r="J13" s="77"/>
      <c r="K13" s="76"/>
      <c r="L13" s="77">
        <f xml:space="preserve"> I10  * 1000/ (0.02 / 20)</f>
        <v>20073.134676729169</v>
      </c>
      <c r="M13" s="10" t="s">
        <v>49</v>
      </c>
      <c r="N13" s="2"/>
    </row>
    <row r="14" spans="2:14">
      <c r="G14" s="7"/>
      <c r="H14" s="2"/>
      <c r="I14" s="76"/>
      <c r="J14" s="77"/>
      <c r="K14" s="76"/>
      <c r="L14" s="77"/>
      <c r="M14" s="10"/>
      <c r="N14" s="2"/>
    </row>
    <row r="15" spans="2:14" ht="17" thickBot="1">
      <c r="G15" s="7">
        <v>7</v>
      </c>
      <c r="H15" s="2" t="s">
        <v>34</v>
      </c>
      <c r="I15" s="76"/>
      <c r="J15" s="77"/>
      <c r="K15" s="76"/>
      <c r="L15" s="77">
        <f xml:space="preserve"> I10  * 1000/ (0.02 / 100)</f>
        <v>100365.67338364583</v>
      </c>
      <c r="M15" s="10" t="s">
        <v>49</v>
      </c>
      <c r="N15" s="2"/>
    </row>
    <row r="16" spans="2:14" ht="17" thickBot="1">
      <c r="B16" s="4" t="s">
        <v>39</v>
      </c>
      <c r="C16" s="5" t="s">
        <v>43</v>
      </c>
      <c r="G16" s="7"/>
      <c r="H16" s="2"/>
      <c r="I16" s="76"/>
      <c r="J16" s="77"/>
      <c r="K16" s="76"/>
      <c r="L16" s="77"/>
      <c r="M16" s="10"/>
      <c r="N16" s="2"/>
    </row>
    <row r="17" spans="2:14">
      <c r="B17" s="2" t="s">
        <v>44</v>
      </c>
      <c r="C17" s="1">
        <v>0.88900000000000001</v>
      </c>
      <c r="G17" s="7">
        <v>9</v>
      </c>
      <c r="H17" s="2" t="s">
        <v>171</v>
      </c>
      <c r="I17" s="76"/>
      <c r="J17" s="77"/>
      <c r="K17" s="76"/>
      <c r="L17" s="77">
        <f xml:space="preserve"> I10  * 1000/ (0.02 / 200)</f>
        <v>200731.34676729166</v>
      </c>
      <c r="M17" s="10" t="s">
        <v>49</v>
      </c>
      <c r="N17" s="2"/>
    </row>
    <row r="18" spans="2:14">
      <c r="B18" s="2" t="s">
        <v>169</v>
      </c>
      <c r="C18" s="1">
        <v>1.2</v>
      </c>
      <c r="G18" s="7"/>
      <c r="H18" s="2"/>
      <c r="I18" s="76"/>
      <c r="J18" s="77"/>
      <c r="K18" s="76"/>
      <c r="L18" s="77"/>
      <c r="M18" s="10"/>
      <c r="N18" s="2"/>
    </row>
    <row r="19" spans="2:14">
      <c r="B19" s="2" t="s">
        <v>34</v>
      </c>
      <c r="C19" s="1">
        <v>0.997</v>
      </c>
      <c r="G19" s="7">
        <v>11</v>
      </c>
      <c r="H19" s="2" t="s">
        <v>36</v>
      </c>
      <c r="I19" s="76"/>
      <c r="J19" s="77"/>
      <c r="K19" s="76"/>
      <c r="L19" s="77">
        <f xml:space="preserve"> I10  * 1000/ (0.02 / 100)</f>
        <v>100365.67338364583</v>
      </c>
      <c r="M19" s="10" t="s">
        <v>49</v>
      </c>
      <c r="N19" s="2"/>
    </row>
    <row r="20" spans="2:14">
      <c r="B20" s="2" t="s">
        <v>41</v>
      </c>
      <c r="C20" s="1">
        <v>1.1000000000000001</v>
      </c>
      <c r="G20" s="7"/>
      <c r="H20" s="2"/>
      <c r="I20" s="76"/>
      <c r="J20" s="77"/>
      <c r="K20" s="76"/>
      <c r="L20" s="77"/>
      <c r="M20" s="10"/>
      <c r="N20" s="2"/>
    </row>
    <row r="21" spans="2:14">
      <c r="B21" s="2" t="s">
        <v>36</v>
      </c>
      <c r="C21" s="1">
        <v>0.90200000000000002</v>
      </c>
      <c r="G21" s="7">
        <v>14</v>
      </c>
      <c r="H21" s="2" t="s">
        <v>25</v>
      </c>
      <c r="I21" s="76"/>
      <c r="J21" s="77"/>
      <c r="K21" s="76"/>
      <c r="L21" s="77">
        <f xml:space="preserve"> I10  * 1000/ (0.02 / 50)</f>
        <v>50182.836691822915</v>
      </c>
      <c r="M21" s="10" t="s">
        <v>49</v>
      </c>
      <c r="N21" s="2"/>
    </row>
    <row r="22" spans="2:14" ht="17" thickBot="1">
      <c r="B22" s="3" t="s">
        <v>25</v>
      </c>
      <c r="C22" s="31">
        <v>1.202</v>
      </c>
      <c r="G22" s="7"/>
      <c r="H22" s="2"/>
      <c r="I22" s="10"/>
      <c r="J22" s="2"/>
      <c r="K22" s="10"/>
      <c r="L22" s="2"/>
      <c r="M22" s="10"/>
      <c r="N22" s="2"/>
    </row>
    <row r="23" spans="2:14">
      <c r="G23" s="7">
        <v>16</v>
      </c>
      <c r="H23" s="2" t="s">
        <v>42</v>
      </c>
      <c r="I23" s="10"/>
      <c r="J23" s="2"/>
      <c r="K23" s="10"/>
      <c r="L23" s="2"/>
      <c r="M23" s="10"/>
      <c r="N23" s="2" t="s">
        <v>172</v>
      </c>
    </row>
    <row r="24" spans="2:14">
      <c r="G24" s="7"/>
      <c r="H24" s="2"/>
      <c r="I24" s="10"/>
      <c r="J24" s="2"/>
      <c r="K24" s="10"/>
      <c r="L24" s="2"/>
      <c r="M24" s="10"/>
      <c r="N24" s="2"/>
    </row>
    <row r="25" spans="2:14" ht="17" thickBot="1">
      <c r="G25" s="23">
        <v>19</v>
      </c>
      <c r="H25" s="3" t="s">
        <v>154</v>
      </c>
      <c r="I25" s="33"/>
      <c r="J25" s="3"/>
      <c r="K25" s="33"/>
      <c r="L25" s="3"/>
      <c r="M25" s="33"/>
      <c r="N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CF9A-E52C-6F4C-9116-BADBF280AC1B}">
  <dimension ref="B1:C15"/>
  <sheetViews>
    <sheetView tabSelected="1" workbookViewId="0">
      <selection activeCell="C8" sqref="C8"/>
    </sheetView>
  </sheetViews>
  <sheetFormatPr baseColWidth="10" defaultRowHeight="16"/>
  <cols>
    <col min="2" max="2" width="33.83203125" bestFit="1" customWidth="1"/>
    <col min="3" max="3" width="83.5" bestFit="1" customWidth="1"/>
  </cols>
  <sheetData>
    <row r="1" spans="2:3" ht="17" thickBot="1"/>
    <row r="2" spans="2:3" ht="17" thickBot="1">
      <c r="B2" s="4" t="s">
        <v>174</v>
      </c>
      <c r="C2" s="5" t="s">
        <v>175</v>
      </c>
    </row>
    <row r="3" spans="2:3">
      <c r="B3" s="2" t="s">
        <v>173</v>
      </c>
      <c r="C3" s="1" t="s">
        <v>177</v>
      </c>
    </row>
    <row r="4" spans="2:3">
      <c r="B4" s="2" t="s">
        <v>176</v>
      </c>
      <c r="C4" s="1" t="s">
        <v>178</v>
      </c>
    </row>
    <row r="5" spans="2:3">
      <c r="B5" s="2" t="s">
        <v>179</v>
      </c>
      <c r="C5" s="1" t="s">
        <v>180</v>
      </c>
    </row>
    <row r="6" spans="2:3">
      <c r="B6" s="2" t="s">
        <v>181</v>
      </c>
      <c r="C6" s="1" t="s">
        <v>182</v>
      </c>
    </row>
    <row r="7" spans="2:3">
      <c r="B7" s="2" t="s">
        <v>184</v>
      </c>
      <c r="C7" s="1" t="s">
        <v>183</v>
      </c>
    </row>
    <row r="8" spans="2:3">
      <c r="B8" s="2" t="s">
        <v>185</v>
      </c>
      <c r="C8" s="1" t="s">
        <v>186</v>
      </c>
    </row>
    <row r="9" spans="2:3">
      <c r="B9" s="2" t="s">
        <v>187</v>
      </c>
      <c r="C9" s="1" t="s">
        <v>188</v>
      </c>
    </row>
    <row r="10" spans="2:3">
      <c r="B10" s="2" t="s">
        <v>190</v>
      </c>
      <c r="C10" s="1" t="s">
        <v>191</v>
      </c>
    </row>
    <row r="11" spans="2:3">
      <c r="B11" s="2" t="s">
        <v>189</v>
      </c>
      <c r="C11" s="1" t="s">
        <v>192</v>
      </c>
    </row>
    <row r="12" spans="2:3">
      <c r="B12" s="2" t="s">
        <v>193</v>
      </c>
      <c r="C12" s="1" t="s">
        <v>194</v>
      </c>
    </row>
    <row r="13" spans="2:3">
      <c r="B13" s="2" t="s">
        <v>195</v>
      </c>
      <c r="C13" s="1" t="s">
        <v>196</v>
      </c>
    </row>
    <row r="14" spans="2:3">
      <c r="B14" s="2" t="s">
        <v>197</v>
      </c>
      <c r="C14" s="1" t="s">
        <v>198</v>
      </c>
    </row>
    <row r="15" spans="2:3" ht="17" thickBot="1">
      <c r="B15" s="3" t="s">
        <v>199</v>
      </c>
      <c r="C15" s="3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B70A-6463-9844-8892-C3CD93BA7EB9}">
  <dimension ref="B3:AM37"/>
  <sheetViews>
    <sheetView workbookViewId="0">
      <selection activeCell="J6" sqref="J6"/>
    </sheetView>
  </sheetViews>
  <sheetFormatPr baseColWidth="10" defaultRowHeight="16"/>
  <cols>
    <col min="2" max="2" width="36.33203125" bestFit="1" customWidth="1"/>
    <col min="3" max="3" width="19.5" bestFit="1" customWidth="1"/>
    <col min="5" max="5" width="12.6640625" bestFit="1" customWidth="1"/>
    <col min="6" max="6" width="36.33203125" bestFit="1" customWidth="1"/>
    <col min="7" max="7" width="11.5" bestFit="1" customWidth="1"/>
    <col min="10" max="10" width="15.6640625" bestFit="1" customWidth="1"/>
    <col min="12" max="12" width="13.6640625" bestFit="1" customWidth="1"/>
  </cols>
  <sheetData>
    <row r="3" spans="2:39" ht="17" thickBot="1"/>
    <row r="4" spans="2:39" ht="17" thickBot="1">
      <c r="B4" s="4" t="s">
        <v>39</v>
      </c>
      <c r="C4" s="5" t="s">
        <v>37</v>
      </c>
    </row>
    <row r="5" spans="2:39" ht="17" thickBot="1">
      <c r="B5" s="2" t="s">
        <v>2</v>
      </c>
      <c r="C5" s="9">
        <v>260.04000000000002</v>
      </c>
    </row>
    <row r="6" spans="2:39" ht="17" thickBot="1">
      <c r="B6" s="2" t="s">
        <v>12</v>
      </c>
      <c r="C6" s="1">
        <v>72.11</v>
      </c>
      <c r="E6" s="16" t="s">
        <v>29</v>
      </c>
      <c r="F6" s="40" t="s">
        <v>2</v>
      </c>
      <c r="G6" s="48">
        <v>62.1</v>
      </c>
      <c r="H6" s="17" t="s">
        <v>30</v>
      </c>
    </row>
    <row r="7" spans="2:39" ht="52" thickBot="1">
      <c r="B7" s="19" t="s">
        <v>56</v>
      </c>
      <c r="C7" s="21">
        <v>552.62</v>
      </c>
      <c r="E7" s="20" t="s">
        <v>57</v>
      </c>
      <c r="F7" s="18" t="s">
        <v>56</v>
      </c>
      <c r="G7" s="49">
        <f>G20 * C7</f>
        <v>131.97085832948775</v>
      </c>
      <c r="H7" s="22" t="s">
        <v>30</v>
      </c>
    </row>
    <row r="8" spans="2:39">
      <c r="B8" s="2" t="s">
        <v>5</v>
      </c>
      <c r="C8" s="1">
        <v>108.64</v>
      </c>
    </row>
    <row r="9" spans="2:39" ht="17" thickBot="1">
      <c r="B9" s="2" t="s">
        <v>31</v>
      </c>
      <c r="C9" s="1">
        <v>136.86000000000001</v>
      </c>
    </row>
    <row r="10" spans="2:39" ht="17" thickBot="1">
      <c r="B10" s="2" t="s">
        <v>32</v>
      </c>
      <c r="C10" s="1">
        <v>102.84</v>
      </c>
      <c r="E10" s="24" t="s">
        <v>45</v>
      </c>
      <c r="F10" s="4" t="s">
        <v>39</v>
      </c>
      <c r="G10" s="34" t="s">
        <v>105</v>
      </c>
      <c r="H10" s="4" t="s">
        <v>47</v>
      </c>
      <c r="I10" s="34" t="s">
        <v>46</v>
      </c>
      <c r="J10" s="38" t="s">
        <v>48</v>
      </c>
      <c r="K10" s="35" t="s">
        <v>46</v>
      </c>
      <c r="L10" s="38" t="s">
        <v>54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2:39">
      <c r="B11" s="2" t="s">
        <v>38</v>
      </c>
      <c r="C11" s="1">
        <v>418.48</v>
      </c>
      <c r="E11" s="7">
        <v>1</v>
      </c>
      <c r="F11" s="2" t="s">
        <v>2</v>
      </c>
      <c r="G11" s="42">
        <f>H11/C5</f>
        <v>0.23880941393631747</v>
      </c>
      <c r="H11" s="43">
        <f>G6</f>
        <v>62.1</v>
      </c>
      <c r="I11" s="44" t="s">
        <v>30</v>
      </c>
      <c r="J11" s="45"/>
      <c r="K11" s="14"/>
      <c r="L11" s="3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2:39">
      <c r="B12" s="2" t="s">
        <v>35</v>
      </c>
      <c r="C12" s="1">
        <v>32.04</v>
      </c>
      <c r="E12" s="7">
        <v>2</v>
      </c>
      <c r="F12" s="2" t="s">
        <v>12</v>
      </c>
      <c r="G12" s="42"/>
      <c r="H12" s="46"/>
      <c r="I12" s="42" t="s">
        <v>30</v>
      </c>
      <c r="J12" s="46">
        <f>G11  / (0.0239 / 150) * 1000</f>
        <v>1498803.8531568041</v>
      </c>
      <c r="K12" s="10" t="s">
        <v>49</v>
      </c>
      <c r="L12" s="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2:39">
      <c r="B13" s="2" t="s">
        <v>33</v>
      </c>
      <c r="C13" s="1">
        <v>60.052</v>
      </c>
      <c r="E13" s="7"/>
      <c r="F13" s="2"/>
      <c r="G13" s="42"/>
      <c r="H13" s="46"/>
      <c r="I13" s="42"/>
      <c r="J13" s="46"/>
      <c r="K13" s="10"/>
      <c r="L13" s="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2:39">
      <c r="B14" s="2" t="s">
        <v>34</v>
      </c>
      <c r="C14" s="1">
        <v>18.015999999999998</v>
      </c>
      <c r="E14" s="7">
        <v>4</v>
      </c>
      <c r="F14" s="15" t="s">
        <v>5</v>
      </c>
      <c r="G14" s="42">
        <f>G11 * 2</f>
        <v>0.47761882787263493</v>
      </c>
      <c r="H14" s="46">
        <f>C8 * G14</f>
        <v>51.888509460083057</v>
      </c>
      <c r="I14" s="47" t="s">
        <v>30</v>
      </c>
      <c r="J14" s="46">
        <f>H14 * 1000  / C27</f>
        <v>60546.685484344292</v>
      </c>
      <c r="K14" s="10" t="s">
        <v>49</v>
      </c>
      <c r="L14" s="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2:39">
      <c r="B15" s="2" t="s">
        <v>36</v>
      </c>
      <c r="C15" s="1">
        <v>86.11</v>
      </c>
      <c r="E15" s="7"/>
      <c r="F15" s="2"/>
      <c r="G15" s="42"/>
      <c r="H15" s="46"/>
      <c r="I15" s="42"/>
      <c r="J15" s="46"/>
      <c r="K15" s="10"/>
      <c r="L15" s="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2:39">
      <c r="B16" s="2" t="s">
        <v>40</v>
      </c>
      <c r="C16" s="2">
        <v>36.46</v>
      </c>
      <c r="E16" s="7">
        <v>6</v>
      </c>
      <c r="F16" s="15" t="s">
        <v>50</v>
      </c>
      <c r="G16" s="42">
        <f>G11 * 2</f>
        <v>0.47761882787263493</v>
      </c>
      <c r="H16" s="46">
        <f>C9 * G16</f>
        <v>65.366912782648825</v>
      </c>
      <c r="I16" s="47" t="s">
        <v>30</v>
      </c>
      <c r="J16" s="46">
        <f>H16 * 1000 / C28</f>
        <v>64085.208610440022</v>
      </c>
      <c r="K16" s="10" t="s">
        <v>49</v>
      </c>
      <c r="L16" s="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2:39">
      <c r="B17" s="2" t="s">
        <v>41</v>
      </c>
      <c r="C17" s="2">
        <v>84.007000000000005</v>
      </c>
      <c r="E17" s="7"/>
      <c r="F17" s="2"/>
      <c r="G17" s="42"/>
      <c r="H17" s="46"/>
      <c r="I17" s="42"/>
      <c r="J17" s="46"/>
      <c r="K17" s="10"/>
      <c r="L17" s="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2:39">
      <c r="B18" s="7" t="s">
        <v>42</v>
      </c>
      <c r="C18" s="2">
        <v>142.04</v>
      </c>
      <c r="E18" s="7">
        <v>8</v>
      </c>
      <c r="F18" s="2" t="s">
        <v>9</v>
      </c>
      <c r="G18" s="42">
        <f>G11</f>
        <v>0.23880941393631747</v>
      </c>
      <c r="H18" s="46">
        <f>G18 * C10</f>
        <v>24.559160129210888</v>
      </c>
      <c r="I18" s="42" t="s">
        <v>30</v>
      </c>
      <c r="J18" s="46">
        <f xml:space="preserve"> G18 * 1000 * 1000</f>
        <v>238809.41393631746</v>
      </c>
      <c r="K18" s="10" t="s">
        <v>49</v>
      </c>
      <c r="L18" s="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2:39" ht="17" thickBot="1">
      <c r="B19" s="12" t="s">
        <v>25</v>
      </c>
      <c r="C19" s="13">
        <v>76.459999999999994</v>
      </c>
      <c r="E19" s="7"/>
      <c r="F19" s="2"/>
      <c r="G19" s="42"/>
      <c r="H19" s="46"/>
      <c r="I19" s="42"/>
      <c r="J19" s="46"/>
      <c r="K19" s="10"/>
      <c r="L19" s="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2:39">
      <c r="E20" s="7">
        <v>11</v>
      </c>
      <c r="F20" s="37" t="s">
        <v>38</v>
      </c>
      <c r="G20" s="42">
        <f>G11</f>
        <v>0.23880941393631747</v>
      </c>
      <c r="H20" s="46">
        <f>G20 * C11</f>
        <v>99.936963544070139</v>
      </c>
      <c r="I20" s="42" t="s">
        <v>30</v>
      </c>
      <c r="J20" s="46"/>
      <c r="K20" s="10"/>
      <c r="L20" s="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2:39" ht="17" thickBot="1">
      <c r="E21" s="7">
        <v>12</v>
      </c>
      <c r="F21" s="15" t="s">
        <v>12</v>
      </c>
      <c r="G21" s="42"/>
      <c r="H21" s="46"/>
      <c r="I21" s="47"/>
      <c r="J21" s="46">
        <f xml:space="preserve"> G11 * 1000 / (0.0239 / 30)</f>
        <v>299760.77063136082</v>
      </c>
      <c r="K21" s="10" t="s">
        <v>49</v>
      </c>
      <c r="L21" s="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2:39" ht="17" thickBot="1">
      <c r="B22" s="4" t="s">
        <v>39</v>
      </c>
      <c r="C22" s="5" t="s">
        <v>43</v>
      </c>
      <c r="E22" s="7"/>
      <c r="F22" s="2"/>
      <c r="G22" s="42"/>
      <c r="H22" s="46"/>
      <c r="I22" s="42"/>
      <c r="J22" s="46"/>
      <c r="K22" s="10"/>
      <c r="L22" s="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2:39">
      <c r="B23" s="8" t="s">
        <v>44</v>
      </c>
      <c r="C23" s="6">
        <v>0.88900000000000001</v>
      </c>
      <c r="E23" s="7">
        <v>14</v>
      </c>
      <c r="F23" s="15" t="s">
        <v>52</v>
      </c>
      <c r="G23" s="42"/>
      <c r="H23" s="46"/>
      <c r="I23" s="42"/>
      <c r="J23" s="46">
        <f>G11 * 1000 / (0.0239 / 20)</f>
        <v>199840.51375424056</v>
      </c>
      <c r="K23" s="10" t="s">
        <v>49</v>
      </c>
      <c r="L23" s="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2:39">
      <c r="B24" s="2" t="s">
        <v>35</v>
      </c>
      <c r="C24" s="1">
        <v>0.79100000000000004</v>
      </c>
      <c r="E24" s="7">
        <v>16</v>
      </c>
      <c r="F24" s="15" t="s">
        <v>33</v>
      </c>
      <c r="G24" s="42"/>
      <c r="H24" s="46"/>
      <c r="I24" s="42"/>
      <c r="J24" s="46">
        <f>J23</f>
        <v>199840.51375424056</v>
      </c>
      <c r="K24" s="10" t="s">
        <v>49</v>
      </c>
      <c r="L24" s="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2:39">
      <c r="B25" s="2" t="s">
        <v>33</v>
      </c>
      <c r="C25" s="1">
        <v>1.0489999999999999</v>
      </c>
      <c r="E25" s="7">
        <v>18</v>
      </c>
      <c r="F25" s="15" t="s">
        <v>34</v>
      </c>
      <c r="G25" s="42"/>
      <c r="H25" s="46"/>
      <c r="I25" s="42"/>
      <c r="J25" s="46">
        <f>J23</f>
        <v>199840.51375424056</v>
      </c>
      <c r="K25" s="11" t="s">
        <v>49</v>
      </c>
      <c r="L25" s="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2:39">
      <c r="B26" s="2" t="s">
        <v>34</v>
      </c>
      <c r="C26" s="2">
        <v>0.997</v>
      </c>
      <c r="E26" s="7"/>
      <c r="F26" s="2"/>
      <c r="G26" s="42"/>
      <c r="H26" s="46"/>
      <c r="I26" s="42"/>
      <c r="J26" s="46"/>
      <c r="K26" s="10"/>
      <c r="L26" s="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2:39">
      <c r="B27" s="15" t="s">
        <v>5</v>
      </c>
      <c r="C27" s="15">
        <v>0.85699999999999998</v>
      </c>
      <c r="E27" s="7">
        <v>21</v>
      </c>
      <c r="F27" s="15" t="s">
        <v>36</v>
      </c>
      <c r="G27" s="42"/>
      <c r="H27" s="46"/>
      <c r="I27" s="42"/>
      <c r="J27" s="46">
        <f>G11 * 1000 / (0.0239 / 250)</f>
        <v>2498006.4219280067</v>
      </c>
      <c r="K27" s="11" t="s">
        <v>49</v>
      </c>
      <c r="L27" s="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2:39">
      <c r="B28" s="15" t="s">
        <v>51</v>
      </c>
      <c r="C28" s="15">
        <v>1.02</v>
      </c>
      <c r="E28" s="7">
        <v>22</v>
      </c>
      <c r="F28" s="15" t="s">
        <v>53</v>
      </c>
      <c r="G28" s="42"/>
      <c r="H28" s="46"/>
      <c r="I28" s="42"/>
      <c r="J28" s="46">
        <f>G11 * 1000 / (0.0239 / 250)</f>
        <v>2498006.4219280067</v>
      </c>
      <c r="K28" s="11" t="s">
        <v>49</v>
      </c>
      <c r="L28" s="2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ht="17" thickBot="1">
      <c r="B29" s="13" t="s">
        <v>32</v>
      </c>
      <c r="C29" s="13">
        <v>0.97499999999999998</v>
      </c>
      <c r="E29" s="7"/>
      <c r="F29" s="2"/>
      <c r="G29" s="42"/>
      <c r="H29" s="46"/>
      <c r="I29" s="42"/>
      <c r="J29" s="46"/>
      <c r="K29" s="10"/>
      <c r="L29" s="2"/>
    </row>
    <row r="30" spans="2:39">
      <c r="E30" s="7">
        <v>25</v>
      </c>
      <c r="F30" s="2" t="s">
        <v>24</v>
      </c>
      <c r="G30" s="42"/>
      <c r="H30" s="46"/>
      <c r="I30" s="42"/>
      <c r="J30" s="46">
        <f>G11 * 1000 / (0.0239 / 250)</f>
        <v>2498006.4219280067</v>
      </c>
      <c r="K30" s="10" t="s">
        <v>49</v>
      </c>
      <c r="L30" s="2"/>
    </row>
    <row r="31" spans="2:39">
      <c r="E31" s="7">
        <v>26</v>
      </c>
      <c r="F31" s="2" t="s">
        <v>25</v>
      </c>
      <c r="G31" s="42"/>
      <c r="H31" s="46"/>
      <c r="I31" s="42"/>
      <c r="J31" s="46">
        <f>G11 * 1000 / (0.0239 / 250)</f>
        <v>2498006.4219280067</v>
      </c>
      <c r="K31" s="10" t="s">
        <v>49</v>
      </c>
      <c r="L31" s="2"/>
    </row>
    <row r="32" spans="2:39">
      <c r="E32" s="7"/>
      <c r="F32" s="2"/>
      <c r="G32" s="10"/>
      <c r="H32" s="2"/>
      <c r="I32" s="10"/>
      <c r="J32" s="2"/>
      <c r="K32" s="10"/>
      <c r="L32" s="2"/>
    </row>
    <row r="33" spans="5:12">
      <c r="E33" s="7">
        <v>28</v>
      </c>
      <c r="F33" s="2" t="s">
        <v>42</v>
      </c>
      <c r="G33" s="10"/>
      <c r="H33" s="2"/>
      <c r="I33" s="10"/>
      <c r="J33" s="2"/>
      <c r="K33" s="10"/>
      <c r="L33" s="2" t="s">
        <v>55</v>
      </c>
    </row>
    <row r="34" spans="5:12">
      <c r="E34" s="7"/>
      <c r="F34" s="2"/>
      <c r="G34" s="10"/>
      <c r="H34" s="2"/>
      <c r="I34" s="10"/>
      <c r="J34" s="2"/>
      <c r="K34" s="10"/>
      <c r="L34" s="2"/>
    </row>
    <row r="35" spans="5:12">
      <c r="E35" s="7">
        <v>31</v>
      </c>
      <c r="F35" s="2" t="s">
        <v>28</v>
      </c>
      <c r="G35" s="10"/>
      <c r="H35" s="2"/>
      <c r="I35" s="10"/>
      <c r="J35" s="2"/>
      <c r="K35" s="10"/>
      <c r="L35" s="2"/>
    </row>
    <row r="36" spans="5:12">
      <c r="E36" s="7"/>
      <c r="F36" s="2"/>
      <c r="G36" s="10"/>
      <c r="H36" s="2"/>
      <c r="I36" s="10"/>
      <c r="J36" s="2"/>
      <c r="K36" s="10"/>
      <c r="L36" s="2"/>
    </row>
    <row r="37" spans="5:12" ht="17" thickBot="1">
      <c r="E37" s="23"/>
      <c r="F37" s="3"/>
      <c r="G37" s="33"/>
      <c r="H37" s="3"/>
      <c r="I37" s="33"/>
      <c r="J37" s="3"/>
      <c r="K37" s="33"/>
      <c r="L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0C63-7776-DE48-BE63-6C64ADC92AC0}">
  <dimension ref="B2:C29"/>
  <sheetViews>
    <sheetView topLeftCell="F5" zoomScale="90" workbookViewId="0">
      <selection activeCell="C29" sqref="C29"/>
    </sheetView>
  </sheetViews>
  <sheetFormatPr baseColWidth="10" defaultRowHeight="16"/>
  <cols>
    <col min="3" max="3" width="119.5" bestFit="1" customWidth="1"/>
  </cols>
  <sheetData>
    <row r="2" spans="2:3" ht="17" thickBot="1"/>
    <row r="3" spans="2:3" ht="17" thickBot="1">
      <c r="B3" s="24" t="s">
        <v>0</v>
      </c>
      <c r="C3" s="4" t="s">
        <v>1</v>
      </c>
    </row>
    <row r="4" spans="2:3">
      <c r="B4" s="7">
        <v>1</v>
      </c>
      <c r="C4" s="25" t="s">
        <v>58</v>
      </c>
    </row>
    <row r="5" spans="2:3">
      <c r="B5" s="7">
        <v>2</v>
      </c>
      <c r="C5" s="2" t="s">
        <v>59</v>
      </c>
    </row>
    <row r="6" spans="2:3">
      <c r="B6" s="7">
        <v>3</v>
      </c>
      <c r="C6" s="2" t="s">
        <v>60</v>
      </c>
    </row>
    <row r="7" spans="2:3">
      <c r="B7" s="7">
        <v>4</v>
      </c>
      <c r="C7" s="2" t="s">
        <v>4</v>
      </c>
    </row>
    <row r="8" spans="2:3">
      <c r="B8" s="7">
        <v>5</v>
      </c>
      <c r="C8" s="2" t="s">
        <v>61</v>
      </c>
    </row>
    <row r="9" spans="2:3">
      <c r="B9" s="7">
        <v>6</v>
      </c>
      <c r="C9" s="2" t="s">
        <v>62</v>
      </c>
    </row>
    <row r="10" spans="2:3">
      <c r="B10" s="7">
        <v>7</v>
      </c>
      <c r="C10" s="2" t="s">
        <v>4</v>
      </c>
    </row>
    <row r="11" spans="2:3">
      <c r="B11" s="7">
        <v>8</v>
      </c>
      <c r="C11" s="2" t="s">
        <v>63</v>
      </c>
    </row>
    <row r="12" spans="2:3">
      <c r="B12" s="7">
        <v>9</v>
      </c>
      <c r="C12" s="2" t="s">
        <v>4</v>
      </c>
    </row>
    <row r="13" spans="2:3">
      <c r="B13" s="7">
        <v>10</v>
      </c>
      <c r="C13" s="2" t="s">
        <v>64</v>
      </c>
    </row>
    <row r="14" spans="2:3">
      <c r="B14" s="7">
        <v>11</v>
      </c>
      <c r="C14" s="2" t="s">
        <v>4</v>
      </c>
    </row>
    <row r="15" spans="2:3">
      <c r="B15" s="7">
        <v>12</v>
      </c>
      <c r="C15" s="2" t="s">
        <v>41</v>
      </c>
    </row>
    <row r="16" spans="2:3">
      <c r="B16" s="7">
        <v>13</v>
      </c>
      <c r="C16" s="2" t="s">
        <v>4</v>
      </c>
    </row>
    <row r="17" spans="2:3">
      <c r="B17" s="7">
        <v>14</v>
      </c>
      <c r="C17" s="2" t="s">
        <v>65</v>
      </c>
    </row>
    <row r="18" spans="2:3">
      <c r="B18" s="7">
        <v>15</v>
      </c>
      <c r="C18" s="2" t="s">
        <v>4</v>
      </c>
    </row>
    <row r="19" spans="2:3">
      <c r="B19" s="7">
        <v>16</v>
      </c>
      <c r="C19" s="2" t="s">
        <v>4</v>
      </c>
    </row>
    <row r="20" spans="2:3">
      <c r="B20" s="7">
        <v>17</v>
      </c>
      <c r="C20" s="2" t="s">
        <v>66</v>
      </c>
    </row>
    <row r="21" spans="2:3">
      <c r="B21" s="7">
        <v>18</v>
      </c>
      <c r="C21" s="2" t="s">
        <v>59</v>
      </c>
    </row>
    <row r="22" spans="2:3">
      <c r="B22" s="7">
        <v>19</v>
      </c>
      <c r="C22" s="2" t="s">
        <v>22</v>
      </c>
    </row>
    <row r="23" spans="2:3">
      <c r="B23" s="7">
        <v>20</v>
      </c>
      <c r="C23" s="2" t="s">
        <v>67</v>
      </c>
    </row>
    <row r="24" spans="2:3">
      <c r="B24" s="7">
        <v>21</v>
      </c>
      <c r="C24" s="2" t="s">
        <v>6</v>
      </c>
    </row>
    <row r="25" spans="2:3">
      <c r="B25" s="7">
        <v>22</v>
      </c>
      <c r="C25" s="2" t="s">
        <v>42</v>
      </c>
    </row>
    <row r="26" spans="2:3">
      <c r="B26" s="7">
        <v>23</v>
      </c>
      <c r="C26" s="2" t="s">
        <v>68</v>
      </c>
    </row>
    <row r="27" spans="2:3">
      <c r="B27" s="7">
        <v>24</v>
      </c>
      <c r="C27" s="2" t="s">
        <v>69</v>
      </c>
    </row>
    <row r="28" spans="2:3">
      <c r="B28" s="7">
        <v>25</v>
      </c>
      <c r="C28" s="2" t="s">
        <v>70</v>
      </c>
    </row>
    <row r="29" spans="2:3" ht="17" thickBot="1">
      <c r="B29" s="23">
        <v>26</v>
      </c>
      <c r="C29" s="26" t="s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1F81-D4FD-AA41-B847-6ECB81DDC639}">
  <dimension ref="B4:N32"/>
  <sheetViews>
    <sheetView topLeftCell="B1" workbookViewId="0">
      <selection activeCell="M18" sqref="M18"/>
    </sheetView>
  </sheetViews>
  <sheetFormatPr baseColWidth="10" defaultRowHeight="16"/>
  <cols>
    <col min="2" max="2" width="35" customWidth="1"/>
    <col min="3" max="3" width="19.5" bestFit="1" customWidth="1"/>
    <col min="7" max="7" width="12.6640625" bestFit="1" customWidth="1"/>
    <col min="8" max="8" width="35.33203125" customWidth="1"/>
    <col min="9" max="9" width="30.6640625" customWidth="1"/>
    <col min="14" max="14" width="43.5" bestFit="1" customWidth="1"/>
  </cols>
  <sheetData>
    <row r="4" spans="2:14" ht="17" thickBot="1"/>
    <row r="5" spans="2:14" ht="17" thickBot="1">
      <c r="B5" s="4" t="s">
        <v>39</v>
      </c>
      <c r="C5" s="5" t="s">
        <v>37</v>
      </c>
    </row>
    <row r="6" spans="2:14" ht="49" customHeight="1" thickBot="1">
      <c r="B6" s="29" t="s">
        <v>58</v>
      </c>
      <c r="C6" s="27">
        <v>552.62</v>
      </c>
      <c r="G6" s="63" t="s">
        <v>29</v>
      </c>
      <c r="H6" s="64" t="s">
        <v>77</v>
      </c>
      <c r="I6" s="65">
        <v>57.9</v>
      </c>
      <c r="J6" s="66" t="s">
        <v>30</v>
      </c>
    </row>
    <row r="7" spans="2:14" ht="69" thickBot="1">
      <c r="B7" s="41" t="s">
        <v>59</v>
      </c>
      <c r="C7" s="27">
        <v>84.93</v>
      </c>
      <c r="G7" s="67" t="s">
        <v>57</v>
      </c>
      <c r="H7" s="68" t="s">
        <v>78</v>
      </c>
      <c r="I7" s="69">
        <f>I12 * C18</f>
        <v>58.844010350693061</v>
      </c>
      <c r="J7" s="70" t="s">
        <v>30</v>
      </c>
    </row>
    <row r="8" spans="2:14">
      <c r="B8" s="2" t="s">
        <v>60</v>
      </c>
      <c r="C8" s="1">
        <v>150.08000000000001</v>
      </c>
    </row>
    <row r="9" spans="2:14">
      <c r="B9" s="2" t="s">
        <v>62</v>
      </c>
      <c r="C9" s="1">
        <v>222.26</v>
      </c>
    </row>
    <row r="10" spans="2:14" ht="17" thickBot="1">
      <c r="B10" s="2" t="s">
        <v>72</v>
      </c>
      <c r="C10" s="1">
        <v>99.21</v>
      </c>
    </row>
    <row r="11" spans="2:14" ht="17" thickBot="1">
      <c r="B11" s="2" t="s">
        <v>64</v>
      </c>
      <c r="C11" s="1">
        <v>101.19</v>
      </c>
      <c r="G11" s="24" t="s">
        <v>45</v>
      </c>
      <c r="H11" s="4" t="s">
        <v>39</v>
      </c>
      <c r="I11" s="34" t="s">
        <v>105</v>
      </c>
      <c r="J11" s="4" t="s">
        <v>47</v>
      </c>
      <c r="K11" s="34" t="s">
        <v>46</v>
      </c>
      <c r="L11" s="38" t="s">
        <v>48</v>
      </c>
      <c r="M11" s="38" t="s">
        <v>46</v>
      </c>
      <c r="N11" s="36" t="s">
        <v>54</v>
      </c>
    </row>
    <row r="12" spans="2:14" ht="51">
      <c r="B12" s="2" t="s">
        <v>73</v>
      </c>
      <c r="C12" s="1">
        <v>84.007000000000005</v>
      </c>
      <c r="G12" s="32">
        <v>1</v>
      </c>
      <c r="H12" s="52" t="s">
        <v>77</v>
      </c>
      <c r="I12" s="54">
        <f>J12 / C6</f>
        <v>0.10477362382830878</v>
      </c>
      <c r="J12" s="55">
        <f>I6</f>
        <v>57.9</v>
      </c>
      <c r="K12" s="54" t="s">
        <v>30</v>
      </c>
      <c r="L12" s="55"/>
      <c r="M12" s="8"/>
      <c r="N12" s="6"/>
    </row>
    <row r="13" spans="2:14">
      <c r="B13" s="2" t="s">
        <v>34</v>
      </c>
      <c r="C13" s="1">
        <v>18.015999999999998</v>
      </c>
      <c r="G13" s="51">
        <v>2</v>
      </c>
      <c r="H13" s="2" t="s">
        <v>59</v>
      </c>
      <c r="I13" s="42"/>
      <c r="J13" s="46"/>
      <c r="K13" s="42"/>
      <c r="L13" s="46">
        <f xml:space="preserve"> I12/ (0.105 / 100) * 1000</f>
        <v>99784.403646008373</v>
      </c>
      <c r="M13" s="2" t="s">
        <v>49</v>
      </c>
      <c r="N13" s="1"/>
    </row>
    <row r="14" spans="2:14">
      <c r="B14" s="2" t="s">
        <v>25</v>
      </c>
      <c r="C14" s="1">
        <v>76.459999999999994</v>
      </c>
      <c r="G14" s="51">
        <v>3</v>
      </c>
      <c r="H14" s="2" t="s">
        <v>60</v>
      </c>
      <c r="I14" s="42">
        <f xml:space="preserve"> 2 * I12</f>
        <v>0.20954724765661756</v>
      </c>
      <c r="J14" s="46">
        <f>I14 * C8</f>
        <v>31.448850928305166</v>
      </c>
      <c r="K14" s="42" t="s">
        <v>30</v>
      </c>
      <c r="L14" s="46">
        <f>J14 * 1000 /C22</f>
        <v>18542.954556783709</v>
      </c>
      <c r="M14" s="2" t="s">
        <v>49</v>
      </c>
      <c r="N14" s="1"/>
    </row>
    <row r="15" spans="2:14">
      <c r="B15" s="2" t="s">
        <v>42</v>
      </c>
      <c r="C15" s="1">
        <v>142.04</v>
      </c>
      <c r="G15" s="7"/>
      <c r="H15" s="2"/>
      <c r="I15" s="42"/>
      <c r="J15" s="46"/>
      <c r="K15" s="42"/>
      <c r="L15" s="46"/>
      <c r="M15" s="2"/>
      <c r="N15" s="1"/>
    </row>
    <row r="16" spans="2:14">
      <c r="B16" s="2" t="s">
        <v>74</v>
      </c>
      <c r="C16" s="1">
        <v>88.11</v>
      </c>
      <c r="G16" s="51">
        <v>6</v>
      </c>
      <c r="H16" s="2" t="s">
        <v>62</v>
      </c>
      <c r="I16" s="42">
        <f>I12 * 2.1</f>
        <v>0.22002461003944845</v>
      </c>
      <c r="J16" s="46">
        <f>C9 * I16</f>
        <v>48.902669827367809</v>
      </c>
      <c r="K16" s="47" t="s">
        <v>30</v>
      </c>
      <c r="L16" s="46">
        <f>J16 * 1000 /C23</f>
        <v>39920.546797851275</v>
      </c>
      <c r="M16" s="2" t="s">
        <v>49</v>
      </c>
      <c r="N16" s="1"/>
    </row>
    <row r="17" spans="2:14">
      <c r="B17" s="2" t="s">
        <v>75</v>
      </c>
      <c r="C17" s="1">
        <v>86.17</v>
      </c>
      <c r="G17" s="51"/>
      <c r="H17" s="2"/>
      <c r="I17" s="42"/>
      <c r="J17" s="46"/>
      <c r="K17" s="42"/>
      <c r="L17" s="46"/>
      <c r="M17" s="2"/>
      <c r="N17" s="1"/>
    </row>
    <row r="18" spans="2:14" ht="48" customHeight="1" thickBot="1">
      <c r="B18" s="30" t="s">
        <v>71</v>
      </c>
      <c r="C18" s="28">
        <v>561.63</v>
      </c>
      <c r="G18" s="51">
        <v>8</v>
      </c>
      <c r="H18" s="41" t="s">
        <v>72</v>
      </c>
      <c r="I18" s="56">
        <f>I12 * 4</f>
        <v>0.41909449531323512</v>
      </c>
      <c r="J18" s="57">
        <f>I18 * C10</f>
        <v>41.578364880026051</v>
      </c>
      <c r="K18" s="56" t="s">
        <v>30</v>
      </c>
      <c r="L18" s="57">
        <f>J18 * 1000 / C24</f>
        <v>52431.733770524646</v>
      </c>
      <c r="M18" s="41" t="s">
        <v>49</v>
      </c>
      <c r="N18" s="1"/>
    </row>
    <row r="19" spans="2:14">
      <c r="G19" s="51"/>
      <c r="H19" s="2"/>
      <c r="I19" s="42"/>
      <c r="J19" s="46"/>
      <c r="K19" s="42"/>
      <c r="L19" s="46"/>
      <c r="M19" s="2"/>
      <c r="N19" s="1"/>
    </row>
    <row r="20" spans="2:14" ht="17" thickBot="1">
      <c r="G20" s="51">
        <v>10</v>
      </c>
      <c r="H20" s="2" t="s">
        <v>64</v>
      </c>
      <c r="I20" s="42"/>
      <c r="J20" s="46"/>
      <c r="K20" s="42"/>
      <c r="L20" s="46">
        <f>I12 / (0.105 / 50) * 1000</f>
        <v>49892.201823004187</v>
      </c>
      <c r="M20" s="2" t="s">
        <v>49</v>
      </c>
      <c r="N20" s="1"/>
    </row>
    <row r="21" spans="2:14" ht="17" thickBot="1">
      <c r="B21" s="24" t="s">
        <v>76</v>
      </c>
      <c r="C21" s="4" t="s">
        <v>43</v>
      </c>
      <c r="G21" s="51"/>
      <c r="H21" s="2"/>
      <c r="I21" s="42"/>
      <c r="J21" s="46"/>
      <c r="K21" s="42"/>
      <c r="L21" s="46"/>
      <c r="M21" s="2"/>
      <c r="N21" s="1"/>
    </row>
    <row r="22" spans="2:14">
      <c r="B22" s="7" t="s">
        <v>60</v>
      </c>
      <c r="C22" s="2">
        <v>1.696</v>
      </c>
      <c r="G22" s="51">
        <v>12</v>
      </c>
      <c r="H22" s="2" t="s">
        <v>41</v>
      </c>
      <c r="I22" s="42">
        <f xml:space="preserve"> I12 * ((80 / C12)  / 0.105)</f>
        <v>0.95024846639930816</v>
      </c>
      <c r="J22" s="46">
        <f xml:space="preserve"> I22 * C12</f>
        <v>79.827522916806686</v>
      </c>
      <c r="K22" s="42" t="s">
        <v>30</v>
      </c>
      <c r="L22" s="46"/>
      <c r="M22" s="2"/>
      <c r="N22" s="1"/>
    </row>
    <row r="23" spans="2:14">
      <c r="B23" s="7" t="s">
        <v>62</v>
      </c>
      <c r="C23" s="2">
        <v>1.2250000000000001</v>
      </c>
      <c r="G23" s="51"/>
      <c r="H23" s="2"/>
      <c r="I23" s="42"/>
      <c r="J23" s="46"/>
      <c r="K23" s="42"/>
      <c r="L23" s="46"/>
      <c r="M23" s="2"/>
      <c r="N23" s="1"/>
    </row>
    <row r="24" spans="2:14">
      <c r="B24" s="7" t="s">
        <v>72</v>
      </c>
      <c r="C24" s="2">
        <v>0.79300000000000004</v>
      </c>
      <c r="G24" s="51">
        <v>14</v>
      </c>
      <c r="H24" s="2" t="s">
        <v>34</v>
      </c>
      <c r="I24" s="42"/>
      <c r="J24" s="46"/>
      <c r="K24" s="42"/>
      <c r="L24" s="46">
        <f>I12 / (0.105 / 300)  * 1000</f>
        <v>299353.21093802509</v>
      </c>
      <c r="M24" s="2" t="s">
        <v>49</v>
      </c>
      <c r="N24" s="1"/>
    </row>
    <row r="25" spans="2:14">
      <c r="B25" s="7" t="s">
        <v>64</v>
      </c>
      <c r="C25" s="2">
        <v>0.72599999999999998</v>
      </c>
      <c r="G25" s="51"/>
      <c r="H25" s="2"/>
      <c r="I25" s="42"/>
      <c r="J25" s="46"/>
      <c r="K25" s="42"/>
      <c r="L25" s="46"/>
      <c r="M25" s="2"/>
      <c r="N25" s="1"/>
    </row>
    <row r="26" spans="2:14" ht="17" thickBot="1">
      <c r="B26" s="23" t="s">
        <v>34</v>
      </c>
      <c r="C26" s="3">
        <v>0.997</v>
      </c>
      <c r="G26" s="51">
        <v>18</v>
      </c>
      <c r="H26" s="2" t="s">
        <v>79</v>
      </c>
      <c r="I26" s="42"/>
      <c r="J26" s="46"/>
      <c r="K26" s="42"/>
      <c r="L26" s="46"/>
      <c r="M26" s="2"/>
      <c r="N26" s="1" t="s">
        <v>80</v>
      </c>
    </row>
    <row r="27" spans="2:14">
      <c r="G27" s="51"/>
      <c r="H27" s="2"/>
      <c r="I27" s="42"/>
      <c r="J27" s="46"/>
      <c r="K27" s="42"/>
      <c r="L27" s="46"/>
      <c r="M27" s="2"/>
      <c r="N27" s="1"/>
    </row>
    <row r="28" spans="2:14">
      <c r="G28" s="51">
        <v>20</v>
      </c>
      <c r="H28" s="2" t="s">
        <v>25</v>
      </c>
      <c r="I28" s="42"/>
      <c r="J28" s="46"/>
      <c r="K28" s="42"/>
      <c r="L28" s="46"/>
      <c r="M28" s="2"/>
      <c r="N28" s="1" t="s">
        <v>82</v>
      </c>
    </row>
    <row r="29" spans="2:14">
      <c r="G29" s="51"/>
      <c r="H29" s="2"/>
      <c r="I29" s="42"/>
      <c r="J29" s="46"/>
      <c r="K29" s="42"/>
      <c r="L29" s="46"/>
      <c r="M29" s="2"/>
      <c r="N29" s="1"/>
    </row>
    <row r="30" spans="2:14">
      <c r="G30" s="51">
        <v>22</v>
      </c>
      <c r="H30" s="2" t="s">
        <v>42</v>
      </c>
      <c r="I30" s="42"/>
      <c r="J30" s="46"/>
      <c r="K30" s="42"/>
      <c r="L30" s="46"/>
      <c r="M30" s="2"/>
      <c r="N30" s="1" t="s">
        <v>81</v>
      </c>
    </row>
    <row r="31" spans="2:14">
      <c r="G31" s="51"/>
      <c r="H31" s="2"/>
      <c r="I31" s="42"/>
      <c r="J31" s="46"/>
      <c r="K31" s="42"/>
      <c r="L31" s="46"/>
      <c r="M31" s="2"/>
      <c r="N31" s="1"/>
    </row>
    <row r="32" spans="2:14" ht="17" thickBot="1">
      <c r="G32" s="50">
        <v>25</v>
      </c>
      <c r="H32" s="3" t="s">
        <v>70</v>
      </c>
      <c r="I32" s="58"/>
      <c r="J32" s="53"/>
      <c r="K32" s="58"/>
      <c r="L32" s="53"/>
      <c r="M32" s="3"/>
      <c r="N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D017-FE8F-9241-AF0B-C81EF03A1CA5}">
  <dimension ref="B6:C31"/>
  <sheetViews>
    <sheetView topLeftCell="C1" workbookViewId="0">
      <selection activeCell="B7" sqref="B7:C7"/>
    </sheetView>
  </sheetViews>
  <sheetFormatPr baseColWidth="10" defaultRowHeight="16"/>
  <cols>
    <col min="3" max="3" width="123.5" bestFit="1" customWidth="1"/>
  </cols>
  <sheetData>
    <row r="6" spans="2:3" ht="17" thickBot="1"/>
    <row r="7" spans="2:3" ht="17" thickBot="1">
      <c r="B7" s="24" t="s">
        <v>0</v>
      </c>
      <c r="C7" s="4" t="s">
        <v>1</v>
      </c>
    </row>
    <row r="8" spans="2:3">
      <c r="B8" s="7">
        <v>1</v>
      </c>
      <c r="C8" s="25" t="s">
        <v>83</v>
      </c>
    </row>
    <row r="9" spans="2:3">
      <c r="B9" s="7">
        <v>2</v>
      </c>
      <c r="C9" s="2" t="s">
        <v>84</v>
      </c>
    </row>
    <row r="10" spans="2:3">
      <c r="B10" s="7">
        <v>3</v>
      </c>
      <c r="C10" s="2" t="s">
        <v>85</v>
      </c>
    </row>
    <row r="11" spans="2:3">
      <c r="B11" s="7">
        <v>4</v>
      </c>
      <c r="C11" s="2" t="s">
        <v>4</v>
      </c>
    </row>
    <row r="12" spans="2:3">
      <c r="B12" s="7">
        <v>5</v>
      </c>
      <c r="C12" s="2" t="s">
        <v>4</v>
      </c>
    </row>
    <row r="13" spans="2:3">
      <c r="B13" s="7">
        <v>6</v>
      </c>
      <c r="C13" s="2" t="s">
        <v>86</v>
      </c>
    </row>
    <row r="14" spans="2:3">
      <c r="B14" s="7">
        <v>7</v>
      </c>
      <c r="C14" s="2" t="s">
        <v>4</v>
      </c>
    </row>
    <row r="15" spans="2:3">
      <c r="B15" s="7">
        <v>8</v>
      </c>
      <c r="C15" s="2" t="s">
        <v>64</v>
      </c>
    </row>
    <row r="16" spans="2:3">
      <c r="B16" s="7">
        <v>9</v>
      </c>
      <c r="C16" s="2" t="s">
        <v>35</v>
      </c>
    </row>
    <row r="17" spans="2:3">
      <c r="B17" s="7">
        <v>10</v>
      </c>
      <c r="C17" s="2" t="s">
        <v>87</v>
      </c>
    </row>
    <row r="18" spans="2:3">
      <c r="B18" s="7">
        <v>11</v>
      </c>
      <c r="C18" s="2" t="s">
        <v>88</v>
      </c>
    </row>
    <row r="19" spans="2:3">
      <c r="B19" s="7">
        <v>12</v>
      </c>
      <c r="C19" s="2" t="s">
        <v>89</v>
      </c>
    </row>
    <row r="20" spans="2:3">
      <c r="B20" s="7">
        <v>13</v>
      </c>
      <c r="C20" s="2" t="s">
        <v>90</v>
      </c>
    </row>
    <row r="21" spans="2:3">
      <c r="B21" s="7">
        <v>14</v>
      </c>
      <c r="C21" s="2" t="s">
        <v>91</v>
      </c>
    </row>
    <row r="22" spans="2:3">
      <c r="B22" s="7">
        <v>15</v>
      </c>
      <c r="C22" s="2" t="s">
        <v>92</v>
      </c>
    </row>
    <row r="23" spans="2:3">
      <c r="B23" s="7">
        <v>16</v>
      </c>
      <c r="C23" s="2" t="s">
        <v>93</v>
      </c>
    </row>
    <row r="24" spans="2:3">
      <c r="B24" s="7">
        <v>17</v>
      </c>
      <c r="C24" s="2" t="s">
        <v>94</v>
      </c>
    </row>
    <row r="25" spans="2:3">
      <c r="B25" s="7">
        <v>18</v>
      </c>
      <c r="C25" s="2" t="s">
        <v>95</v>
      </c>
    </row>
    <row r="26" spans="2:3">
      <c r="B26" s="7">
        <v>19</v>
      </c>
      <c r="C26" s="2" t="s">
        <v>34</v>
      </c>
    </row>
    <row r="27" spans="2:3">
      <c r="B27" s="7">
        <v>20</v>
      </c>
      <c r="C27" s="2" t="s">
        <v>96</v>
      </c>
    </row>
    <row r="28" spans="2:3">
      <c r="B28" s="7">
        <v>21</v>
      </c>
      <c r="C28" s="2" t="s">
        <v>97</v>
      </c>
    </row>
    <row r="29" spans="2:3">
      <c r="B29" s="7">
        <v>22</v>
      </c>
      <c r="C29" s="2" t="s">
        <v>98</v>
      </c>
    </row>
    <row r="30" spans="2:3">
      <c r="B30" s="7">
        <v>23</v>
      </c>
      <c r="C30" s="2" t="s">
        <v>99</v>
      </c>
    </row>
    <row r="31" spans="2:3" ht="17" thickBot="1">
      <c r="B31" s="23">
        <v>24</v>
      </c>
      <c r="C31" s="3" t="s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7F75-1207-CC44-87C0-70D40B25BB3F}">
  <dimension ref="A4:O26"/>
  <sheetViews>
    <sheetView workbookViewId="0">
      <selection activeCell="H12" sqref="H12:O12"/>
    </sheetView>
  </sheetViews>
  <sheetFormatPr baseColWidth="10" defaultRowHeight="16"/>
  <cols>
    <col min="2" max="2" width="41.1640625" customWidth="1"/>
    <col min="3" max="3" width="19.83203125" bestFit="1" customWidth="1"/>
    <col min="9" max="9" width="43" customWidth="1"/>
    <col min="10" max="11" width="11" bestFit="1" customWidth="1"/>
    <col min="13" max="13" width="12.6640625" bestFit="1" customWidth="1"/>
    <col min="15" max="15" width="17.83203125" bestFit="1" customWidth="1"/>
  </cols>
  <sheetData>
    <row r="4" spans="1:15" ht="17" thickBot="1"/>
    <row r="5" spans="1:15" ht="17" thickBot="1">
      <c r="B5" s="4" t="s">
        <v>39</v>
      </c>
      <c r="C5" s="5" t="s">
        <v>37</v>
      </c>
    </row>
    <row r="6" spans="1:15" ht="59" customHeight="1" thickBot="1">
      <c r="B6" s="60" t="s">
        <v>71</v>
      </c>
      <c r="C6" s="27">
        <v>561.65</v>
      </c>
      <c r="H6" s="63" t="s">
        <v>29</v>
      </c>
      <c r="I6" s="73" t="s">
        <v>71</v>
      </c>
      <c r="J6" s="74">
        <v>5.1100000000000003</v>
      </c>
      <c r="K6" s="40" t="s">
        <v>30</v>
      </c>
    </row>
    <row r="7" spans="1:15" ht="53" customHeight="1" thickBot="1">
      <c r="B7" s="41" t="s">
        <v>100</v>
      </c>
      <c r="C7" s="27">
        <v>117.17</v>
      </c>
      <c r="H7" s="67" t="s">
        <v>57</v>
      </c>
      <c r="I7" s="71" t="s">
        <v>104</v>
      </c>
      <c r="J7" s="80">
        <f>J13 * C13 * 0.86</f>
        <v>2.2789480922282563</v>
      </c>
      <c r="K7" s="72" t="s">
        <v>30</v>
      </c>
    </row>
    <row r="8" spans="1:15">
      <c r="B8" s="2" t="s">
        <v>103</v>
      </c>
      <c r="C8" s="1">
        <v>84.93</v>
      </c>
    </row>
    <row r="9" spans="1:15">
      <c r="B9" s="2" t="s">
        <v>35</v>
      </c>
      <c r="C9" s="1">
        <v>32.04</v>
      </c>
    </row>
    <row r="10" spans="1:15">
      <c r="B10" s="2" t="s">
        <v>64</v>
      </c>
      <c r="C10" s="1">
        <v>101.19</v>
      </c>
    </row>
    <row r="11" spans="1:15" ht="17" thickBot="1">
      <c r="B11" s="2" t="s">
        <v>101</v>
      </c>
      <c r="C11" s="1">
        <v>86.16</v>
      </c>
    </row>
    <row r="12" spans="1:15" ht="17" thickBot="1">
      <c r="B12" s="2" t="s">
        <v>34</v>
      </c>
      <c r="C12" s="1">
        <v>18.015999999999998</v>
      </c>
      <c r="H12" s="24" t="s">
        <v>45</v>
      </c>
      <c r="I12" s="4" t="s">
        <v>39</v>
      </c>
      <c r="J12" s="34" t="s">
        <v>105</v>
      </c>
      <c r="K12" s="4" t="s">
        <v>47</v>
      </c>
      <c r="L12" s="34" t="s">
        <v>46</v>
      </c>
      <c r="M12" s="38" t="s">
        <v>48</v>
      </c>
      <c r="N12" s="38" t="s">
        <v>46</v>
      </c>
      <c r="O12" s="36" t="s">
        <v>54</v>
      </c>
    </row>
    <row r="13" spans="1:15" ht="49" customHeight="1" thickBot="1">
      <c r="A13" s="59"/>
      <c r="B13" s="61" t="s">
        <v>104</v>
      </c>
      <c r="C13" s="28">
        <v>291.26</v>
      </c>
      <c r="H13" s="7">
        <v>1</v>
      </c>
      <c r="I13" s="75" t="s">
        <v>78</v>
      </c>
      <c r="J13" s="76">
        <f>K13 /C6</f>
        <v>9.0981928247129001E-3</v>
      </c>
      <c r="K13" s="77">
        <f>J6</f>
        <v>5.1100000000000003</v>
      </c>
      <c r="L13" s="76" t="s">
        <v>30</v>
      </c>
      <c r="M13" s="77"/>
      <c r="N13" s="77"/>
      <c r="O13" s="1"/>
    </row>
    <row r="14" spans="1:15">
      <c r="H14" s="7">
        <v>2</v>
      </c>
      <c r="I14" s="2" t="s">
        <v>100</v>
      </c>
      <c r="J14" s="76">
        <f xml:space="preserve"> J13 * 3.8</f>
        <v>3.4573132733909016E-2</v>
      </c>
      <c r="K14" s="77">
        <f>M14 * C17 / 1000</f>
        <v>25.584118223092666</v>
      </c>
      <c r="L14" s="76" t="s">
        <v>30</v>
      </c>
      <c r="M14" s="77">
        <f>J14 * 1000 * 1000</f>
        <v>34573.132733909013</v>
      </c>
      <c r="N14" s="77" t="s">
        <v>49</v>
      </c>
      <c r="O14" s="1" t="s">
        <v>107</v>
      </c>
    </row>
    <row r="15" spans="1:15" ht="17" thickBot="1">
      <c r="H15" s="7">
        <v>3</v>
      </c>
      <c r="I15" s="2" t="s">
        <v>102</v>
      </c>
      <c r="J15" s="76"/>
      <c r="K15" s="77"/>
      <c r="L15" s="76"/>
      <c r="M15" s="77">
        <f xml:space="preserve"> J13 / (0.0091 / (50 * 1000))</f>
        <v>49990.070465455494</v>
      </c>
      <c r="N15" s="77" t="s">
        <v>49</v>
      </c>
      <c r="O15" s="1"/>
    </row>
    <row r="16" spans="1:15">
      <c r="B16" s="62" t="s">
        <v>39</v>
      </c>
      <c r="C16" s="62" t="s">
        <v>43</v>
      </c>
      <c r="H16" s="7"/>
      <c r="I16" s="2"/>
      <c r="J16" s="76"/>
      <c r="K16" s="77"/>
      <c r="L16" s="76"/>
      <c r="M16" s="77"/>
      <c r="N16" s="77"/>
      <c r="O16" s="1"/>
    </row>
    <row r="17" spans="2:15">
      <c r="B17" s="2" t="s">
        <v>106</v>
      </c>
      <c r="C17" s="2">
        <v>0.74</v>
      </c>
      <c r="H17" s="7">
        <v>6</v>
      </c>
      <c r="I17" s="2" t="s">
        <v>35</v>
      </c>
      <c r="J17" s="76"/>
      <c r="K17" s="77"/>
      <c r="L17" s="76"/>
      <c r="M17" s="77">
        <f>J13 / (0.0091 / (10 * 1000))</f>
        <v>9998.0140930910984</v>
      </c>
      <c r="N17" s="77" t="s">
        <v>49</v>
      </c>
      <c r="O17" s="1"/>
    </row>
    <row r="18" spans="2:15">
      <c r="B18" s="2" t="s">
        <v>102</v>
      </c>
      <c r="C18" s="2">
        <v>1.325</v>
      </c>
      <c r="H18" s="7"/>
      <c r="I18" s="2"/>
      <c r="J18" s="76"/>
      <c r="K18" s="77"/>
      <c r="L18" s="76"/>
      <c r="M18" s="77"/>
      <c r="N18" s="77"/>
      <c r="O18" s="1"/>
    </row>
    <row r="19" spans="2:15">
      <c r="B19" s="2" t="s">
        <v>35</v>
      </c>
      <c r="C19" s="2">
        <v>0.79100000000000004</v>
      </c>
      <c r="H19" s="7">
        <v>8</v>
      </c>
      <c r="I19" s="2" t="s">
        <v>64</v>
      </c>
      <c r="J19" s="76"/>
      <c r="K19" s="77"/>
      <c r="L19" s="76"/>
      <c r="M19" s="77">
        <f>J13 / (0.0091 / (13 * 1000))</f>
        <v>12997.418321018427</v>
      </c>
      <c r="N19" s="77" t="s">
        <v>49</v>
      </c>
      <c r="O19" s="1"/>
    </row>
    <row r="20" spans="2:15">
      <c r="B20" s="2" t="s">
        <v>64</v>
      </c>
      <c r="C20" s="2">
        <v>0.72599999999999998</v>
      </c>
      <c r="H20" s="7">
        <v>9</v>
      </c>
      <c r="I20" s="2" t="s">
        <v>35</v>
      </c>
      <c r="J20" s="76"/>
      <c r="K20" s="77"/>
      <c r="L20" s="76"/>
      <c r="M20" s="77">
        <f>J13 / (0.0091 / (20 * 1000))</f>
        <v>19996.028186182197</v>
      </c>
      <c r="N20" s="77" t="s">
        <v>49</v>
      </c>
      <c r="O20" s="1"/>
    </row>
    <row r="21" spans="2:15">
      <c r="B21" s="2" t="s">
        <v>101</v>
      </c>
      <c r="C21" s="2">
        <v>0.65500000000000003</v>
      </c>
      <c r="H21" s="7"/>
      <c r="I21" s="2"/>
      <c r="J21" s="76"/>
      <c r="K21" s="77"/>
      <c r="L21" s="76"/>
      <c r="M21" s="77"/>
      <c r="N21" s="77"/>
      <c r="O21" s="1"/>
    </row>
    <row r="22" spans="2:15" ht="17" thickBot="1">
      <c r="B22" s="3" t="s">
        <v>34</v>
      </c>
      <c r="C22" s="3">
        <v>0.997</v>
      </c>
      <c r="H22" s="7">
        <v>13</v>
      </c>
      <c r="I22" s="2" t="s">
        <v>101</v>
      </c>
      <c r="J22" s="76"/>
      <c r="K22" s="77"/>
      <c r="L22" s="76"/>
      <c r="M22" s="77">
        <f>J13 / (0.0091 / (50 * 1000))</f>
        <v>49990.070465455494</v>
      </c>
      <c r="N22" s="77" t="s">
        <v>49</v>
      </c>
      <c r="O22" s="1"/>
    </row>
    <row r="23" spans="2:15">
      <c r="H23" s="7"/>
      <c r="I23" s="2"/>
      <c r="J23" s="76"/>
      <c r="K23" s="77"/>
      <c r="L23" s="76"/>
      <c r="M23" s="77"/>
      <c r="N23" s="77"/>
      <c r="O23" s="1"/>
    </row>
    <row r="24" spans="2:15">
      <c r="H24" s="7">
        <v>17</v>
      </c>
      <c r="I24" s="2" t="s">
        <v>35</v>
      </c>
      <c r="J24" s="76"/>
      <c r="K24" s="77"/>
      <c r="L24" s="76"/>
      <c r="M24" s="77">
        <f>J13 / (0.0091 / (50 * 1000))</f>
        <v>49990.070465455494</v>
      </c>
      <c r="N24" s="77" t="s">
        <v>49</v>
      </c>
      <c r="O24" s="1"/>
    </row>
    <row r="25" spans="2:15">
      <c r="H25" s="7"/>
      <c r="I25" s="2"/>
      <c r="J25" s="76"/>
      <c r="K25" s="77"/>
      <c r="L25" s="76"/>
      <c r="M25" s="77"/>
      <c r="N25" s="77"/>
      <c r="O25" s="1"/>
    </row>
    <row r="26" spans="2:15" ht="17" thickBot="1">
      <c r="H26" s="23">
        <v>19</v>
      </c>
      <c r="I26" s="3" t="s">
        <v>34</v>
      </c>
      <c r="J26" s="78"/>
      <c r="K26" s="79"/>
      <c r="L26" s="78"/>
      <c r="M26" s="79">
        <f>J13 / (0.0091 / (50 * 1000))</f>
        <v>49990.070465455494</v>
      </c>
      <c r="N26" s="79" t="s">
        <v>49</v>
      </c>
      <c r="O2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8680-7E89-B943-A9E2-A2B1109A65E3}">
  <dimension ref="B6:C26"/>
  <sheetViews>
    <sheetView topLeftCell="D1" workbookViewId="0">
      <selection activeCell="B7" sqref="B7:C7"/>
    </sheetView>
  </sheetViews>
  <sheetFormatPr baseColWidth="10" defaultRowHeight="16"/>
  <cols>
    <col min="3" max="3" width="123.1640625" bestFit="1" customWidth="1"/>
  </cols>
  <sheetData>
    <row r="6" spans="2:3" ht="17" thickBot="1"/>
    <row r="7" spans="2:3" ht="17" thickBot="1">
      <c r="B7" s="4" t="s">
        <v>0</v>
      </c>
      <c r="C7" s="5" t="s">
        <v>1</v>
      </c>
    </row>
    <row r="8" spans="2:3">
      <c r="B8" s="2">
        <v>1</v>
      </c>
      <c r="C8" s="1" t="s">
        <v>109</v>
      </c>
    </row>
    <row r="9" spans="2:3">
      <c r="B9" s="2">
        <v>2</v>
      </c>
      <c r="C9" s="1" t="s">
        <v>108</v>
      </c>
    </row>
    <row r="10" spans="2:3">
      <c r="B10" s="2">
        <v>3</v>
      </c>
      <c r="C10" s="1" t="s">
        <v>110</v>
      </c>
    </row>
    <row r="11" spans="2:3">
      <c r="B11" s="2">
        <v>4</v>
      </c>
      <c r="C11" s="1" t="s">
        <v>111</v>
      </c>
    </row>
    <row r="12" spans="2:3">
      <c r="B12" s="2">
        <v>5</v>
      </c>
      <c r="C12" s="1" t="s">
        <v>111</v>
      </c>
    </row>
    <row r="13" spans="2:3">
      <c r="B13" s="2">
        <v>6</v>
      </c>
      <c r="C13" s="1" t="s">
        <v>111</v>
      </c>
    </row>
    <row r="14" spans="2:3">
      <c r="B14" s="2">
        <v>7</v>
      </c>
      <c r="C14" s="1" t="s">
        <v>112</v>
      </c>
    </row>
    <row r="15" spans="2:3">
      <c r="B15" s="2">
        <v>8</v>
      </c>
      <c r="C15" s="1" t="s">
        <v>113</v>
      </c>
    </row>
    <row r="16" spans="2:3">
      <c r="B16" s="2">
        <v>9</v>
      </c>
      <c r="C16" s="1" t="s">
        <v>111</v>
      </c>
    </row>
    <row r="17" spans="2:3">
      <c r="B17" s="2">
        <v>10</v>
      </c>
      <c r="C17" s="1" t="s">
        <v>114</v>
      </c>
    </row>
    <row r="18" spans="2:3">
      <c r="B18" s="2">
        <v>11</v>
      </c>
      <c r="C18" s="1" t="s">
        <v>36</v>
      </c>
    </row>
    <row r="19" spans="2:3">
      <c r="B19" s="2">
        <v>12</v>
      </c>
      <c r="C19" s="1" t="s">
        <v>34</v>
      </c>
    </row>
    <row r="20" spans="2:3">
      <c r="B20" s="2">
        <v>13</v>
      </c>
      <c r="C20" s="1" t="s">
        <v>115</v>
      </c>
    </row>
    <row r="21" spans="2:3">
      <c r="B21" s="2">
        <v>14</v>
      </c>
      <c r="C21" s="1" t="s">
        <v>116</v>
      </c>
    </row>
    <row r="22" spans="2:3">
      <c r="B22" s="2">
        <v>15</v>
      </c>
      <c r="C22" s="1" t="s">
        <v>117</v>
      </c>
    </row>
    <row r="23" spans="2:3">
      <c r="B23" s="2">
        <v>16</v>
      </c>
      <c r="C23" s="1" t="s">
        <v>118</v>
      </c>
    </row>
    <row r="24" spans="2:3">
      <c r="B24" s="2">
        <v>17</v>
      </c>
      <c r="C24" s="1" t="s">
        <v>119</v>
      </c>
    </row>
    <row r="25" spans="2:3">
      <c r="B25" s="2">
        <v>18</v>
      </c>
      <c r="C25" s="1" t="s">
        <v>111</v>
      </c>
    </row>
    <row r="26" spans="2:3" ht="17" thickBot="1">
      <c r="B26" s="3">
        <v>19</v>
      </c>
      <c r="C26" s="105" t="s"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3367-2D36-764D-B1FF-C1E713AB6447}">
  <dimension ref="B4:O25"/>
  <sheetViews>
    <sheetView topLeftCell="A6" workbookViewId="0">
      <selection activeCell="M15" sqref="M15"/>
    </sheetView>
  </sheetViews>
  <sheetFormatPr baseColWidth="10" defaultRowHeight="16"/>
  <cols>
    <col min="2" max="2" width="30.1640625" customWidth="1"/>
    <col min="3" max="3" width="19.83203125" bestFit="1" customWidth="1"/>
    <col min="9" max="9" width="30.6640625" customWidth="1"/>
    <col min="15" max="15" width="35.5" bestFit="1" customWidth="1"/>
  </cols>
  <sheetData>
    <row r="4" spans="2:15" ht="17" thickBot="1"/>
    <row r="5" spans="2:15" ht="17" thickBot="1">
      <c r="B5" s="4" t="s">
        <v>39</v>
      </c>
      <c r="C5" s="5" t="s">
        <v>37</v>
      </c>
    </row>
    <row r="6" spans="2:15" ht="86" thickBot="1">
      <c r="B6" s="85" t="s">
        <v>124</v>
      </c>
      <c r="C6" s="82">
        <v>291.26299999999998</v>
      </c>
      <c r="H6" s="63" t="s">
        <v>29</v>
      </c>
      <c r="I6" s="101" t="s">
        <v>124</v>
      </c>
      <c r="J6" s="102">
        <v>5.8</v>
      </c>
      <c r="K6" s="103" t="s">
        <v>30</v>
      </c>
      <c r="L6" s="91"/>
      <c r="M6" s="91"/>
    </row>
    <row r="7" spans="2:15" ht="86" thickBot="1">
      <c r="B7" s="89" t="s">
        <v>121</v>
      </c>
      <c r="C7" s="90">
        <v>98.078999999999994</v>
      </c>
      <c r="H7" s="67" t="s">
        <v>57</v>
      </c>
      <c r="I7" s="71" t="s">
        <v>125</v>
      </c>
      <c r="J7" s="69">
        <f>J13 * C13 * 0.99</f>
        <v>6.5318865080700261</v>
      </c>
      <c r="K7" s="104" t="s">
        <v>30</v>
      </c>
      <c r="L7" s="91"/>
      <c r="M7" s="91"/>
    </row>
    <row r="8" spans="2:15">
      <c r="B8" s="86" t="s">
        <v>122</v>
      </c>
      <c r="C8" s="83">
        <v>104.15</v>
      </c>
      <c r="J8" s="91"/>
      <c r="K8" s="91"/>
      <c r="L8" s="91"/>
      <c r="M8" s="91"/>
    </row>
    <row r="9" spans="2:15">
      <c r="B9" s="86" t="s">
        <v>123</v>
      </c>
      <c r="C9" s="83">
        <v>58.08</v>
      </c>
      <c r="J9" s="91"/>
      <c r="K9" s="91"/>
      <c r="L9" s="91"/>
      <c r="M9" s="91"/>
    </row>
    <row r="10" spans="2:15">
      <c r="B10" s="86" t="s">
        <v>41</v>
      </c>
      <c r="C10" s="83">
        <v>84.007000000000005</v>
      </c>
      <c r="J10" s="91"/>
      <c r="K10" s="91"/>
      <c r="L10" s="91"/>
      <c r="M10" s="91"/>
    </row>
    <row r="11" spans="2:15" ht="17" thickBot="1">
      <c r="B11" s="86" t="s">
        <v>34</v>
      </c>
      <c r="C11" s="83">
        <v>18.015999999999998</v>
      </c>
      <c r="J11" s="91"/>
      <c r="K11" s="91"/>
      <c r="L11" s="91"/>
      <c r="M11" s="91"/>
    </row>
    <row r="12" spans="2:15" ht="17" thickBot="1">
      <c r="B12" s="86" t="s">
        <v>36</v>
      </c>
      <c r="C12" s="83">
        <v>88.11</v>
      </c>
      <c r="H12" s="24" t="s">
        <v>45</v>
      </c>
      <c r="I12" s="4" t="s">
        <v>39</v>
      </c>
      <c r="J12" s="92" t="s">
        <v>105</v>
      </c>
      <c r="K12" s="93" t="s">
        <v>47</v>
      </c>
      <c r="L12" s="92" t="s">
        <v>46</v>
      </c>
      <c r="M12" s="94" t="s">
        <v>48</v>
      </c>
      <c r="N12" s="35" t="s">
        <v>46</v>
      </c>
      <c r="O12" s="38" t="s">
        <v>54</v>
      </c>
    </row>
    <row r="13" spans="2:15" ht="86" thickBot="1">
      <c r="B13" s="87" t="s">
        <v>125</v>
      </c>
      <c r="C13" s="84">
        <v>331.33</v>
      </c>
      <c r="H13" s="97">
        <v>1</v>
      </c>
      <c r="I13" s="99" t="s">
        <v>124</v>
      </c>
      <c r="J13" s="95">
        <f>K13 / C6</f>
        <v>1.9913274257286371E-2</v>
      </c>
      <c r="K13" s="96">
        <f>J6</f>
        <v>5.8</v>
      </c>
      <c r="L13" s="95" t="s">
        <v>30</v>
      </c>
      <c r="M13" s="96"/>
      <c r="N13" s="98"/>
      <c r="O13" s="100"/>
    </row>
    <row r="14" spans="2:15">
      <c r="H14" s="7">
        <v>2</v>
      </c>
      <c r="I14" s="2" t="s">
        <v>127</v>
      </c>
      <c r="J14" s="42">
        <f xml:space="preserve"> J13 * 4.8</f>
        <v>9.5583716434974583E-2</v>
      </c>
      <c r="K14" s="46">
        <f xml:space="preserve"> J14 * C8</f>
        <v>9.9550440667026034</v>
      </c>
      <c r="L14" s="42" t="s">
        <v>30</v>
      </c>
      <c r="M14" s="46">
        <f xml:space="preserve"> K14 * 1000 / C18</f>
        <v>11753.2987800503</v>
      </c>
      <c r="N14" s="10" t="s">
        <v>49</v>
      </c>
      <c r="O14" s="2"/>
    </row>
    <row r="15" spans="2:15" ht="17" thickBot="1">
      <c r="H15" s="7">
        <v>3</v>
      </c>
      <c r="I15" s="2" t="s">
        <v>128</v>
      </c>
      <c r="J15" s="42"/>
      <c r="K15" s="46"/>
      <c r="L15" s="42"/>
      <c r="M15" s="46">
        <f xml:space="preserve"> J13 * 1000 / (0.02 / 145)</f>
        <v>144371.23836532619</v>
      </c>
      <c r="N15" s="10" t="s">
        <v>49</v>
      </c>
      <c r="O15" s="2"/>
    </row>
    <row r="16" spans="2:15">
      <c r="B16" s="62" t="s">
        <v>39</v>
      </c>
      <c r="C16" s="88" t="s">
        <v>43</v>
      </c>
      <c r="H16" s="7"/>
      <c r="I16" s="2"/>
      <c r="J16" s="42"/>
      <c r="K16" s="46"/>
      <c r="L16" s="42"/>
      <c r="M16" s="46"/>
      <c r="N16" s="10"/>
      <c r="O16" s="2"/>
    </row>
    <row r="17" spans="2:15">
      <c r="B17" s="2" t="s">
        <v>126</v>
      </c>
      <c r="C17" s="1">
        <v>1.84</v>
      </c>
      <c r="H17" s="7">
        <v>7</v>
      </c>
      <c r="I17" s="2" t="s">
        <v>41</v>
      </c>
      <c r="J17" s="42">
        <f xml:space="preserve"> J13 / (0.02 / (5.8 / C10))</f>
        <v>6.8742480205376294E-2</v>
      </c>
      <c r="K17" s="46">
        <f xml:space="preserve"> J17 * C10</f>
        <v>5.7748495346130468</v>
      </c>
      <c r="L17" s="42" t="s">
        <v>30</v>
      </c>
      <c r="M17" s="46"/>
      <c r="N17" s="10"/>
      <c r="O17" s="2"/>
    </row>
    <row r="18" spans="2:15">
      <c r="B18" s="2" t="s">
        <v>122</v>
      </c>
      <c r="C18" s="1">
        <v>0.84699999999999998</v>
      </c>
      <c r="H18" s="7">
        <v>8</v>
      </c>
      <c r="I18" s="2" t="s">
        <v>34</v>
      </c>
      <c r="J18" s="42">
        <f xml:space="preserve"> K18 / C11</f>
        <v>0.32054004965658567</v>
      </c>
      <c r="K18" s="46">
        <f xml:space="preserve"> K17</f>
        <v>5.7748495346130468</v>
      </c>
      <c r="L18" s="42" t="s">
        <v>30</v>
      </c>
      <c r="M18" s="46">
        <f xml:space="preserve"> K18 * 1000 / C20</f>
        <v>5792.2262132528049</v>
      </c>
      <c r="N18" s="10" t="s">
        <v>49</v>
      </c>
      <c r="O18" s="2"/>
    </row>
    <row r="19" spans="2:15">
      <c r="B19" s="2" t="s">
        <v>123</v>
      </c>
      <c r="C19" s="1">
        <v>0.79100000000000004</v>
      </c>
      <c r="H19" s="7"/>
      <c r="I19" s="2"/>
      <c r="J19" s="42"/>
      <c r="K19" s="46"/>
      <c r="L19" s="42"/>
      <c r="M19" s="46"/>
      <c r="N19" s="10"/>
      <c r="O19" s="2"/>
    </row>
    <row r="20" spans="2:15">
      <c r="B20" s="2" t="s">
        <v>34</v>
      </c>
      <c r="C20" s="1">
        <v>0.997</v>
      </c>
      <c r="H20" s="7">
        <v>11</v>
      </c>
      <c r="I20" s="2" t="s">
        <v>36</v>
      </c>
      <c r="J20" s="42"/>
      <c r="K20" s="46"/>
      <c r="L20" s="42"/>
      <c r="M20" s="46">
        <f xml:space="preserve"> J13 * 1000 / (0.02 / 150)</f>
        <v>149349.55692964778</v>
      </c>
      <c r="N20" s="10" t="s">
        <v>49</v>
      </c>
      <c r="O20" s="2"/>
    </row>
    <row r="21" spans="2:15" ht="17" thickBot="1">
      <c r="B21" s="3" t="s">
        <v>36</v>
      </c>
      <c r="C21" s="31">
        <v>0.90200000000000002</v>
      </c>
      <c r="H21" s="7">
        <v>12</v>
      </c>
      <c r="I21" s="2" t="s">
        <v>34</v>
      </c>
      <c r="J21" s="42"/>
      <c r="K21" s="46"/>
      <c r="L21" s="42"/>
      <c r="M21" s="46">
        <f xml:space="preserve"> J13 * 1000 / (0.02 / 50)</f>
        <v>49783.185643215926</v>
      </c>
      <c r="N21" s="10" t="s">
        <v>49</v>
      </c>
      <c r="O21" s="2"/>
    </row>
    <row r="22" spans="2:15">
      <c r="H22" s="7"/>
      <c r="I22" s="2"/>
      <c r="J22" s="42"/>
      <c r="K22" s="46"/>
      <c r="L22" s="42"/>
      <c r="M22" s="46"/>
      <c r="N22" s="10"/>
      <c r="O22" s="2"/>
    </row>
    <row r="23" spans="2:15">
      <c r="H23" s="7">
        <v>14</v>
      </c>
      <c r="I23" s="2" t="s">
        <v>36</v>
      </c>
      <c r="J23" s="42"/>
      <c r="K23" s="46"/>
      <c r="L23" s="42"/>
      <c r="M23" s="46">
        <f xml:space="preserve"> J13 * 1000 / (0.02 / 50)</f>
        <v>49783.185643215926</v>
      </c>
      <c r="N23" s="10" t="s">
        <v>49</v>
      </c>
      <c r="O23" s="2" t="s">
        <v>129</v>
      </c>
    </row>
    <row r="24" spans="2:15">
      <c r="H24" s="7"/>
      <c r="I24" s="2"/>
      <c r="J24" s="42"/>
      <c r="K24" s="46"/>
      <c r="L24" s="42"/>
      <c r="M24" s="46"/>
      <c r="N24" s="10"/>
      <c r="O24" s="2"/>
    </row>
    <row r="25" spans="2:15" ht="17" thickBot="1">
      <c r="H25" s="23">
        <v>17</v>
      </c>
      <c r="I25" s="3" t="s">
        <v>42</v>
      </c>
      <c r="J25" s="33"/>
      <c r="K25" s="3"/>
      <c r="L25" s="33"/>
      <c r="M25" s="3"/>
      <c r="N25" s="33"/>
      <c r="O25" s="3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81A-720C-B849-A4FF-6E7D7D488947}">
  <dimension ref="B5:C32"/>
  <sheetViews>
    <sheetView workbookViewId="0">
      <selection activeCell="B6" sqref="B6:C6"/>
    </sheetView>
  </sheetViews>
  <sheetFormatPr baseColWidth="10" defaultRowHeight="16"/>
  <cols>
    <col min="3" max="3" width="121.1640625" customWidth="1"/>
  </cols>
  <sheetData>
    <row r="5" spans="2:3" ht="17" thickBot="1"/>
    <row r="6" spans="2:3" ht="17" thickBot="1">
      <c r="B6" s="4" t="s">
        <v>0</v>
      </c>
      <c r="C6" s="5" t="s">
        <v>1</v>
      </c>
    </row>
    <row r="7" spans="2:3">
      <c r="B7">
        <v>1</v>
      </c>
      <c r="C7" s="106" t="s">
        <v>131</v>
      </c>
    </row>
    <row r="8" spans="2:3">
      <c r="B8">
        <v>2</v>
      </c>
      <c r="C8" s="106" t="s">
        <v>132</v>
      </c>
    </row>
    <row r="9" spans="2:3">
      <c r="B9">
        <v>3</v>
      </c>
      <c r="C9" t="s">
        <v>133</v>
      </c>
    </row>
    <row r="10" spans="2:3">
      <c r="B10">
        <v>4</v>
      </c>
      <c r="C10" t="s">
        <v>4</v>
      </c>
    </row>
    <row r="11" spans="2:3">
      <c r="B11">
        <v>5</v>
      </c>
      <c r="C11" t="s">
        <v>134</v>
      </c>
    </row>
    <row r="12" spans="2:3">
      <c r="B12">
        <v>6</v>
      </c>
      <c r="C12" t="s">
        <v>6</v>
      </c>
    </row>
    <row r="13" spans="2:3">
      <c r="B13">
        <v>7</v>
      </c>
      <c r="C13" t="s">
        <v>6</v>
      </c>
    </row>
    <row r="14" spans="2:3">
      <c r="B14">
        <v>8</v>
      </c>
      <c r="C14" t="s">
        <v>135</v>
      </c>
    </row>
    <row r="15" spans="2:3">
      <c r="B15">
        <v>9</v>
      </c>
      <c r="C15" t="s">
        <v>6</v>
      </c>
    </row>
    <row r="16" spans="2:3">
      <c r="B16">
        <v>10</v>
      </c>
      <c r="C16" t="s">
        <v>6</v>
      </c>
    </row>
    <row r="17" spans="2:3">
      <c r="B17">
        <v>11</v>
      </c>
      <c r="C17" t="s">
        <v>136</v>
      </c>
    </row>
    <row r="18" spans="2:3">
      <c r="B18">
        <v>12</v>
      </c>
      <c r="C18" t="s">
        <v>66</v>
      </c>
    </row>
    <row r="19" spans="2:3">
      <c r="B19">
        <v>13</v>
      </c>
      <c r="C19" t="s">
        <v>22</v>
      </c>
    </row>
    <row r="20" spans="2:3">
      <c r="B20">
        <v>14</v>
      </c>
      <c r="C20" t="s">
        <v>137</v>
      </c>
    </row>
    <row r="21" spans="2:3">
      <c r="B21">
        <v>15</v>
      </c>
      <c r="C21" t="s">
        <v>6</v>
      </c>
    </row>
    <row r="22" spans="2:3">
      <c r="B22">
        <v>16</v>
      </c>
      <c r="C22" t="s">
        <v>138</v>
      </c>
    </row>
    <row r="23" spans="2:3">
      <c r="B23">
        <v>17</v>
      </c>
      <c r="C23" t="s">
        <v>6</v>
      </c>
    </row>
    <row r="24" spans="2:3">
      <c r="B24">
        <v>18</v>
      </c>
      <c r="C24" t="s">
        <v>139</v>
      </c>
    </row>
    <row r="25" spans="2:3">
      <c r="B25">
        <v>19</v>
      </c>
      <c r="C25" t="s">
        <v>6</v>
      </c>
    </row>
    <row r="26" spans="2:3">
      <c r="B26">
        <v>20</v>
      </c>
      <c r="C26" t="s">
        <v>67</v>
      </c>
    </row>
    <row r="27" spans="2:3">
      <c r="B27">
        <v>21</v>
      </c>
      <c r="C27" t="s">
        <v>6</v>
      </c>
    </row>
    <row r="28" spans="2:3">
      <c r="B28">
        <v>22</v>
      </c>
      <c r="C28" t="s">
        <v>140</v>
      </c>
    </row>
    <row r="29" spans="2:3">
      <c r="B29">
        <v>23</v>
      </c>
      <c r="C29" t="s">
        <v>141</v>
      </c>
    </row>
    <row r="30" spans="2:3">
      <c r="B30">
        <v>24</v>
      </c>
      <c r="C30" t="s">
        <v>69</v>
      </c>
    </row>
    <row r="31" spans="2:3">
      <c r="B31">
        <v>25</v>
      </c>
      <c r="C31" t="s">
        <v>143</v>
      </c>
    </row>
    <row r="32" spans="2:3">
      <c r="B32">
        <v>26</v>
      </c>
      <c r="C32" s="8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 1 Diagram</vt:lpstr>
      <vt:lpstr>Step 1</vt:lpstr>
      <vt:lpstr>Step 2 Diagram</vt:lpstr>
      <vt:lpstr>Step 2</vt:lpstr>
      <vt:lpstr>Step 3 Diagram</vt:lpstr>
      <vt:lpstr>Step 3</vt:lpstr>
      <vt:lpstr>Step 4 Diagram</vt:lpstr>
      <vt:lpstr>Step 4</vt:lpstr>
      <vt:lpstr>Step 5 Diagram</vt:lpstr>
      <vt:lpstr>Step 5</vt:lpstr>
      <vt:lpstr>Step 6 Diagram</vt:lpstr>
      <vt:lpstr>Step 6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Li</dc:creator>
  <cp:lastModifiedBy>Ervin Li</cp:lastModifiedBy>
  <dcterms:created xsi:type="dcterms:W3CDTF">2020-07-13T00:10:29Z</dcterms:created>
  <dcterms:modified xsi:type="dcterms:W3CDTF">2020-08-20T03:49:36Z</dcterms:modified>
</cp:coreProperties>
</file>