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ocuments\2A_S3_ENIM\Conce\"/>
    </mc:Choice>
  </mc:AlternateContent>
  <xr:revisionPtr revIDLastSave="0" documentId="13_ncr:1_{93A99FFC-21D6-4778-8D3D-D13B6ADD3E00}" xr6:coauthVersionLast="47" xr6:coauthVersionMax="47" xr10:uidLastSave="{00000000-0000-0000-0000-000000000000}"/>
  <bookViews>
    <workbookView xWindow="-108" yWindow="-108" windowWidth="23256" windowHeight="12576" activeTab="2" xr2:uid="{42D5BC54-B945-4240-82A3-734A42984EE0}"/>
  </bookViews>
  <sheets>
    <sheet name="Chapitre 1" sheetId="1" r:id="rId1"/>
    <sheet name="Chapitre 2" sheetId="2" r:id="rId2"/>
    <sheet name="Chapitre 3" sheetId="3" r:id="rId3"/>
    <sheet name="Chapitre 4" sheetId="4" r:id="rId4"/>
    <sheet name="Chapitre 5" sheetId="5" r:id="rId5"/>
    <sheet name="Feuil1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3" l="1"/>
  <c r="F26" i="3"/>
  <c r="L97" i="3"/>
  <c r="L94" i="3"/>
  <c r="G60" i="3"/>
  <c r="G76" i="3"/>
  <c r="G68" i="3"/>
  <c r="C62" i="3"/>
  <c r="C70" i="3"/>
  <c r="G77" i="3"/>
  <c r="G61" i="3"/>
  <c r="I56" i="2"/>
  <c r="B62" i="2" s="1"/>
  <c r="I51" i="2"/>
  <c r="I47" i="2"/>
  <c r="I29" i="2"/>
  <c r="C63" i="3" l="1"/>
  <c r="C65" i="3" s="1"/>
  <c r="G62" i="3" s="1"/>
  <c r="D117" i="2" l="1"/>
  <c r="D109" i="2"/>
  <c r="F29" i="3"/>
  <c r="C48" i="4"/>
  <c r="C47" i="4"/>
  <c r="C83" i="4"/>
  <c r="C82" i="4"/>
  <c r="C81" i="4"/>
  <c r="C116" i="4"/>
  <c r="C108" i="4"/>
  <c r="C90" i="4"/>
  <c r="L96" i="3"/>
  <c r="L95" i="3"/>
  <c r="I41" i="2"/>
  <c r="I69" i="2"/>
  <c r="D78" i="2" s="1"/>
  <c r="I76" i="2" s="1"/>
  <c r="I64" i="2"/>
  <c r="C102" i="4"/>
  <c r="C101" i="4"/>
  <c r="C100" i="4"/>
  <c r="C98" i="4"/>
  <c r="C99" i="4"/>
  <c r="C97" i="4"/>
  <c r="I35" i="5"/>
  <c r="C89" i="4"/>
  <c r="S126" i="5"/>
  <c r="D6" i="6"/>
  <c r="C6" i="6"/>
  <c r="D3" i="6"/>
  <c r="C3" i="6"/>
  <c r="S110" i="5"/>
  <c r="C71" i="4"/>
  <c r="K96" i="5"/>
  <c r="K88" i="5"/>
  <c r="C53" i="4"/>
  <c r="C55" i="4"/>
  <c r="C40" i="4"/>
  <c r="C39" i="4"/>
  <c r="G69" i="3"/>
  <c r="I6" i="1"/>
  <c r="U17" i="2"/>
  <c r="I10" i="1"/>
  <c r="I14" i="1"/>
  <c r="O35" i="5"/>
  <c r="C26" i="4"/>
  <c r="C115" i="4" s="1"/>
  <c r="S53" i="5"/>
  <c r="N63" i="5" s="1"/>
  <c r="I5" i="2"/>
  <c r="C11" i="4"/>
  <c r="I2" i="1"/>
  <c r="L102" i="3" l="1"/>
  <c r="P14" i="2"/>
  <c r="U11" i="2" s="1"/>
  <c r="C117" i="4"/>
  <c r="C121" i="4"/>
  <c r="L98" i="3"/>
  <c r="L99" i="3"/>
  <c r="D19" i="2"/>
  <c r="C57" i="4"/>
  <c r="C28" i="4"/>
  <c r="C27" i="4"/>
  <c r="C30" i="4" s="1"/>
  <c r="E26" i="4"/>
  <c r="L52" i="5"/>
  <c r="L57" i="5"/>
  <c r="I17" i="2" l="1"/>
  <c r="D14" i="2" s="1"/>
  <c r="I11" i="2" s="1"/>
  <c r="G78" i="3"/>
  <c r="G79" i="3" s="1"/>
  <c r="G63" i="3"/>
  <c r="G70" i="3"/>
  <c r="G71" i="3" s="1"/>
  <c r="B80" i="3" l="1"/>
  <c r="B86" i="3" s="1"/>
  <c r="F18" i="3" s="1"/>
  <c r="E11" i="3" s="1"/>
  <c r="E12" i="3" s="1"/>
</calcChain>
</file>

<file path=xl/sharedStrings.xml><?xml version="1.0" encoding="utf-8"?>
<sst xmlns="http://schemas.openxmlformats.org/spreadsheetml/2006/main" count="598" uniqueCount="276">
  <si>
    <t>Nom Complet</t>
  </si>
  <si>
    <t>Nom</t>
  </si>
  <si>
    <t>Unité</t>
  </si>
  <si>
    <t>Valeur</t>
  </si>
  <si>
    <t>Formule</t>
  </si>
  <si>
    <t>Résultat</t>
  </si>
  <si>
    <t>Puissance Moteur P</t>
  </si>
  <si>
    <t>P</t>
  </si>
  <si>
    <t>W</t>
  </si>
  <si>
    <t>P=C*w</t>
  </si>
  <si>
    <t>C</t>
  </si>
  <si>
    <t>N.m</t>
  </si>
  <si>
    <t>w</t>
  </si>
  <si>
    <t>rad.s^-1</t>
  </si>
  <si>
    <t>Puissance Moteur P (mais walla c'est pas pareil)</t>
  </si>
  <si>
    <t>P=F*V</t>
  </si>
  <si>
    <t>F</t>
  </si>
  <si>
    <t>N</t>
  </si>
  <si>
    <t>V</t>
  </si>
  <si>
    <t>m/s</t>
  </si>
  <si>
    <t>Rapport entrée/sortie</t>
  </si>
  <si>
    <t>Pe</t>
  </si>
  <si>
    <r>
      <t>Ps=</t>
    </r>
    <r>
      <rPr>
        <sz val="11"/>
        <color theme="1"/>
        <rFont val="Calibri"/>
        <family val="2"/>
      </rPr>
      <t>ɳg*Pe</t>
    </r>
  </si>
  <si>
    <t>Ps</t>
  </si>
  <si>
    <t>ɳg (rendement)</t>
  </si>
  <si>
    <t>cste (&lt;&lt; à 1)</t>
  </si>
  <si>
    <t>Force</t>
  </si>
  <si>
    <t>F=m*a</t>
  </si>
  <si>
    <t>m</t>
  </si>
  <si>
    <t>g</t>
  </si>
  <si>
    <t>a</t>
  </si>
  <si>
    <t>cste (souvent 9.81)</t>
  </si>
  <si>
    <t>Entraînement par collage ou soudage</t>
  </si>
  <si>
    <t>P.24-27</t>
  </si>
  <si>
    <t>Ƭ &lt;= Ƭp</t>
  </si>
  <si>
    <t>Contrainte Tangeantielle moyenne</t>
  </si>
  <si>
    <t>Ƭ</t>
  </si>
  <si>
    <t>Mpa</t>
  </si>
  <si>
    <t>/</t>
  </si>
  <si>
    <t>diam</t>
  </si>
  <si>
    <t>D</t>
  </si>
  <si>
    <t>Section Cisaillée</t>
  </si>
  <si>
    <t>Sc</t>
  </si>
  <si>
    <t>m^2</t>
  </si>
  <si>
    <t>Couple transmissible</t>
  </si>
  <si>
    <t>Pour Collage</t>
  </si>
  <si>
    <t>Pour Soudage</t>
  </si>
  <si>
    <t>Contrainte Tangeant° moyenne</t>
  </si>
  <si>
    <t>Ƭp</t>
  </si>
  <si>
    <t xml:space="preserve">Section Cisaillée </t>
  </si>
  <si>
    <t>Diam</t>
  </si>
  <si>
    <t>longu demi-bague</t>
  </si>
  <si>
    <t>Longueur du cordon entre la douille et l'arbre</t>
  </si>
  <si>
    <t>b</t>
  </si>
  <si>
    <t>Entraînement par clavette</t>
  </si>
  <si>
    <t>P.28-30</t>
  </si>
  <si>
    <t>Aire Cisaillé</t>
  </si>
  <si>
    <t>S</t>
  </si>
  <si>
    <t>longueur clavette</t>
  </si>
  <si>
    <t>l</t>
  </si>
  <si>
    <t>largeur clavette</t>
  </si>
  <si>
    <t>Couple transmissible clavette</t>
  </si>
  <si>
    <t>ATTENTION :  L'effort tangentiel (T je crois) est appliqué au niveau de D pour simplifier les calculs</t>
  </si>
  <si>
    <t>Force Matage</t>
  </si>
  <si>
    <t>T</t>
  </si>
  <si>
    <t>Diam nominal</t>
  </si>
  <si>
    <t>longueur min de clavette</t>
  </si>
  <si>
    <t>Diamètre nominal</t>
  </si>
  <si>
    <t>l / D</t>
  </si>
  <si>
    <t>Pression appliquée</t>
  </si>
  <si>
    <t>p</t>
  </si>
  <si>
    <t>long clavette</t>
  </si>
  <si>
    <t>Pression admissible</t>
  </si>
  <si>
    <t>padm</t>
  </si>
  <si>
    <t>long clavette min</t>
  </si>
  <si>
    <t xml:space="preserve">Frettage </t>
  </si>
  <si>
    <t xml:space="preserve">Epaisseur de la plaque fretté </t>
  </si>
  <si>
    <t>e</t>
  </si>
  <si>
    <t>Arbre de transmission de puissance - Premiers pas</t>
  </si>
  <si>
    <t>Rappel DDS - page 39</t>
  </si>
  <si>
    <t>Unité (SI)</t>
  </si>
  <si>
    <t>Moment de torsion</t>
  </si>
  <si>
    <t>Mt</t>
  </si>
  <si>
    <t>Nmm</t>
  </si>
  <si>
    <t>Moteur électrique</t>
  </si>
  <si>
    <t>Couple</t>
  </si>
  <si>
    <t>Puissance</t>
  </si>
  <si>
    <t>Watt (W)</t>
  </si>
  <si>
    <t>Vitesse de rotation</t>
  </si>
  <si>
    <t>tr/min</t>
  </si>
  <si>
    <t>Fréquence</t>
  </si>
  <si>
    <t>rad/s</t>
  </si>
  <si>
    <t>page 37 et 38</t>
  </si>
  <si>
    <t>Torsion</t>
  </si>
  <si>
    <t>Résistance cisaillement</t>
  </si>
  <si>
    <t>MPa</t>
  </si>
  <si>
    <t>Diamètre mini</t>
  </si>
  <si>
    <t xml:space="preserve">d_mini </t>
  </si>
  <si>
    <t>mm</t>
  </si>
  <si>
    <t>Reg</t>
  </si>
  <si>
    <t>Rpeg</t>
  </si>
  <si>
    <t>page 40</t>
  </si>
  <si>
    <t>G</t>
  </si>
  <si>
    <t>Io</t>
  </si>
  <si>
    <t>theta_lim</t>
  </si>
  <si>
    <t xml:space="preserve">theta </t>
  </si>
  <si>
    <t>d =</t>
  </si>
  <si>
    <t>Arbre de transmission de puissance - Pondération des contraintes nominales</t>
  </si>
  <si>
    <t>voir page 50 - 51</t>
  </si>
  <si>
    <t xml:space="preserve">                         b</t>
  </si>
  <si>
    <t xml:space="preserve">Unité </t>
  </si>
  <si>
    <t>Flexion</t>
  </si>
  <si>
    <t>d</t>
  </si>
  <si>
    <t>r</t>
  </si>
  <si>
    <t>σ nom</t>
  </si>
  <si>
    <t>t</t>
  </si>
  <si>
    <t>Kt (flexion)</t>
  </si>
  <si>
    <t>r/t</t>
  </si>
  <si>
    <t>Kq =</t>
  </si>
  <si>
    <t>Traction/Compression</t>
  </si>
  <si>
    <t xml:space="preserve">Kp = </t>
  </si>
  <si>
    <t>Kt (traction)</t>
  </si>
  <si>
    <t>σ réel (traction)</t>
  </si>
  <si>
    <t>Kt (torsion)</t>
  </si>
  <si>
    <t>σ réel (torsion)</t>
  </si>
  <si>
    <t xml:space="preserve">σ vm </t>
  </si>
  <si>
    <t>Re (MPa)</t>
  </si>
  <si>
    <t xml:space="preserve">S </t>
  </si>
  <si>
    <t>Arbre de transmission de puissance - Résultat de RDM et Critère de Mises</t>
  </si>
  <si>
    <t>page 43 et 45</t>
  </si>
  <si>
    <t>Données</t>
  </si>
  <si>
    <t>Valeurs</t>
  </si>
  <si>
    <t>tau =</t>
  </si>
  <si>
    <t>σ max =</t>
  </si>
  <si>
    <t>Mf_max</t>
  </si>
  <si>
    <t>f =</t>
  </si>
  <si>
    <t>Cf chap 1</t>
  </si>
  <si>
    <t>I =</t>
  </si>
  <si>
    <t>L</t>
  </si>
  <si>
    <t>theta_a =</t>
  </si>
  <si>
    <t>E</t>
  </si>
  <si>
    <t>theta_b =</t>
  </si>
  <si>
    <t>σ vm =</t>
  </si>
  <si>
    <t>Calcul de l'allongement dû à la tension (p.69)</t>
  </si>
  <si>
    <t>Force de tension (F)</t>
  </si>
  <si>
    <t xml:space="preserve">Rayon de la roue (r)  </t>
  </si>
  <si>
    <t>Section de la courroie (S)</t>
  </si>
  <si>
    <t>m^3</t>
  </si>
  <si>
    <t xml:space="preserve">Entreaxe (E) </t>
  </si>
  <si>
    <t>Delta d'angle (Δ𝜃)</t>
  </si>
  <si>
    <t>rad</t>
  </si>
  <si>
    <t>Allongement relatif (Δ𝑆𝑅)</t>
  </si>
  <si>
    <t>Calcul de la longueur théorique de la courroie (p.70)</t>
  </si>
  <si>
    <t>Distance entre les deux points de contact du brin tendu (AB)</t>
  </si>
  <si>
    <t>Distance entre les deux points de contact du brin tendu (CD)</t>
  </si>
  <si>
    <t>Rayon de la grande roue (R)</t>
  </si>
  <si>
    <t>Rayon de la petite roue (r)</t>
  </si>
  <si>
    <t>Angle 𝛽</t>
  </si>
  <si>
    <t>(=&gt; Degrés)</t>
  </si>
  <si>
    <t>Périmètre (BC)</t>
  </si>
  <si>
    <t>Périmètre (DA)</t>
  </si>
  <si>
    <t>Longueur théorique</t>
  </si>
  <si>
    <t xml:space="preserve"> </t>
  </si>
  <si>
    <t>Calcul de la distance entre les deux axes pour le montage/démontage (p.71)</t>
  </si>
  <si>
    <r>
      <t>Longueur de la courroie (L</t>
    </r>
    <r>
      <rPr>
        <sz val="9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)</t>
    </r>
  </si>
  <si>
    <r>
      <t>Reduction de la longeur L</t>
    </r>
    <r>
      <rPr>
        <sz val="9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pour le montage(ΔE)</t>
    </r>
  </si>
  <si>
    <r>
      <t>Augmentation de la longeur L</t>
    </r>
    <r>
      <rPr>
        <sz val="9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pour le démontage(ΔE)</t>
    </r>
  </si>
  <si>
    <t>Calcul des vitesses tengentielles au niveau des roues (p.71)</t>
  </si>
  <si>
    <r>
      <t>Vitesse angulaire grande roue (</t>
    </r>
    <r>
      <rPr>
        <sz val="11"/>
        <color theme="1"/>
        <rFont val="Calibri"/>
        <family val="2"/>
      </rPr>
      <t>ω</t>
    </r>
    <r>
      <rPr>
        <sz val="9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</si>
  <si>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Vitesse angulaire petite roue (ω</t>
    </r>
    <r>
      <rPr>
        <sz val="9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</si>
  <si>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Vitesse au niveau de la petite roue (V</t>
    </r>
    <r>
      <rPr>
        <sz val="9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</si>
  <si>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Vitesse au niveau de la grande roue (V</t>
    </r>
    <r>
      <rPr>
        <sz val="9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</si>
  <si>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Vitesse au niveau de la courroie (V)</t>
  </si>
  <si>
    <r>
      <t>Calcul de la tention de pose (T</t>
    </r>
    <r>
      <rPr>
        <sz val="9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) (p.73)</t>
    </r>
  </si>
  <si>
    <t>Tention du brin mou (t)</t>
  </si>
  <si>
    <t>Tention du brin tendu (T)</t>
  </si>
  <si>
    <r>
      <t>Tension de pose (T</t>
    </r>
    <r>
      <rPr>
        <sz val="9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)</t>
    </r>
  </si>
  <si>
    <r>
      <t>Calcul de la tension (To-plate) et de la tension (To-trapez)</t>
    </r>
    <r>
      <rPr>
        <sz val="9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(p.77)</t>
    </r>
  </si>
  <si>
    <t>Coeff de frottement (f)</t>
  </si>
  <si>
    <r>
      <t>Angle entre les deux points de contact de la petite roue (</t>
    </r>
    <r>
      <rPr>
        <sz val="11"/>
        <color theme="1"/>
        <rFont val="Calibri"/>
        <family val="2"/>
      </rPr>
      <t>α</t>
    </r>
    <r>
      <rPr>
        <sz val="7.7"/>
        <color theme="1"/>
        <rFont val="Calibri"/>
        <family val="2"/>
      </rPr>
      <t>)</t>
    </r>
  </si>
  <si>
    <r>
      <t>Couple (C</t>
    </r>
    <r>
      <rPr>
        <sz val="9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) (P.S Je sais pas ce que c'est)</t>
    </r>
  </si>
  <si>
    <t>angle défini par la section trapez (δ)</t>
  </si>
  <si>
    <r>
      <t>T</t>
    </r>
    <r>
      <rPr>
        <sz val="9"/>
        <color theme="1"/>
        <rFont val="Calibri"/>
        <family val="2"/>
        <scheme val="minor"/>
      </rPr>
      <t>o-plate</t>
    </r>
  </si>
  <si>
    <r>
      <t>T</t>
    </r>
    <r>
      <rPr>
        <sz val="9"/>
        <color theme="1"/>
        <rFont val="Calibri"/>
        <family val="2"/>
        <scheme val="minor"/>
      </rPr>
      <t>o-trapez</t>
    </r>
  </si>
  <si>
    <t>Calcul de la puissance maximale transmissible (Pm) (p.82)</t>
  </si>
  <si>
    <t>masse linéique (ml)</t>
  </si>
  <si>
    <t>kg/m</t>
  </si>
  <si>
    <t>To</t>
  </si>
  <si>
    <t>Puissance max transmissible (Pm)</t>
  </si>
  <si>
    <t>Calcul de la puissance maximale transmissible (Pm) (p.83)</t>
  </si>
  <si>
    <t>Rad</t>
  </si>
  <si>
    <t>Entreaxe (E)</t>
  </si>
  <si>
    <t>Distance AB Barre</t>
  </si>
  <si>
    <t>Distance lue sur l'appareil (f1)</t>
  </si>
  <si>
    <t>Force lue sur l'appareil (F)</t>
  </si>
  <si>
    <t>Nom complet</t>
  </si>
  <si>
    <t>k coeff corecteur</t>
  </si>
  <si>
    <t>m(masse)</t>
  </si>
  <si>
    <t>Kg</t>
  </si>
  <si>
    <t>f</t>
  </si>
  <si>
    <t>Hz</t>
  </si>
  <si>
    <t>k coefficient de correction des contraintes</t>
  </si>
  <si>
    <t>k=fC</t>
  </si>
  <si>
    <t xml:space="preserve">Formule 1 </t>
  </si>
  <si>
    <t>Calcul de C (rapport d'enroulement)</t>
  </si>
  <si>
    <t>Résultat de C</t>
  </si>
  <si>
    <t>D(mm)</t>
  </si>
  <si>
    <t>d(mm)</t>
  </si>
  <si>
    <t xml:space="preserve">Schéma : </t>
  </si>
  <si>
    <t>Formule 2</t>
  </si>
  <si>
    <t>Formule 3 à utiliser de manière général</t>
  </si>
  <si>
    <t>d fil(mm)</t>
  </si>
  <si>
    <t>0,8 à 1,5</t>
  </si>
  <si>
    <t xml:space="preserve">1,5 à 3 </t>
  </si>
  <si>
    <t>3 à 6</t>
  </si>
  <si>
    <t>6 à 12</t>
  </si>
  <si>
    <t>Tadm(Mpa)</t>
  </si>
  <si>
    <t>Calculer dans la partie au-dessus</t>
  </si>
  <si>
    <t>Valeur :</t>
  </si>
  <si>
    <t>k (coeff corecteur)</t>
  </si>
  <si>
    <t>Résultat formule 1 :(Mpa)</t>
  </si>
  <si>
    <t>D(diamètre d'enroulement)(mm)</t>
  </si>
  <si>
    <t>Pmax(charge max )(N)</t>
  </si>
  <si>
    <t>d(diamètre du fil(mm)</t>
  </si>
  <si>
    <t>Formule 2 (pas Pmax)</t>
  </si>
  <si>
    <t>f(flèche)(mm)</t>
  </si>
  <si>
    <t>Résultat formule 2: (Mpa)</t>
  </si>
  <si>
    <t>G(module de Coulomb)(N/mm^2)</t>
  </si>
  <si>
    <t>d(diamètre du fil)(mm)</t>
  </si>
  <si>
    <t>N ou Nu (Nombres de spires utiles)</t>
  </si>
  <si>
    <t>k(coeff corecteur)</t>
  </si>
  <si>
    <t>K de la raideur different de k coeff de correction vu plus haut</t>
  </si>
  <si>
    <r>
      <t xml:space="preserve">Calcul de la Raideur </t>
    </r>
    <r>
      <rPr>
        <b/>
        <sz val="11"/>
        <color rgb="FFFF0000"/>
        <rFont val="Calibri"/>
        <family val="2"/>
        <scheme val="minor"/>
      </rPr>
      <t>K</t>
    </r>
    <r>
      <rPr>
        <b/>
        <sz val="11"/>
        <color theme="0"/>
        <rFont val="Calibri"/>
        <family val="2"/>
        <scheme val="minor"/>
      </rPr>
      <t xml:space="preserve"> (Nmm) :</t>
    </r>
  </si>
  <si>
    <t>Résultat (N.mm)</t>
  </si>
  <si>
    <t xml:space="preserve">Formule : </t>
  </si>
  <si>
    <t>Shéma :</t>
  </si>
  <si>
    <t>Calcul de la charge maximale (Pmax) :</t>
  </si>
  <si>
    <t>cm^2</t>
  </si>
  <si>
    <t>mm^2</t>
  </si>
  <si>
    <t xml:space="preserve">Le couple transmisible </t>
  </si>
  <si>
    <t>P.32-36</t>
  </si>
  <si>
    <t xml:space="preserve"> Delta D</t>
  </si>
  <si>
    <t>(p*d^2)/(2*e*E)</t>
  </si>
  <si>
    <t>Pression</t>
  </si>
  <si>
    <t xml:space="preserve">(2e*E*DelaD)/(D^2) </t>
  </si>
  <si>
    <t>PI()*e*E*Mu*a*deltaD</t>
  </si>
  <si>
    <t>Pa</t>
  </si>
  <si>
    <t xml:space="preserve">Contrainte longitudinale </t>
  </si>
  <si>
    <t xml:space="preserve"> Sigma L</t>
  </si>
  <si>
    <t>Pi*D</t>
  </si>
  <si>
    <t>Longeur développée</t>
  </si>
  <si>
    <t>Delta Longeur Developpée</t>
  </si>
  <si>
    <t>Delta Ld</t>
  </si>
  <si>
    <t>Ld</t>
  </si>
  <si>
    <t>Pi*DeltaD</t>
  </si>
  <si>
    <t>Delta d</t>
  </si>
  <si>
    <t>Delta D</t>
  </si>
  <si>
    <t>p*D^2/2*e*E</t>
  </si>
  <si>
    <t>Module d'Young</t>
  </si>
  <si>
    <t>Pression appliquée (CONNU)</t>
  </si>
  <si>
    <t>Pression Appliquée (INCONNU)</t>
  </si>
  <si>
    <t>longueur demi-bague</t>
  </si>
  <si>
    <t>Doit être inf à 2,5</t>
  </si>
  <si>
    <t>hauteur clavette</t>
  </si>
  <si>
    <t>Mf (Nmm)</t>
  </si>
  <si>
    <t>d (mm)</t>
  </si>
  <si>
    <t>σ nom (Mpa)</t>
  </si>
  <si>
    <t>σ réel (flexion) (Mpa)</t>
  </si>
  <si>
    <t>≤Re/s</t>
  </si>
  <si>
    <t>*</t>
  </si>
  <si>
    <t xml:space="preserve">               </t>
  </si>
  <si>
    <t>Résultat k (coeff)</t>
  </si>
  <si>
    <t>G(module de Coulomb)(N/mm^2)=(Mpa)</t>
  </si>
  <si>
    <t xml:space="preserve">                </t>
  </si>
  <si>
    <r>
      <t xml:space="preserve">      </t>
    </r>
    <r>
      <rPr>
        <sz val="11"/>
        <color theme="4"/>
        <rFont val="Calibri"/>
        <family val="2"/>
        <scheme val="minor"/>
      </rPr>
      <t>Mf= Force * bras de levier</t>
    </r>
  </si>
  <si>
    <t>Re (résistance  matériaux)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</si>
</sst>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.7"/>
      <color theme="1"/>
      <name val="Calibri"/>
      <family val="2"/>
    </font>
    <font>
      <sz val="11"/>
      <color rgb="FF4472C4"/>
      <name val="Calibri"/>
      <family val="2"/>
      <scheme val="minor"/>
    </font>
    <font>
      <sz val="10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E6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1" tint="0.499984740745262"/>
        <bgColor indexed="64"/>
      </patternFill>
    </fill>
  </fills>
  <borders count="12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/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double">
        <color rgb="FF3F3F3F"/>
      </top>
      <bottom/>
      <diagonal/>
    </border>
    <border>
      <left/>
      <right style="thin">
        <color rgb="FF3F3F3F"/>
      </right>
      <top style="double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rgb="FF3F3F3F"/>
      </left>
      <right/>
      <top style="double">
        <color rgb="FF3F3F3F"/>
      </top>
      <bottom style="thin">
        <color rgb="FF3F3F3F"/>
      </bottom>
      <diagonal/>
    </border>
    <border>
      <left/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/>
      <right/>
      <top style="double">
        <color rgb="FF3F3F3F"/>
      </top>
      <bottom style="thin">
        <color rgb="FF3F3F3F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rgb="FFFF0000"/>
      </right>
      <top/>
      <bottom style="medium">
        <color theme="1"/>
      </bottom>
      <diagonal/>
    </border>
    <border>
      <left style="thin">
        <color rgb="FFFF0000"/>
      </left>
      <right style="thin">
        <color rgb="FFFF0000"/>
      </right>
      <top/>
      <bottom style="medium">
        <color theme="1"/>
      </bottom>
      <diagonal/>
    </border>
    <border>
      <left style="thin">
        <color rgb="FFFF0000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rgb="FFFF0000"/>
      </right>
      <top style="medium">
        <color theme="1"/>
      </top>
      <bottom style="thin">
        <color theme="1"/>
      </bottom>
      <diagonal/>
    </border>
    <border>
      <left style="thin">
        <color rgb="FFFF0000"/>
      </left>
      <right style="thin">
        <color rgb="FFFF0000"/>
      </right>
      <top style="medium">
        <color theme="1"/>
      </top>
      <bottom style="thin">
        <color theme="1"/>
      </bottom>
      <diagonal/>
    </border>
    <border>
      <left style="thin">
        <color rgb="FFFF0000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6" fillId="5" borderId="18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6" borderId="0" applyFill="0"/>
  </cellStyleXfs>
  <cellXfs count="3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4" borderId="13" xfId="0" applyFill="1" applyBorder="1" applyAlignment="1">
      <alignment horizontal="center" vertical="center"/>
    </xf>
    <xf numFmtId="0" fontId="0" fillId="0" borderId="14" xfId="0" applyBorder="1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9" fillId="6" borderId="0" xfId="4" applyFont="1"/>
    <xf numFmtId="0" fontId="9" fillId="0" borderId="0" xfId="0" applyFont="1"/>
    <xf numFmtId="0" fontId="0" fillId="0" borderId="37" xfId="0" applyBorder="1"/>
    <xf numFmtId="0" fontId="0" fillId="0" borderId="3" xfId="0" applyBorder="1"/>
    <xf numFmtId="165" fontId="0" fillId="0" borderId="0" xfId="0" applyNumberFormat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38" xfId="0" applyNumberFormat="1" applyBorder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77" xfId="0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readingOrder="1"/>
    </xf>
    <xf numFmtId="0" fontId="3" fillId="0" borderId="46" xfId="0" applyFont="1" applyBorder="1" applyAlignment="1">
      <alignment horizontal="center" vertical="center" readingOrder="1"/>
    </xf>
    <xf numFmtId="0" fontId="3" fillId="0" borderId="47" xfId="0" applyFont="1" applyBorder="1" applyAlignment="1">
      <alignment horizontal="center" vertical="center" readingOrder="1"/>
    </xf>
    <xf numFmtId="0" fontId="0" fillId="0" borderId="51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34" xfId="0" applyBorder="1"/>
    <xf numFmtId="0" fontId="0" fillId="0" borderId="36" xfId="0" applyBorder="1"/>
    <xf numFmtId="164" fontId="0" fillId="0" borderId="62" xfId="0" applyNumberFormat="1" applyBorder="1" applyAlignment="1">
      <alignment horizontal="center" vertical="center"/>
    </xf>
    <xf numFmtId="164" fontId="4" fillId="0" borderId="53" xfId="0" applyNumberFormat="1" applyFont="1" applyBorder="1" applyAlignment="1">
      <alignment horizontal="center" vertical="center"/>
    </xf>
    <xf numFmtId="164" fontId="4" fillId="0" borderId="47" xfId="0" applyNumberFormat="1" applyFont="1" applyBorder="1" applyAlignment="1">
      <alignment horizontal="center" vertical="center"/>
    </xf>
    <xf numFmtId="164" fontId="4" fillId="0" borderId="48" xfId="0" applyNumberFormat="1" applyFont="1" applyBorder="1" applyAlignment="1">
      <alignment horizontal="center" vertical="center"/>
    </xf>
    <xf numFmtId="164" fontId="0" fillId="0" borderId="55" xfId="0" applyNumberFormat="1" applyBorder="1" applyAlignment="1">
      <alignment horizontal="center" vertical="center"/>
    </xf>
    <xf numFmtId="164" fontId="0" fillId="0" borderId="49" xfId="0" applyNumberFormat="1" applyBorder="1" applyAlignment="1">
      <alignment horizontal="center" vertical="center"/>
    </xf>
    <xf numFmtId="164" fontId="0" fillId="0" borderId="54" xfId="0" applyNumberForma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64" fontId="0" fillId="0" borderId="69" xfId="0" applyNumberFormat="1" applyBorder="1" applyAlignment="1">
      <alignment horizontal="center" vertical="center"/>
    </xf>
    <xf numFmtId="164" fontId="0" fillId="3" borderId="70" xfId="0" applyNumberFormat="1" applyFill="1" applyBorder="1" applyAlignment="1">
      <alignment horizontal="center" vertical="center"/>
    </xf>
    <xf numFmtId="164" fontId="0" fillId="3" borderId="71" xfId="0" applyNumberFormat="1" applyFill="1" applyBorder="1" applyAlignment="1">
      <alignment horizontal="center" vertical="center"/>
    </xf>
    <xf numFmtId="164" fontId="0" fillId="0" borderId="63" xfId="0" applyNumberFormat="1" applyBorder="1" applyAlignment="1">
      <alignment horizontal="center" vertical="center"/>
    </xf>
    <xf numFmtId="164" fontId="0" fillId="0" borderId="64" xfId="0" applyNumberFormat="1" applyBorder="1" applyAlignment="1">
      <alignment horizontal="center" vertical="center"/>
    </xf>
    <xf numFmtId="164" fontId="0" fillId="0" borderId="65" xfId="0" applyNumberFormat="1" applyBorder="1" applyAlignment="1">
      <alignment horizontal="center" vertical="center"/>
    </xf>
    <xf numFmtId="164" fontId="0" fillId="0" borderId="66" xfId="0" applyNumberFormat="1" applyBorder="1" applyAlignment="1">
      <alignment horizontal="center" vertical="center"/>
    </xf>
    <xf numFmtId="164" fontId="0" fillId="3" borderId="67" xfId="0" applyNumberFormat="1" applyFill="1" applyBorder="1" applyAlignment="1">
      <alignment horizontal="center" vertical="center"/>
    </xf>
    <xf numFmtId="164" fontId="0" fillId="3" borderId="68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4" fillId="0" borderId="48" xfId="0" applyNumberFormat="1" applyFont="1" applyBorder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/>
    </xf>
    <xf numFmtId="164" fontId="0" fillId="0" borderId="52" xfId="0" applyNumberFormat="1" applyBorder="1" applyAlignment="1">
      <alignment horizontal="center" vertical="center"/>
    </xf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89" xfId="0" applyBorder="1"/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164" fontId="0" fillId="0" borderId="50" xfId="0" applyNumberFormat="1" applyBorder="1" applyAlignment="1">
      <alignment horizontal="center" vertical="center"/>
    </xf>
    <xf numFmtId="164" fontId="0" fillId="3" borderId="51" xfId="0" applyNumberFormat="1" applyFill="1" applyBorder="1" applyAlignment="1">
      <alignment horizontal="center" vertical="center"/>
    </xf>
    <xf numFmtId="164" fontId="0" fillId="3" borderId="52" xfId="0" applyNumberFormat="1" applyFill="1" applyBorder="1" applyAlignment="1">
      <alignment horizontal="center" vertical="center"/>
    </xf>
    <xf numFmtId="164" fontId="0" fillId="0" borderId="78" xfId="0" applyNumberForma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0" fillId="0" borderId="90" xfId="0" applyNumberFormat="1" applyBorder="1" applyAlignment="1">
      <alignment horizontal="center" vertical="center"/>
    </xf>
    <xf numFmtId="165" fontId="0" fillId="0" borderId="94" xfId="0" applyNumberFormat="1" applyBorder="1" applyAlignment="1">
      <alignment horizontal="center" vertical="center"/>
    </xf>
    <xf numFmtId="165" fontId="0" fillId="0" borderId="95" xfId="0" applyNumberFormat="1" applyBorder="1" applyAlignment="1">
      <alignment horizontal="center" vertical="center"/>
    </xf>
    <xf numFmtId="165" fontId="0" fillId="0" borderId="96" xfId="0" applyNumberFormat="1" applyBorder="1" applyAlignment="1">
      <alignment horizontal="center" vertical="center"/>
    </xf>
    <xf numFmtId="165" fontId="0" fillId="0" borderId="97" xfId="0" applyNumberFormat="1" applyBorder="1" applyAlignment="1">
      <alignment horizontal="center" vertical="center"/>
    </xf>
    <xf numFmtId="165" fontId="0" fillId="0" borderId="96" xfId="0" applyNumberFormat="1" applyBorder="1" applyAlignment="1">
      <alignment horizontal="center" vertical="center" wrapText="1"/>
    </xf>
    <xf numFmtId="165" fontId="0" fillId="0" borderId="101" xfId="0" applyNumberFormat="1" applyBorder="1" applyAlignment="1">
      <alignment horizontal="center" vertical="center"/>
    </xf>
    <xf numFmtId="165" fontId="0" fillId="0" borderId="102" xfId="0" applyNumberFormat="1" applyBorder="1" applyAlignment="1">
      <alignment horizontal="center" vertical="center"/>
    </xf>
    <xf numFmtId="165" fontId="0" fillId="0" borderId="103" xfId="0" applyNumberFormat="1" applyBorder="1" applyAlignment="1">
      <alignment horizontal="center" vertical="center"/>
    </xf>
    <xf numFmtId="165" fontId="5" fillId="0" borderId="104" xfId="0" applyNumberFormat="1" applyFont="1" applyBorder="1" applyAlignment="1">
      <alignment horizontal="center" vertical="center" wrapText="1"/>
    </xf>
    <xf numFmtId="165" fontId="0" fillId="0" borderId="105" xfId="0" applyNumberFormat="1" applyBorder="1" applyAlignment="1">
      <alignment horizontal="center" vertical="center"/>
    </xf>
    <xf numFmtId="165" fontId="0" fillId="0" borderId="106" xfId="0" applyNumberFormat="1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123" xfId="0" applyBorder="1" applyAlignment="1">
      <alignment horizontal="center" vertical="center"/>
    </xf>
    <xf numFmtId="0" fontId="0" fillId="0" borderId="124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104" xfId="0" applyBorder="1" applyAlignment="1">
      <alignment horizontal="center" vertical="center"/>
    </xf>
    <xf numFmtId="0" fontId="0" fillId="0" borderId="105" xfId="0" applyBorder="1" applyAlignment="1">
      <alignment horizontal="center" vertical="center"/>
    </xf>
    <xf numFmtId="0" fontId="0" fillId="0" borderId="106" xfId="0" applyBorder="1" applyAlignment="1">
      <alignment horizontal="center" vertical="center"/>
    </xf>
    <xf numFmtId="0" fontId="0" fillId="0" borderId="125" xfId="0" applyBorder="1" applyAlignment="1">
      <alignment horizontal="center" vertical="center"/>
    </xf>
    <xf numFmtId="0" fontId="0" fillId="0" borderId="126" xfId="0" applyBorder="1" applyAlignment="1">
      <alignment horizontal="center" vertical="center"/>
    </xf>
    <xf numFmtId="0" fontId="0" fillId="0" borderId="127" xfId="0" applyBorder="1" applyAlignment="1">
      <alignment horizontal="center" vertical="center"/>
    </xf>
    <xf numFmtId="0" fontId="0" fillId="10" borderId="4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7" borderId="6" xfId="0" quotePrefix="1" applyFill="1" applyBorder="1" applyAlignment="1">
      <alignment horizontal="center" vertical="center" wrapText="1"/>
    </xf>
    <xf numFmtId="0" fontId="0" fillId="0" borderId="11" xfId="0" quotePrefix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0" fillId="12" borderId="39" xfId="0" applyFill="1" applyBorder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center" vertical="center" wrapText="1"/>
    </xf>
    <xf numFmtId="0" fontId="1" fillId="0" borderId="119" xfId="0" applyFont="1" applyBorder="1" applyAlignment="1">
      <alignment horizontal="center" vertical="center" wrapText="1"/>
    </xf>
    <xf numFmtId="0" fontId="2" fillId="2" borderId="1" xfId="1" applyAlignment="1"/>
    <xf numFmtId="0" fontId="2" fillId="2" borderId="1" xfId="1"/>
    <xf numFmtId="0" fontId="6" fillId="5" borderId="18" xfId="2" applyAlignment="1"/>
    <xf numFmtId="0" fontId="6" fillId="5" borderId="18" xfId="2"/>
    <xf numFmtId="0" fontId="8" fillId="6" borderId="0" xfId="4"/>
    <xf numFmtId="0" fontId="7" fillId="0" borderId="0" xfId="0" applyFont="1"/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14" borderId="10" xfId="0" applyFill="1" applyBorder="1" applyAlignment="1">
      <alignment horizontal="center" vertical="center" wrapText="1"/>
    </xf>
    <xf numFmtId="165" fontId="0" fillId="14" borderId="24" xfId="0" applyNumberForma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165" fontId="0" fillId="14" borderId="25" xfId="0" applyNumberFormat="1" applyFill="1" applyBorder="1" applyAlignment="1">
      <alignment horizontal="center" vertical="center"/>
    </xf>
    <xf numFmtId="165" fontId="0" fillId="14" borderId="26" xfId="0" applyNumberFormat="1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4" borderId="25" xfId="0" applyFill="1" applyBorder="1" applyAlignment="1">
      <alignment horizontal="center" vertical="center"/>
    </xf>
    <xf numFmtId="0" fontId="0" fillId="14" borderId="26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165" fontId="0" fillId="14" borderId="107" xfId="0" applyNumberFormat="1" applyFill="1" applyBorder="1" applyAlignment="1">
      <alignment horizontal="center" vertical="center"/>
    </xf>
    <xf numFmtId="165" fontId="0" fillId="14" borderId="108" xfId="0" applyNumberFormat="1" applyFill="1" applyBorder="1" applyAlignment="1">
      <alignment horizontal="center" vertical="center"/>
    </xf>
    <xf numFmtId="165" fontId="0" fillId="14" borderId="109" xfId="0" applyNumberFormat="1" applyFill="1" applyBorder="1" applyAlignment="1">
      <alignment horizontal="center" vertical="center"/>
    </xf>
    <xf numFmtId="165" fontId="0" fillId="14" borderId="98" xfId="0" applyNumberFormat="1" applyFill="1" applyBorder="1" applyAlignment="1">
      <alignment horizontal="center" vertical="center"/>
    </xf>
    <xf numFmtId="165" fontId="0" fillId="14" borderId="99" xfId="0" applyNumberFormat="1" applyFill="1" applyBorder="1" applyAlignment="1">
      <alignment horizontal="center" vertical="center"/>
    </xf>
    <xf numFmtId="165" fontId="0" fillId="14" borderId="100" xfId="0" applyNumberFormat="1" applyFill="1" applyBorder="1" applyAlignment="1">
      <alignment horizontal="center" vertical="center"/>
    </xf>
    <xf numFmtId="0" fontId="0" fillId="14" borderId="110" xfId="0" applyFill="1" applyBorder="1" applyAlignment="1">
      <alignment horizontal="center" vertical="center"/>
    </xf>
    <xf numFmtId="0" fontId="0" fillId="14" borderId="111" xfId="0" applyFill="1" applyBorder="1" applyAlignment="1">
      <alignment horizontal="center" vertical="center"/>
    </xf>
    <xf numFmtId="165" fontId="0" fillId="14" borderId="112" xfId="0" applyNumberFormat="1" applyFill="1" applyBorder="1" applyAlignment="1">
      <alignment horizontal="center" vertical="center"/>
    </xf>
    <xf numFmtId="0" fontId="0" fillId="14" borderId="125" xfId="0" applyFill="1" applyBorder="1" applyAlignment="1">
      <alignment horizontal="center" vertical="center"/>
    </xf>
    <xf numFmtId="0" fontId="0" fillId="14" borderId="126" xfId="0" applyFill="1" applyBorder="1" applyAlignment="1">
      <alignment horizontal="center" vertical="center"/>
    </xf>
    <xf numFmtId="2" fontId="0" fillId="14" borderId="127" xfId="0" applyNumberFormat="1" applyFill="1" applyBorder="1" applyAlignment="1">
      <alignment horizontal="center" vertical="center"/>
    </xf>
    <xf numFmtId="0" fontId="16" fillId="0" borderId="0" xfId="0" applyFont="1"/>
    <xf numFmtId="1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7" fillId="0" borderId="0" xfId="0" applyFont="1"/>
    <xf numFmtId="0" fontId="0" fillId="0" borderId="0" xfId="0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11" fontId="0" fillId="7" borderId="49" xfId="0" applyNumberFormat="1" applyFill="1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7" borderId="50" xfId="0" applyFill="1" applyBorder="1" applyAlignment="1">
      <alignment horizontal="center" vertical="center"/>
    </xf>
    <xf numFmtId="0" fontId="0" fillId="7" borderId="52" xfId="0" applyFill="1" applyBorder="1" applyAlignment="1">
      <alignment horizontal="center" vertical="center"/>
    </xf>
    <xf numFmtId="0" fontId="0" fillId="0" borderId="7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7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11" borderId="0" xfId="0" applyFont="1" applyFill="1" applyAlignment="1">
      <alignment horizontal="center" vertical="center" wrapText="1"/>
    </xf>
    <xf numFmtId="0" fontId="0" fillId="12" borderId="37" xfId="0" applyFill="1" applyBorder="1" applyAlignment="1">
      <alignment horizontal="center" vertical="center" wrapText="1"/>
    </xf>
    <xf numFmtId="0" fontId="0" fillId="12" borderId="38" xfId="0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7" borderId="0" xfId="0" applyFill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164" fontId="0" fillId="3" borderId="22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35" xfId="0" applyNumberFormat="1" applyFill="1" applyBorder="1" applyAlignment="1">
      <alignment horizontal="center" vertical="center"/>
    </xf>
    <xf numFmtId="164" fontId="0" fillId="3" borderId="23" xfId="0" applyNumberFormat="1" applyFill="1" applyBorder="1" applyAlignment="1">
      <alignment horizontal="center" vertical="center"/>
    </xf>
    <xf numFmtId="164" fontId="0" fillId="3" borderId="33" xfId="0" applyNumberFormat="1" applyFill="1" applyBorder="1" applyAlignment="1">
      <alignment horizontal="center" vertical="center"/>
    </xf>
    <xf numFmtId="164" fontId="0" fillId="3" borderId="36" xfId="0" applyNumberForma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0" fillId="0" borderId="78" xfId="0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14" borderId="21" xfId="0" applyFill="1" applyBorder="1" applyAlignment="1">
      <alignment horizontal="center" vertical="center" wrapText="1"/>
    </xf>
    <xf numFmtId="0" fontId="0" fillId="14" borderId="22" xfId="0" applyFill="1" applyBorder="1" applyAlignment="1">
      <alignment horizontal="center" vertical="center" wrapText="1"/>
    </xf>
    <xf numFmtId="0" fontId="0" fillId="14" borderId="23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0" fillId="0" borderId="116" xfId="0" applyBorder="1" applyAlignment="1">
      <alignment horizontal="center" vertical="center"/>
    </xf>
    <xf numFmtId="0" fontId="0" fillId="0" borderId="117" xfId="0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5" fontId="0" fillId="0" borderId="113" xfId="0" applyNumberFormat="1" applyBorder="1" applyAlignment="1">
      <alignment horizontal="center" vertical="center"/>
    </xf>
    <xf numFmtId="165" fontId="0" fillId="0" borderId="114" xfId="0" applyNumberFormat="1" applyBorder="1" applyAlignment="1">
      <alignment horizontal="center" vertical="center"/>
    </xf>
    <xf numFmtId="165" fontId="0" fillId="0" borderId="115" xfId="0" applyNumberFormat="1" applyBorder="1" applyAlignment="1">
      <alignment horizontal="center" vertical="center"/>
    </xf>
    <xf numFmtId="165" fontId="0" fillId="14" borderId="91" xfId="0" applyNumberFormat="1" applyFill="1" applyBorder="1" applyAlignment="1">
      <alignment horizontal="center" vertical="center" wrapText="1"/>
    </xf>
    <xf numFmtId="165" fontId="0" fillId="14" borderId="92" xfId="0" applyNumberFormat="1" applyFill="1" applyBorder="1" applyAlignment="1">
      <alignment horizontal="center" vertical="center" wrapText="1"/>
    </xf>
    <xf numFmtId="165" fontId="0" fillId="14" borderId="93" xfId="0" applyNumberFormat="1" applyFill="1" applyBorder="1" applyAlignment="1">
      <alignment horizontal="center" vertical="center" wrapText="1"/>
    </xf>
    <xf numFmtId="0" fontId="0" fillId="0" borderId="113" xfId="0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0" fontId="0" fillId="0" borderId="115" xfId="0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0" fontId="0" fillId="14" borderId="120" xfId="0" applyFill="1" applyBorder="1" applyAlignment="1">
      <alignment horizontal="center" vertical="center"/>
    </xf>
    <xf numFmtId="0" fontId="0" fillId="14" borderId="121" xfId="0" applyFill="1" applyBorder="1" applyAlignment="1">
      <alignment horizontal="center" vertical="center"/>
    </xf>
    <xf numFmtId="0" fontId="0" fillId="14" borderId="122" xfId="0" applyFill="1" applyBorder="1" applyAlignment="1">
      <alignment horizontal="center" vertical="center"/>
    </xf>
    <xf numFmtId="0" fontId="0" fillId="14" borderId="120" xfId="0" applyFill="1" applyBorder="1" applyAlignment="1">
      <alignment horizontal="center" vertical="center" wrapText="1"/>
    </xf>
    <xf numFmtId="0" fontId="0" fillId="14" borderId="121" xfId="0" applyFill="1" applyBorder="1" applyAlignment="1">
      <alignment horizontal="center" vertical="center" wrapText="1"/>
    </xf>
    <xf numFmtId="0" fontId="0" fillId="14" borderId="122" xfId="0" applyFill="1" applyBorder="1" applyAlignment="1">
      <alignment horizontal="center" vertical="center" wrapText="1"/>
    </xf>
    <xf numFmtId="165" fontId="0" fillId="0" borderId="110" xfId="0" applyNumberFormat="1" applyBorder="1" applyAlignment="1">
      <alignment horizontal="center" vertical="center"/>
    </xf>
    <xf numFmtId="165" fontId="0" fillId="0" borderId="111" xfId="0" applyNumberFormat="1" applyBorder="1" applyAlignment="1">
      <alignment horizontal="center" vertical="center"/>
    </xf>
    <xf numFmtId="165" fontId="0" fillId="0" borderId="112" xfId="0" applyNumberFormat="1" applyBorder="1" applyAlignment="1">
      <alignment horizontal="center" vertical="center"/>
    </xf>
    <xf numFmtId="0" fontId="2" fillId="2" borderId="1" xfId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2" fillId="2" borderId="75" xfId="1" applyBorder="1" applyAlignment="1">
      <alignment horizontal="center"/>
    </xf>
    <xf numFmtId="0" fontId="2" fillId="2" borderId="76" xfId="1" applyBorder="1" applyAlignment="1">
      <alignment horizontal="center"/>
    </xf>
    <xf numFmtId="0" fontId="0" fillId="0" borderId="0" xfId="0" applyAlignment="1"/>
    <xf numFmtId="0" fontId="2" fillId="2" borderId="2" xfId="1" applyBorder="1" applyAlignment="1">
      <alignment horizontal="center"/>
    </xf>
    <xf numFmtId="0" fontId="2" fillId="2" borderId="0" xfId="1" applyBorder="1" applyAlignment="1">
      <alignment horizontal="center"/>
    </xf>
    <xf numFmtId="0" fontId="2" fillId="2" borderId="30" xfId="1" applyBorder="1" applyAlignment="1">
      <alignment horizontal="center"/>
    </xf>
    <xf numFmtId="0" fontId="2" fillId="2" borderId="72" xfId="1" applyBorder="1" applyAlignment="1">
      <alignment horizontal="center"/>
    </xf>
    <xf numFmtId="0" fontId="2" fillId="2" borderId="31" xfId="1" applyBorder="1" applyAlignment="1">
      <alignment horizontal="center"/>
    </xf>
    <xf numFmtId="0" fontId="6" fillId="5" borderId="58" xfId="2" applyBorder="1" applyAlignment="1">
      <alignment horizontal="center"/>
    </xf>
    <xf numFmtId="0" fontId="6" fillId="5" borderId="59" xfId="2" applyBorder="1" applyAlignment="1">
      <alignment horizontal="center"/>
    </xf>
    <xf numFmtId="0" fontId="6" fillId="5" borderId="60" xfId="2" applyBorder="1" applyAlignment="1">
      <alignment horizontal="center"/>
    </xf>
    <xf numFmtId="0" fontId="6" fillId="5" borderId="61" xfId="2" applyBorder="1" applyAlignment="1">
      <alignment horizontal="center"/>
    </xf>
    <xf numFmtId="0" fontId="6" fillId="5" borderId="56" xfId="2" applyBorder="1" applyAlignment="1">
      <alignment horizontal="center"/>
    </xf>
    <xf numFmtId="0" fontId="6" fillId="5" borderId="57" xfId="2" applyBorder="1" applyAlignment="1">
      <alignment horizontal="center"/>
    </xf>
    <xf numFmtId="0" fontId="6" fillId="5" borderId="18" xfId="2" applyAlignment="1">
      <alignment horizontal="center"/>
    </xf>
    <xf numFmtId="0" fontId="6" fillId="5" borderId="79" xfId="2" applyBorder="1" applyAlignment="1">
      <alignment horizontal="center"/>
    </xf>
    <xf numFmtId="0" fontId="6" fillId="5" borderId="81" xfId="2" applyBorder="1" applyAlignment="1">
      <alignment horizontal="center"/>
    </xf>
    <xf numFmtId="0" fontId="6" fillId="5" borderId="80" xfId="2" applyBorder="1" applyAlignment="1">
      <alignment horizontal="center"/>
    </xf>
    <xf numFmtId="0" fontId="7" fillId="0" borderId="0" xfId="3" applyAlignment="1">
      <alignment horizontal="center"/>
    </xf>
    <xf numFmtId="0" fontId="19" fillId="9" borderId="48" xfId="0" applyFont="1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9" fillId="4" borderId="0" xfId="0" applyFont="1" applyFill="1" applyAlignment="1">
      <alignment horizontal="center" vertical="center"/>
    </xf>
  </cellXfs>
  <cellStyles count="6">
    <cellStyle name="Accent3" xfId="4" builtinId="37"/>
    <cellStyle name="Avertissement" xfId="3" builtinId="11"/>
    <cellStyle name="Normal" xfId="0" builtinId="0"/>
    <cellStyle name="Sortie" xfId="2" builtinId="21"/>
    <cellStyle name="Style 1" xfId="5" xr:uid="{E9559574-A6E6-4F30-B35D-89E0F9D1749A}"/>
    <cellStyle name="Vérification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jpeg"/><Relationship Id="rId13" Type="http://schemas.openxmlformats.org/officeDocument/2006/relationships/image" Target="../media/image30.jpeg"/><Relationship Id="rId18" Type="http://schemas.openxmlformats.org/officeDocument/2006/relationships/image" Target="../media/image35.jpeg"/><Relationship Id="rId3" Type="http://schemas.openxmlformats.org/officeDocument/2006/relationships/image" Target="../media/image20.jpeg"/><Relationship Id="rId21" Type="http://schemas.openxmlformats.org/officeDocument/2006/relationships/image" Target="../media/image38.jpeg"/><Relationship Id="rId7" Type="http://schemas.openxmlformats.org/officeDocument/2006/relationships/image" Target="../media/image24.jpeg"/><Relationship Id="rId12" Type="http://schemas.openxmlformats.org/officeDocument/2006/relationships/image" Target="../media/image29.jpeg"/><Relationship Id="rId17" Type="http://schemas.openxmlformats.org/officeDocument/2006/relationships/image" Target="../media/image34.jpeg"/><Relationship Id="rId2" Type="http://schemas.openxmlformats.org/officeDocument/2006/relationships/image" Target="../media/image19.png"/><Relationship Id="rId16" Type="http://schemas.openxmlformats.org/officeDocument/2006/relationships/image" Target="../media/image33.jpeg"/><Relationship Id="rId20" Type="http://schemas.openxmlformats.org/officeDocument/2006/relationships/image" Target="../media/image37.jpe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11" Type="http://schemas.openxmlformats.org/officeDocument/2006/relationships/image" Target="../media/image28.jpeg"/><Relationship Id="rId5" Type="http://schemas.openxmlformats.org/officeDocument/2006/relationships/image" Target="../media/image22.png"/><Relationship Id="rId15" Type="http://schemas.openxmlformats.org/officeDocument/2006/relationships/image" Target="../media/image32.jpeg"/><Relationship Id="rId10" Type="http://schemas.openxmlformats.org/officeDocument/2006/relationships/image" Target="../media/image27.jpeg"/><Relationship Id="rId19" Type="http://schemas.openxmlformats.org/officeDocument/2006/relationships/image" Target="../media/image36.jpeg"/><Relationship Id="rId4" Type="http://schemas.openxmlformats.org/officeDocument/2006/relationships/image" Target="../media/image21.jpeg"/><Relationship Id="rId9" Type="http://schemas.openxmlformats.org/officeDocument/2006/relationships/image" Target="../media/image26.jpeg"/><Relationship Id="rId14" Type="http://schemas.openxmlformats.org/officeDocument/2006/relationships/image" Target="../media/image31.jpeg"/><Relationship Id="rId22" Type="http://schemas.openxmlformats.org/officeDocument/2006/relationships/image" Target="../media/image39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7.png"/><Relationship Id="rId3" Type="http://schemas.openxmlformats.org/officeDocument/2006/relationships/image" Target="../media/image42.png"/><Relationship Id="rId7" Type="http://schemas.openxmlformats.org/officeDocument/2006/relationships/image" Target="../media/image46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5.png"/><Relationship Id="rId3" Type="http://schemas.openxmlformats.org/officeDocument/2006/relationships/image" Target="../media/image50.png"/><Relationship Id="rId7" Type="http://schemas.openxmlformats.org/officeDocument/2006/relationships/image" Target="../media/image54.png"/><Relationship Id="rId12" Type="http://schemas.openxmlformats.org/officeDocument/2006/relationships/image" Target="../media/image59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Relationship Id="rId6" Type="http://schemas.openxmlformats.org/officeDocument/2006/relationships/image" Target="../media/image53.png"/><Relationship Id="rId11" Type="http://schemas.openxmlformats.org/officeDocument/2006/relationships/image" Target="../media/image58.png"/><Relationship Id="rId5" Type="http://schemas.openxmlformats.org/officeDocument/2006/relationships/image" Target="../media/image52.png"/><Relationship Id="rId10" Type="http://schemas.openxmlformats.org/officeDocument/2006/relationships/image" Target="../media/image57.png"/><Relationship Id="rId4" Type="http://schemas.openxmlformats.org/officeDocument/2006/relationships/image" Target="../media/image51.png"/><Relationship Id="rId9" Type="http://schemas.openxmlformats.org/officeDocument/2006/relationships/image" Target="../media/image5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400050</xdr:colOff>
      <xdr:row>0</xdr:row>
      <xdr:rowOff>0</xdr:rowOff>
    </xdr:from>
    <xdr:to>
      <xdr:col>14</xdr:col>
      <xdr:colOff>714375</xdr:colOff>
      <xdr:row>11</xdr:row>
      <xdr:rowOff>90265</xdr:rowOff>
    </xdr:to>
    <xdr:pic>
      <xdr:nvPicPr>
        <xdr:cNvPr id="9" name="Image 1">
          <a:extLst>
            <a:ext uri="{FF2B5EF4-FFF2-40B4-BE49-F238E27FC236}">
              <a16:creationId xmlns:a16="http://schemas.microsoft.com/office/drawing/2014/main" id="{A2EF96ED-AD71-4B91-8EB4-9D8E6CFAB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0"/>
          <a:ext cx="4124325" cy="2481040"/>
        </a:xfrm>
        <a:prstGeom prst="rect">
          <a:avLst/>
        </a:prstGeom>
      </xdr:spPr>
    </xdr:pic>
    <xdr:clientData/>
  </xdr:twoCellAnchor>
  <xdr:twoCellAnchor editAs="oneCell">
    <xdr:from>
      <xdr:col>0</xdr:col>
      <xdr:colOff>526474</xdr:colOff>
      <xdr:row>17</xdr:row>
      <xdr:rowOff>10391</xdr:rowOff>
    </xdr:from>
    <xdr:to>
      <xdr:col>7</xdr:col>
      <xdr:colOff>288349</xdr:colOff>
      <xdr:row>42</xdr:row>
      <xdr:rowOff>108543</xdr:rowOff>
    </xdr:to>
    <xdr:pic>
      <xdr:nvPicPr>
        <xdr:cNvPr id="17" name="Image 3">
          <a:extLst>
            <a:ext uri="{FF2B5EF4-FFF2-40B4-BE49-F238E27FC236}">
              <a16:creationId xmlns:a16="http://schemas.microsoft.com/office/drawing/2014/main" id="{0BF09845-14F7-4563-B02E-2B097368D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6474" y="3664527"/>
          <a:ext cx="6781800" cy="4622527"/>
        </a:xfrm>
        <a:prstGeom prst="rect">
          <a:avLst/>
        </a:prstGeom>
      </xdr:spPr>
    </xdr:pic>
    <xdr:clientData/>
  </xdr:twoCellAnchor>
  <xdr:twoCellAnchor editAs="oneCell">
    <xdr:from>
      <xdr:col>8</xdr:col>
      <xdr:colOff>86591</xdr:colOff>
      <xdr:row>17</xdr:row>
      <xdr:rowOff>103909</xdr:rowOff>
    </xdr:from>
    <xdr:to>
      <xdr:col>17</xdr:col>
      <xdr:colOff>138545</xdr:colOff>
      <xdr:row>42</xdr:row>
      <xdr:rowOff>125755</xdr:rowOff>
    </xdr:to>
    <xdr:pic>
      <xdr:nvPicPr>
        <xdr:cNvPr id="20" name="Image 4">
          <a:extLst>
            <a:ext uri="{FF2B5EF4-FFF2-40B4-BE49-F238E27FC236}">
              <a16:creationId xmlns:a16="http://schemas.microsoft.com/office/drawing/2014/main" id="{0AE0E488-9800-4732-A318-1B3E097F2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79773" y="3758045"/>
          <a:ext cx="6909954" cy="45462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188742</xdr:colOff>
      <xdr:row>4</xdr:row>
      <xdr:rowOff>451338</xdr:rowOff>
    </xdr:from>
    <xdr:ext cx="1036320" cy="3073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ZoneTexte 1">
              <a:extLst>
                <a:ext uri="{FF2B5EF4-FFF2-40B4-BE49-F238E27FC236}">
                  <a16:creationId xmlns:a16="http://schemas.microsoft.com/office/drawing/2014/main" id="{B1757BEA-FFCE-40D8-9E07-EDCCB8050758}"/>
                </a:ext>
              </a:extLst>
            </xdr:cNvPr>
            <xdr:cNvSpPr txBox="1"/>
          </xdr:nvSpPr>
          <xdr:spPr>
            <a:xfrm>
              <a:off x="4666957" y="1201615"/>
              <a:ext cx="1036320" cy="307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400" b="0" i="1"/>
                <a:t>Ƭp</a:t>
              </a:r>
              <a:r>
                <a:rPr lang="fr-FR" sz="1400" b="0" i="1" baseline="0"/>
                <a:t> =&gt;</a:t>
              </a:r>
              <a:r>
                <a:rPr lang="fr-FR" sz="1400" b="0" i="1"/>
                <a:t>Ƭ</a:t>
              </a:r>
              <a14:m>
                <m:oMath xmlns:m="http://schemas.openxmlformats.org/officeDocument/2006/math">
                  <m:r>
                    <a:rPr lang="fr-FR" sz="14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fr-F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fr-FR" sz="14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fr-FR" sz="1400" b="0" i="1">
                          <a:latin typeface="Cambria Math" panose="02040503050406030204" pitchFamily="18" charset="0"/>
                        </a:rPr>
                        <m:t>𝐶</m:t>
                      </m:r>
                    </m:num>
                    <m:den>
                      <m:r>
                        <a:rPr lang="fr-FR" sz="1400" b="0" i="1">
                          <a:latin typeface="Cambria Math" panose="02040503050406030204" pitchFamily="18" charset="0"/>
                        </a:rPr>
                        <m:t>𝐷</m:t>
                      </m:r>
                      <m:r>
                        <a:rPr lang="fr-FR" sz="14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fr-FR" sz="1400" b="0" i="1">
                          <a:latin typeface="Cambria Math" panose="02040503050406030204" pitchFamily="18" charset="0"/>
                        </a:rPr>
                        <m:t>𝑆𝑐</m:t>
                      </m:r>
                    </m:den>
                  </m:f>
                </m:oMath>
              </a14:m>
              <a:endParaRPr lang="en-CA" sz="1400"/>
            </a:p>
          </xdr:txBody>
        </xdr:sp>
      </mc:Choice>
      <mc:Fallback xmlns="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B1757BEA-FFCE-40D8-9E07-EDCCB8050758}"/>
                </a:ext>
              </a:extLst>
            </xdr:cNvPr>
            <xdr:cNvSpPr txBox="1"/>
          </xdr:nvSpPr>
          <xdr:spPr>
            <a:xfrm>
              <a:off x="4666957" y="1201615"/>
              <a:ext cx="1036320" cy="307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r-FR" sz="1400" b="0" i="1"/>
                <a:t>Ƭp</a:t>
              </a:r>
              <a:r>
                <a:rPr lang="fr-FR" sz="1400" b="0" i="1" baseline="0"/>
                <a:t> =&gt;</a:t>
              </a:r>
              <a:r>
                <a:rPr lang="fr-FR" sz="1400" b="0" i="1"/>
                <a:t>Ƭ</a:t>
              </a:r>
              <a:r>
                <a:rPr lang="fr-FR" sz="1400" b="0" i="0">
                  <a:latin typeface="Cambria Math" panose="02040503050406030204" pitchFamily="18" charset="0"/>
                </a:rPr>
                <a:t>=2𝐶/(𝐷∗𝑆𝑐)</a:t>
              </a:r>
              <a:endParaRPr lang="en-CA" sz="1400"/>
            </a:p>
          </xdr:txBody>
        </xdr:sp>
      </mc:Fallback>
    </mc:AlternateContent>
    <xdr:clientData/>
  </xdr:oneCellAnchor>
  <xdr:oneCellAnchor>
    <xdr:from>
      <xdr:col>5</xdr:col>
      <xdr:colOff>84993</xdr:colOff>
      <xdr:row>11</xdr:row>
      <xdr:rowOff>146538</xdr:rowOff>
    </xdr:from>
    <xdr:ext cx="1230337" cy="3041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5" name="ZoneTexte 3">
              <a:extLst>
                <a:ext uri="{FF2B5EF4-FFF2-40B4-BE49-F238E27FC236}">
                  <a16:creationId xmlns:a16="http://schemas.microsoft.com/office/drawing/2014/main" id="{55A2A64A-4698-4B02-A384-BFB63FF6B13B}"/>
                </a:ext>
              </a:extLst>
            </xdr:cNvPr>
            <xdr:cNvSpPr txBox="1"/>
          </xdr:nvSpPr>
          <xdr:spPr>
            <a:xfrm>
              <a:off x="4563208" y="2549769"/>
              <a:ext cx="1230337" cy="3041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400" b="0"/>
                <a:t>C &lt;=</a:t>
              </a:r>
              <a:r>
                <a:rPr lang="fr-FR" sz="1400" b="0" baseline="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fr-F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fr-FR" sz="14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fr-FR" sz="14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  <m:r>
                    <a:rPr lang="fr-FR" sz="1400" b="0" i="1">
                      <a:latin typeface="Cambria Math" panose="02040503050406030204" pitchFamily="18" charset="0"/>
                    </a:rPr>
                    <m:t>∗</m:t>
                  </m:r>
                  <m:r>
                    <m:rPr>
                      <m:nor/>
                    </m:rPr>
                    <a:rPr lang="fr-FR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Ƭ</m:t>
                  </m:r>
                </m:oMath>
              </a14:m>
              <a:r>
                <a:rPr lang="en-CA" sz="1400"/>
                <a:t>p*D*Sc</a:t>
              </a:r>
            </a:p>
          </xdr:txBody>
        </xdr:sp>
      </mc:Choice>
      <mc:Fallback xmlns="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55A2A64A-4698-4B02-A384-BFB63FF6B13B}"/>
                </a:ext>
              </a:extLst>
            </xdr:cNvPr>
            <xdr:cNvSpPr txBox="1"/>
          </xdr:nvSpPr>
          <xdr:spPr>
            <a:xfrm>
              <a:off x="4563208" y="2549769"/>
              <a:ext cx="1230337" cy="3041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400" b="0"/>
                <a:t>C &lt;=</a:t>
              </a:r>
              <a:r>
                <a:rPr lang="fr-FR" sz="1400" b="0" baseline="0"/>
                <a:t> </a:t>
              </a:r>
              <a:r>
                <a:rPr lang="fr-FR" sz="1400" b="0" i="0">
                  <a:latin typeface="Cambria Math" panose="02040503050406030204" pitchFamily="18" charset="0"/>
                </a:rPr>
                <a:t>1/2∗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"Ƭ</a:t>
              </a:r>
              <a:r>
                <a:rPr lang="en-CA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CA" sz="1400"/>
                <a:t>p*D*Sc</a:t>
              </a:r>
            </a:p>
          </xdr:txBody>
        </xdr:sp>
      </mc:Fallback>
    </mc:AlternateContent>
    <xdr:clientData/>
  </xdr:oneCellAnchor>
  <xdr:twoCellAnchor editAs="oneCell">
    <xdr:from>
      <xdr:col>14</xdr:col>
      <xdr:colOff>132374</xdr:colOff>
      <xdr:row>19</xdr:row>
      <xdr:rowOff>46303</xdr:rowOff>
    </xdr:from>
    <xdr:to>
      <xdr:col>18</xdr:col>
      <xdr:colOff>426720</xdr:colOff>
      <xdr:row>26</xdr:row>
      <xdr:rowOff>89535</xdr:rowOff>
    </xdr:to>
    <xdr:pic>
      <xdr:nvPicPr>
        <xdr:cNvPr id="21" name="Image 4">
          <a:extLst>
            <a:ext uri="{FF2B5EF4-FFF2-40B4-BE49-F238E27FC236}">
              <a16:creationId xmlns:a16="http://schemas.microsoft.com/office/drawing/2014/main" id="{E2F0539E-79F1-46BE-96E2-0BAEE286D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88894" y="4907863"/>
          <a:ext cx="2732746" cy="1310057"/>
        </a:xfrm>
        <a:prstGeom prst="rect">
          <a:avLst/>
        </a:prstGeom>
      </xdr:spPr>
    </xdr:pic>
    <xdr:clientData/>
  </xdr:twoCellAnchor>
  <xdr:oneCellAnchor>
    <xdr:from>
      <xdr:col>5</xdr:col>
      <xdr:colOff>291547</xdr:colOff>
      <xdr:row>17</xdr:row>
      <xdr:rowOff>3313</xdr:rowOff>
    </xdr:from>
    <xdr:ext cx="1130694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8" name="ZoneTexte 6">
              <a:extLst>
                <a:ext uri="{FF2B5EF4-FFF2-40B4-BE49-F238E27FC236}">
                  <a16:creationId xmlns:a16="http://schemas.microsoft.com/office/drawing/2014/main" id="{4E0CB7CB-9BDD-42F8-A649-D24593A06D28}"/>
                </a:ext>
              </a:extLst>
            </xdr:cNvPr>
            <xdr:cNvSpPr txBox="1"/>
          </xdr:nvSpPr>
          <xdr:spPr>
            <a:xfrm>
              <a:off x="4784034" y="3747052"/>
              <a:ext cx="113069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FR" sz="1400" b="0" i="0">
                        <a:latin typeface="Cambria Math" panose="02040503050406030204" pitchFamily="18" charset="0"/>
                      </a:rPr>
                      <m:t>Sc</m:t>
                    </m:r>
                    <m:r>
                      <a:rPr lang="fr-FR" sz="1400" b="0" i="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fr-FR" sz="1400" b="0" i="0">
                        <a:latin typeface="Cambria Math" panose="02040503050406030204" pitchFamily="18" charset="0"/>
                      </a:rPr>
                      <m:t>Π</m:t>
                    </m:r>
                    <m:r>
                      <a:rPr lang="fr-FR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fr-FR" sz="14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fr-FR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fr-FR" sz="14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en-CA" sz="1400"/>
            </a:p>
          </xdr:txBody>
        </xdr:sp>
      </mc:Choice>
      <mc:Fallback xmlns="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4E0CB7CB-9BDD-42F8-A649-D24593A06D28}"/>
                </a:ext>
              </a:extLst>
            </xdr:cNvPr>
            <xdr:cNvSpPr txBox="1"/>
          </xdr:nvSpPr>
          <xdr:spPr>
            <a:xfrm>
              <a:off x="4784034" y="3747052"/>
              <a:ext cx="1130694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400" b="0" i="0">
                  <a:latin typeface="Cambria Math" panose="02040503050406030204" pitchFamily="18" charset="0"/>
                </a:rPr>
                <a:t>Sc=Π∗𝐷∗𝑎</a:t>
              </a:r>
              <a:endParaRPr lang="en-CA" sz="1400"/>
            </a:p>
          </xdr:txBody>
        </xdr:sp>
      </mc:Fallback>
    </mc:AlternateContent>
    <xdr:clientData/>
  </xdr:oneCellAnchor>
  <xdr:oneCellAnchor>
    <xdr:from>
      <xdr:col>17</xdr:col>
      <xdr:colOff>218661</xdr:colOff>
      <xdr:row>17</xdr:row>
      <xdr:rowOff>175592</xdr:rowOff>
    </xdr:from>
    <xdr:ext cx="112704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7" name="ZoneTexte 7">
              <a:extLst>
                <a:ext uri="{FF2B5EF4-FFF2-40B4-BE49-F238E27FC236}">
                  <a16:creationId xmlns:a16="http://schemas.microsoft.com/office/drawing/2014/main" id="{A80A6000-4489-4B12-AF2B-54E44B8D521E}"/>
                </a:ext>
              </a:extLst>
            </xdr:cNvPr>
            <xdr:cNvSpPr txBox="1"/>
          </xdr:nvSpPr>
          <xdr:spPr>
            <a:xfrm>
              <a:off x="4711148" y="4866862"/>
              <a:ext cx="11270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FR" sz="1400" b="0" i="0">
                        <a:latin typeface="Cambria Math" panose="02040503050406030204" pitchFamily="18" charset="0"/>
                      </a:rPr>
                      <m:t>Sc</m:t>
                    </m:r>
                    <m:r>
                      <a:rPr lang="fr-FR" sz="1400" b="0" i="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fr-FR" sz="1400" b="0" i="0">
                        <a:latin typeface="Cambria Math" panose="02040503050406030204" pitchFamily="18" charset="0"/>
                      </a:rPr>
                      <m:t>Π</m:t>
                    </m:r>
                    <m:r>
                      <a:rPr lang="fr-FR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fr-FR" sz="1400" b="0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fr-FR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fr-FR" sz="1400" b="0" i="1">
                        <a:latin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en-CA" sz="1400"/>
            </a:p>
          </xdr:txBody>
        </xdr:sp>
      </mc:Choice>
      <mc:Fallback xmlns="">
        <xdr:sp macro="" textlink="">
          <xdr:nvSpPr>
            <xdr:cNvPr id="339" name="ZoneTexte 7">
              <a:extLst>
                <a:ext uri="{FF2B5EF4-FFF2-40B4-BE49-F238E27FC236}">
                  <a16:creationId xmlns:a16="http://schemas.microsoft.com/office/drawing/2014/main" id="{A80A6000-4489-4B12-AF2B-54E44B8D521E}"/>
                </a:ext>
              </a:extLst>
            </xdr:cNvPr>
            <xdr:cNvSpPr txBox="1"/>
          </xdr:nvSpPr>
          <xdr:spPr>
            <a:xfrm>
              <a:off x="4711148" y="4866862"/>
              <a:ext cx="112704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400" b="0" i="0">
                  <a:latin typeface="Cambria Math" panose="02040503050406030204" pitchFamily="18" charset="0"/>
                </a:rPr>
                <a:t>Sc=Π∗𝐷∗𝑏</a:t>
              </a:r>
              <a:endParaRPr lang="en-CA" sz="1400"/>
            </a:p>
          </xdr:txBody>
        </xdr:sp>
      </mc:Fallback>
    </mc:AlternateContent>
    <xdr:clientData/>
  </xdr:oneCellAnchor>
  <xdr:twoCellAnchor editAs="oneCell">
    <xdr:from>
      <xdr:col>11</xdr:col>
      <xdr:colOff>389955</xdr:colOff>
      <xdr:row>27</xdr:row>
      <xdr:rowOff>10941</xdr:rowOff>
    </xdr:from>
    <xdr:to>
      <xdr:col>16</xdr:col>
      <xdr:colOff>403860</xdr:colOff>
      <xdr:row>36</xdr:row>
      <xdr:rowOff>72388</xdr:rowOff>
    </xdr:to>
    <xdr:pic>
      <xdr:nvPicPr>
        <xdr:cNvPr id="393" name="Image 8">
          <a:extLst>
            <a:ext uri="{FF2B5EF4-FFF2-40B4-BE49-F238E27FC236}">
              <a16:creationId xmlns:a16="http://schemas.microsoft.com/office/drawing/2014/main" id="{D36CD2F0-605E-479E-86FB-E638B71B7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8995" y="6396501"/>
          <a:ext cx="3862005" cy="2156947"/>
        </a:xfrm>
        <a:prstGeom prst="rect">
          <a:avLst/>
        </a:prstGeom>
      </xdr:spPr>
    </xdr:pic>
    <xdr:clientData/>
  </xdr:twoCellAnchor>
  <xdr:twoCellAnchor editAs="oneCell">
    <xdr:from>
      <xdr:col>4</xdr:col>
      <xdr:colOff>582998</xdr:colOff>
      <xdr:row>28</xdr:row>
      <xdr:rowOff>111162</xdr:rowOff>
    </xdr:from>
    <xdr:to>
      <xdr:col>6</xdr:col>
      <xdr:colOff>579120</xdr:colOff>
      <xdr:row>31</xdr:row>
      <xdr:rowOff>30480</xdr:rowOff>
    </xdr:to>
    <xdr:pic>
      <xdr:nvPicPr>
        <xdr:cNvPr id="348" name="Image 1">
          <a:extLst>
            <a:ext uri="{FF2B5EF4-FFF2-40B4-BE49-F238E27FC236}">
              <a16:creationId xmlns:a16="http://schemas.microsoft.com/office/drawing/2014/main" id="{FDEE6ADC-BC5B-4332-8CD9-1D11D8873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60638" y="6435762"/>
          <a:ext cx="1245802" cy="467958"/>
        </a:xfrm>
        <a:prstGeom prst="rect">
          <a:avLst/>
        </a:prstGeom>
      </xdr:spPr>
    </xdr:pic>
    <xdr:clientData/>
  </xdr:twoCellAnchor>
  <xdr:twoCellAnchor editAs="oneCell">
    <xdr:from>
      <xdr:col>5</xdr:col>
      <xdr:colOff>280737</xdr:colOff>
      <xdr:row>46</xdr:row>
      <xdr:rowOff>140369</xdr:rowOff>
    </xdr:from>
    <xdr:to>
      <xdr:col>6</xdr:col>
      <xdr:colOff>346242</xdr:colOff>
      <xdr:row>46</xdr:row>
      <xdr:rowOff>608263</xdr:rowOff>
    </xdr:to>
    <xdr:pic>
      <xdr:nvPicPr>
        <xdr:cNvPr id="370" name="Image 3">
          <a:extLst>
            <a:ext uri="{FF2B5EF4-FFF2-40B4-BE49-F238E27FC236}">
              <a16:creationId xmlns:a16="http://schemas.microsoft.com/office/drawing/2014/main" id="{751F3F28-63BA-4763-9762-62AA17E153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" r="55188" b="-1613"/>
        <a:stretch/>
      </xdr:blipFill>
      <xdr:spPr>
        <a:xfrm>
          <a:off x="4077369" y="8161422"/>
          <a:ext cx="675105" cy="467894"/>
        </a:xfrm>
        <a:prstGeom prst="rect">
          <a:avLst/>
        </a:prstGeom>
      </xdr:spPr>
    </xdr:pic>
    <xdr:clientData/>
  </xdr:twoCellAnchor>
  <xdr:twoCellAnchor editAs="oneCell">
    <xdr:from>
      <xdr:col>12</xdr:col>
      <xdr:colOff>833522</xdr:colOff>
      <xdr:row>48</xdr:row>
      <xdr:rowOff>167640</xdr:rowOff>
    </xdr:from>
    <xdr:to>
      <xdr:col>19</xdr:col>
      <xdr:colOff>191726</xdr:colOff>
      <xdr:row>56</xdr:row>
      <xdr:rowOff>121919</xdr:rowOff>
    </xdr:to>
    <xdr:pic>
      <xdr:nvPicPr>
        <xdr:cNvPr id="6" name="Image 4">
          <a:extLst>
            <a:ext uri="{FF2B5EF4-FFF2-40B4-BE49-F238E27FC236}">
              <a16:creationId xmlns:a16="http://schemas.microsoft.com/office/drawing/2014/main" id="{49F6E36E-010B-4E42-B68B-8D01E521A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09882" y="10881360"/>
          <a:ext cx="4555044" cy="1417319"/>
        </a:xfrm>
        <a:prstGeom prst="rect">
          <a:avLst/>
        </a:prstGeom>
      </xdr:spPr>
    </xdr:pic>
    <xdr:clientData/>
  </xdr:twoCellAnchor>
  <xdr:twoCellAnchor editAs="oneCell">
    <xdr:from>
      <xdr:col>5</xdr:col>
      <xdr:colOff>505058</xdr:colOff>
      <xdr:row>50</xdr:row>
      <xdr:rowOff>121652</xdr:rowOff>
    </xdr:from>
    <xdr:to>
      <xdr:col>6</xdr:col>
      <xdr:colOff>586518</xdr:colOff>
      <xdr:row>53</xdr:row>
      <xdr:rowOff>15239</xdr:rowOff>
    </xdr:to>
    <xdr:pic>
      <xdr:nvPicPr>
        <xdr:cNvPr id="379" name="Image 11">
          <a:extLst>
            <a:ext uri="{FF2B5EF4-FFF2-40B4-BE49-F238E27FC236}">
              <a16:creationId xmlns:a16="http://schemas.microsoft.com/office/drawing/2014/main" id="{053EAE37-983F-4B91-A2CE-B504B93485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4129" t="1" b="1290"/>
        <a:stretch/>
      </xdr:blipFill>
      <xdr:spPr>
        <a:xfrm>
          <a:off x="5107538" y="11201132"/>
          <a:ext cx="706300" cy="442227"/>
        </a:xfrm>
        <a:prstGeom prst="rect">
          <a:avLst/>
        </a:prstGeom>
      </xdr:spPr>
    </xdr:pic>
    <xdr:clientData/>
  </xdr:twoCellAnchor>
  <xdr:twoCellAnchor editAs="oneCell">
    <xdr:from>
      <xdr:col>5</xdr:col>
      <xdr:colOff>52003</xdr:colOff>
      <xdr:row>51</xdr:row>
      <xdr:rowOff>6307</xdr:rowOff>
    </xdr:from>
    <xdr:to>
      <xdr:col>5</xdr:col>
      <xdr:colOff>456264</xdr:colOff>
      <xdr:row>52</xdr:row>
      <xdr:rowOff>140013</xdr:rowOff>
    </xdr:to>
    <xdr:pic>
      <xdr:nvPicPr>
        <xdr:cNvPr id="402" name="Image 5">
          <a:extLst>
            <a:ext uri="{FF2B5EF4-FFF2-40B4-BE49-F238E27FC236}">
              <a16:creationId xmlns:a16="http://schemas.microsoft.com/office/drawing/2014/main" id="{FD420DAC-2865-4DAC-991B-7E0545843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54483" y="11268667"/>
          <a:ext cx="404261" cy="316586"/>
        </a:xfrm>
        <a:prstGeom prst="rect">
          <a:avLst/>
        </a:prstGeom>
      </xdr:spPr>
    </xdr:pic>
    <xdr:clientData/>
  </xdr:twoCellAnchor>
  <xdr:oneCellAnchor>
    <xdr:from>
      <xdr:col>17</xdr:col>
      <xdr:colOff>84993</xdr:colOff>
      <xdr:row>11</xdr:row>
      <xdr:rowOff>146538</xdr:rowOff>
    </xdr:from>
    <xdr:ext cx="1230337" cy="3041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4" name="ZoneTexte 3">
              <a:extLst>
                <a:ext uri="{FF2B5EF4-FFF2-40B4-BE49-F238E27FC236}">
                  <a16:creationId xmlns:a16="http://schemas.microsoft.com/office/drawing/2014/main" id="{3319267E-A0B0-42F2-BD74-69EA60A72BF1}"/>
                </a:ext>
              </a:extLst>
            </xdr:cNvPr>
            <xdr:cNvSpPr txBox="1"/>
          </xdr:nvSpPr>
          <xdr:spPr>
            <a:xfrm>
              <a:off x="3901736" y="2371848"/>
              <a:ext cx="1230337" cy="3041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400" b="0"/>
                <a:t>C &lt;=</a:t>
              </a:r>
              <a:r>
                <a:rPr lang="fr-FR" sz="1400" b="0" baseline="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fr-F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fr-FR" sz="14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fr-FR" sz="14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  <m:r>
                    <a:rPr lang="fr-FR" sz="1400" b="0" i="1">
                      <a:latin typeface="Cambria Math" panose="02040503050406030204" pitchFamily="18" charset="0"/>
                    </a:rPr>
                    <m:t>∗</m:t>
                  </m:r>
                  <m:r>
                    <m:rPr>
                      <m:nor/>
                    </m:rPr>
                    <a:rPr lang="fr-FR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Ƭ</m:t>
                  </m:r>
                </m:oMath>
              </a14:m>
              <a:r>
                <a:rPr lang="en-CA" sz="1400"/>
                <a:t>p*D*Sc</a:t>
              </a:r>
            </a:p>
          </xdr:txBody>
        </xdr:sp>
      </mc:Choice>
      <mc:Fallback xmlns="">
        <xdr:sp macro="" textlink="">
          <xdr:nvSpPr>
            <xdr:cNvPr id="16" name="ZoneTexte 3">
              <a:extLst>
                <a:ext uri="{FF2B5EF4-FFF2-40B4-BE49-F238E27FC236}">
                  <a16:creationId xmlns:a16="http://schemas.microsoft.com/office/drawing/2014/main" id="{3319267E-A0B0-42F2-BD74-69EA60A72BF1}"/>
                </a:ext>
              </a:extLst>
            </xdr:cNvPr>
            <xdr:cNvSpPr txBox="1"/>
          </xdr:nvSpPr>
          <xdr:spPr>
            <a:xfrm>
              <a:off x="3901736" y="2371848"/>
              <a:ext cx="1230337" cy="3041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400" b="0"/>
                <a:t>C &lt;=</a:t>
              </a:r>
              <a:r>
                <a:rPr lang="fr-FR" sz="1400" b="0" baseline="0"/>
                <a:t> </a:t>
              </a:r>
              <a:r>
                <a:rPr lang="fr-FR" sz="1400" b="0" i="0">
                  <a:latin typeface="Cambria Math" panose="02040503050406030204" pitchFamily="18" charset="0"/>
                </a:rPr>
                <a:t>1/2∗</a:t>
              </a:r>
              <a:r>
                <a:rPr lang="fr-F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"Ƭ</a:t>
              </a:r>
              <a:r>
                <a:rPr lang="en-CA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CA" sz="1400"/>
                <a:t>p*D*Sc</a:t>
              </a:r>
            </a:p>
          </xdr:txBody>
        </xdr:sp>
      </mc:Fallback>
    </mc:AlternateContent>
    <xdr:clientData/>
  </xdr:oneCellAnchor>
  <xdr:twoCellAnchor editAs="oneCell">
    <xdr:from>
      <xdr:col>5</xdr:col>
      <xdr:colOff>1</xdr:colOff>
      <xdr:row>56</xdr:row>
      <xdr:rowOff>36659</xdr:rowOff>
    </xdr:from>
    <xdr:to>
      <xdr:col>7</xdr:col>
      <xdr:colOff>53341</xdr:colOff>
      <xdr:row>58</xdr:row>
      <xdr:rowOff>152467</xdr:rowOff>
    </xdr:to>
    <xdr:pic>
      <xdr:nvPicPr>
        <xdr:cNvPr id="401" name="Image 7">
          <a:extLst>
            <a:ext uri="{FF2B5EF4-FFF2-40B4-BE49-F238E27FC236}">
              <a16:creationId xmlns:a16="http://schemas.microsoft.com/office/drawing/2014/main" id="{636FE924-53BB-4E9E-9EC8-AA5F273EC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01" y="11215199"/>
          <a:ext cx="1272540" cy="687308"/>
        </a:xfrm>
        <a:prstGeom prst="rect">
          <a:avLst/>
        </a:prstGeom>
      </xdr:spPr>
    </xdr:pic>
    <xdr:clientData/>
  </xdr:twoCellAnchor>
  <xdr:twoCellAnchor editAs="oneCell">
    <xdr:from>
      <xdr:col>11</xdr:col>
      <xdr:colOff>541020</xdr:colOff>
      <xdr:row>59</xdr:row>
      <xdr:rowOff>129539</xdr:rowOff>
    </xdr:from>
    <xdr:to>
      <xdr:col>12</xdr:col>
      <xdr:colOff>1363980</xdr:colOff>
      <xdr:row>68</xdr:row>
      <xdr:rowOff>150495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156D4844-9558-4D9F-9618-829B132504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6930" t="6258" b="6707"/>
        <a:stretch/>
      </xdr:blipFill>
      <xdr:spPr>
        <a:xfrm>
          <a:off x="8100060" y="13586459"/>
          <a:ext cx="1432560" cy="1783081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304801</xdr:colOff>
      <xdr:row>63</xdr:row>
      <xdr:rowOff>121920</xdr:rowOff>
    </xdr:from>
    <xdr:to>
      <xdr:col>6</xdr:col>
      <xdr:colOff>319267</xdr:colOff>
      <xdr:row>66</xdr:row>
      <xdr:rowOff>61019</xdr:rowOff>
    </xdr:to>
    <xdr:pic>
      <xdr:nvPicPr>
        <xdr:cNvPr id="12" name="Image 2">
          <a:extLst>
            <a:ext uri="{FF2B5EF4-FFF2-40B4-BE49-F238E27FC236}">
              <a16:creationId xmlns:a16="http://schemas.microsoft.com/office/drawing/2014/main" id="{B72B4FB0-DEF0-4FF6-AAF0-EC37712DD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14801" y="12832080"/>
          <a:ext cx="624066" cy="510599"/>
        </a:xfrm>
        <a:prstGeom prst="rect">
          <a:avLst/>
        </a:prstGeom>
      </xdr:spPr>
    </xdr:pic>
    <xdr:clientData/>
  </xdr:twoCellAnchor>
  <xdr:twoCellAnchor editAs="oneCell">
    <xdr:from>
      <xdr:col>4</xdr:col>
      <xdr:colOff>312420</xdr:colOff>
      <xdr:row>69</xdr:row>
      <xdr:rowOff>58868</xdr:rowOff>
    </xdr:from>
    <xdr:to>
      <xdr:col>7</xdr:col>
      <xdr:colOff>350520</xdr:colOff>
      <xdr:row>71</xdr:row>
      <xdr:rowOff>106680</xdr:rowOff>
    </xdr:to>
    <xdr:pic>
      <xdr:nvPicPr>
        <xdr:cNvPr id="15" name="Image 3">
          <a:extLst>
            <a:ext uri="{FF2B5EF4-FFF2-40B4-BE49-F238E27FC236}">
              <a16:creationId xmlns:a16="http://schemas.microsoft.com/office/drawing/2014/main" id="{5085BC6F-8BF6-477A-99E3-F6A624E3F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90060" y="14651168"/>
          <a:ext cx="1912620" cy="413572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</xdr:colOff>
      <xdr:row>19</xdr:row>
      <xdr:rowOff>91440</xdr:rowOff>
    </xdr:from>
    <xdr:to>
      <xdr:col>8</xdr:col>
      <xdr:colOff>601979</xdr:colOff>
      <xdr:row>27</xdr:row>
      <xdr:rowOff>51525</xdr:rowOff>
    </xdr:to>
    <xdr:pic>
      <xdr:nvPicPr>
        <xdr:cNvPr id="23" name="Image 4">
          <a:extLst>
            <a:ext uri="{FF2B5EF4-FFF2-40B4-BE49-F238E27FC236}">
              <a16:creationId xmlns:a16="http://schemas.microsoft.com/office/drawing/2014/main" id="{0F33F66B-B00B-44B3-9086-4A26971F7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70960" y="4953000"/>
          <a:ext cx="2369819" cy="1417410"/>
        </a:xfrm>
        <a:prstGeom prst="rect">
          <a:avLst/>
        </a:prstGeom>
      </xdr:spPr>
    </xdr:pic>
    <xdr:clientData/>
  </xdr:twoCellAnchor>
  <xdr:twoCellAnchor editAs="oneCell">
    <xdr:from>
      <xdr:col>4</xdr:col>
      <xdr:colOff>594361</xdr:colOff>
      <xdr:row>76</xdr:row>
      <xdr:rowOff>73662</xdr:rowOff>
    </xdr:from>
    <xdr:to>
      <xdr:col>7</xdr:col>
      <xdr:colOff>91441</xdr:colOff>
      <xdr:row>78</xdr:row>
      <xdr:rowOff>99123</xdr:rowOff>
    </xdr:to>
    <xdr:pic>
      <xdr:nvPicPr>
        <xdr:cNvPr id="27" name="Image 5">
          <a:extLst>
            <a:ext uri="{FF2B5EF4-FFF2-40B4-BE49-F238E27FC236}">
              <a16:creationId xmlns:a16="http://schemas.microsoft.com/office/drawing/2014/main" id="{C3BAB4C1-04FA-473B-85BB-37FBFDAB9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779521" y="15374622"/>
          <a:ext cx="1325880" cy="596961"/>
        </a:xfrm>
        <a:prstGeom prst="rect">
          <a:avLst/>
        </a:prstGeom>
      </xdr:spPr>
    </xdr:pic>
    <xdr:clientData/>
  </xdr:twoCellAnchor>
  <xdr:twoCellAnchor editAs="oneCell">
    <xdr:from>
      <xdr:col>5</xdr:col>
      <xdr:colOff>297180</xdr:colOff>
      <xdr:row>40</xdr:row>
      <xdr:rowOff>167640</xdr:rowOff>
    </xdr:from>
    <xdr:to>
      <xdr:col>6</xdr:col>
      <xdr:colOff>350577</xdr:colOff>
      <xdr:row>41</xdr:row>
      <xdr:rowOff>175277</xdr:rowOff>
    </xdr:to>
    <xdr:pic>
      <xdr:nvPicPr>
        <xdr:cNvPr id="2" name="Image 6">
          <a:extLst>
            <a:ext uri="{FF2B5EF4-FFF2-40B4-BE49-F238E27FC236}">
              <a16:creationId xmlns:a16="http://schemas.microsoft.com/office/drawing/2014/main" id="{7B1F36E3-354A-4C93-9065-B92510E71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107180" y="9060180"/>
          <a:ext cx="662997" cy="198137"/>
        </a:xfrm>
        <a:prstGeom prst="rect">
          <a:avLst/>
        </a:prstGeom>
      </xdr:spPr>
    </xdr:pic>
    <xdr:clientData/>
  </xdr:twoCellAnchor>
  <xdr:twoCellAnchor editAs="oneCell">
    <xdr:from>
      <xdr:col>9</xdr:col>
      <xdr:colOff>160019</xdr:colOff>
      <xdr:row>82</xdr:row>
      <xdr:rowOff>0</xdr:rowOff>
    </xdr:from>
    <xdr:to>
      <xdr:col>18</xdr:col>
      <xdr:colOff>535370</xdr:colOff>
      <xdr:row>101</xdr:row>
      <xdr:rowOff>66675</xdr:rowOff>
    </xdr:to>
    <xdr:pic>
      <xdr:nvPicPr>
        <xdr:cNvPr id="64" name="Image 10">
          <a:extLst>
            <a:ext uri="{FF2B5EF4-FFF2-40B4-BE49-F238E27FC236}">
              <a16:creationId xmlns:a16="http://schemas.microsoft.com/office/drawing/2014/main" id="{86AF9BCC-17C7-442B-A2E2-8923FB7B75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l="6050" t="34791" r="8832" b="373"/>
        <a:stretch/>
      </xdr:blipFill>
      <xdr:spPr>
        <a:xfrm>
          <a:off x="6469379" y="18699480"/>
          <a:ext cx="6661851" cy="350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36146</xdr:rowOff>
    </xdr:from>
    <xdr:to>
      <xdr:col>10</xdr:col>
      <xdr:colOff>112880</xdr:colOff>
      <xdr:row>85</xdr:row>
      <xdr:rowOff>66674</xdr:rowOff>
    </xdr:to>
    <xdr:pic>
      <xdr:nvPicPr>
        <xdr:cNvPr id="61" name="Image 7">
          <a:extLst>
            <a:ext uri="{FF2B5EF4-FFF2-40B4-BE49-F238E27FC236}">
              <a16:creationId xmlns:a16="http://schemas.microsoft.com/office/drawing/2014/main" id="{6090FE3B-970E-497B-80F4-C06DE7F17D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b="89141"/>
        <a:stretch/>
      </xdr:blipFill>
      <xdr:spPr>
        <a:xfrm>
          <a:off x="0" y="18735626"/>
          <a:ext cx="7645250" cy="573453"/>
        </a:xfrm>
        <a:prstGeom prst="rect">
          <a:avLst/>
        </a:prstGeom>
      </xdr:spPr>
    </xdr:pic>
    <xdr:clientData/>
  </xdr:twoCellAnchor>
  <xdr:twoCellAnchor editAs="oneCell">
    <xdr:from>
      <xdr:col>0</xdr:col>
      <xdr:colOff>1082040</xdr:colOff>
      <xdr:row>86</xdr:row>
      <xdr:rowOff>22860</xdr:rowOff>
    </xdr:from>
    <xdr:to>
      <xdr:col>8</xdr:col>
      <xdr:colOff>575310</xdr:colOff>
      <xdr:row>93</xdr:row>
      <xdr:rowOff>54937</xdr:rowOff>
    </xdr:to>
    <xdr:pic>
      <xdr:nvPicPr>
        <xdr:cNvPr id="65" name="Image 8">
          <a:extLst>
            <a:ext uri="{FF2B5EF4-FFF2-40B4-BE49-F238E27FC236}">
              <a16:creationId xmlns:a16="http://schemas.microsoft.com/office/drawing/2014/main" id="{963310D9-D703-4112-AC5E-92D91E2CCF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l="1848" t="9977" r="21351" b="65086"/>
        <a:stretch/>
      </xdr:blipFill>
      <xdr:spPr>
        <a:xfrm>
          <a:off x="1082040" y="19453860"/>
          <a:ext cx="5791200" cy="1298902"/>
        </a:xfrm>
        <a:prstGeom prst="rect">
          <a:avLst/>
        </a:prstGeom>
      </xdr:spPr>
    </xdr:pic>
    <xdr:clientData/>
  </xdr:twoCellAnchor>
  <xdr:twoCellAnchor>
    <xdr:from>
      <xdr:col>11</xdr:col>
      <xdr:colOff>7620</xdr:colOff>
      <xdr:row>50</xdr:row>
      <xdr:rowOff>53340</xdr:rowOff>
    </xdr:from>
    <xdr:to>
      <xdr:col>12</xdr:col>
      <xdr:colOff>754380</xdr:colOff>
      <xdr:row>53</xdr:row>
      <xdr:rowOff>152400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64175914-3E3B-46E2-B864-1113191DB97E}"/>
            </a:ext>
          </a:extLst>
        </xdr:cNvPr>
        <xdr:cNvSpPr txBox="1"/>
      </xdr:nvSpPr>
      <xdr:spPr>
        <a:xfrm>
          <a:off x="8359140" y="11132820"/>
          <a:ext cx="137160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900"/>
            <a:t>Résultat</a:t>
          </a:r>
          <a:r>
            <a:rPr lang="fr-FR" sz="900" baseline="0"/>
            <a:t> en Nmm diviser par 1000 pour avoir des Nm (si vous voulez)</a:t>
          </a:r>
          <a:endParaRPr lang="fr-FR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104776</xdr:colOff>
      <xdr:row>0</xdr:row>
      <xdr:rowOff>24765</xdr:rowOff>
    </xdr:from>
    <xdr:to>
      <xdr:col>11</xdr:col>
      <xdr:colOff>501016</xdr:colOff>
      <xdr:row>8</xdr:row>
      <xdr:rowOff>24765</xdr:rowOff>
    </xdr:to>
    <xdr:pic>
      <xdr:nvPicPr>
        <xdr:cNvPr id="17" name="Image 1">
          <a:extLst>
            <a:ext uri="{FF2B5EF4-FFF2-40B4-BE49-F238E27FC236}">
              <a16:creationId xmlns:a16="http://schemas.microsoft.com/office/drawing/2014/main" id="{0AB51AC0-E8A8-4F97-8E55-5B05A76AE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2926" y="24765"/>
          <a:ext cx="6035040" cy="1647825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13</xdr:row>
      <xdr:rowOff>142875</xdr:rowOff>
    </xdr:from>
    <xdr:to>
      <xdr:col>2</xdr:col>
      <xdr:colOff>552450</xdr:colOff>
      <xdr:row>17</xdr:row>
      <xdr:rowOff>76200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8B68039-E841-4262-8FCF-001BF19A00C9}"/>
            </a:ext>
            <a:ext uri="{147F2762-F138-4A5C-976F-8EAC2B608ADB}">
              <a16:predDERef xmlns:a16="http://schemas.microsoft.com/office/drawing/2014/main" pred="{0AB51AC0-E8A8-4F97-8E55-5B05A76AE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05075" y="1876425"/>
          <a:ext cx="1266825" cy="733425"/>
        </a:xfrm>
        <a:prstGeom prst="rect">
          <a:avLst/>
        </a:prstGeom>
      </xdr:spPr>
    </xdr:pic>
    <xdr:clientData/>
  </xdr:twoCellAnchor>
  <xdr:twoCellAnchor>
    <xdr:from>
      <xdr:col>2</xdr:col>
      <xdr:colOff>247650</xdr:colOff>
      <xdr:row>11</xdr:row>
      <xdr:rowOff>180975</xdr:rowOff>
    </xdr:from>
    <xdr:to>
      <xdr:col>2</xdr:col>
      <xdr:colOff>390525</xdr:colOff>
      <xdr:row>13</xdr:row>
      <xdr:rowOff>142875</xdr:rowOff>
    </xdr:to>
    <xdr:cxnSp macro="">
      <xdr:nvCxnSpPr>
        <xdr:cNvPr id="6" name="Lien droit 5">
          <a:extLst>
            <a:ext uri="{FF2B5EF4-FFF2-40B4-BE49-F238E27FC236}">
              <a16:creationId xmlns:a16="http://schemas.microsoft.com/office/drawing/2014/main" id="{8F3C7A08-757A-47AE-9EDB-905E93B20F12}"/>
            </a:ext>
            <a:ext uri="{147F2762-F138-4A5C-976F-8EAC2B608ADB}">
              <a16:predDERef xmlns:a16="http://schemas.microsoft.com/office/drawing/2014/main" pred="{A8B68039-E841-4262-8FCF-001BF19A00C9}"/>
            </a:ext>
          </a:extLst>
        </xdr:cNvPr>
        <xdr:cNvCxnSpPr>
          <a:cxnSpLocks/>
          <a:endCxn id="5" idx="0"/>
          <a:extLst>
            <a:ext uri="{5F17804C-33F3-41E3-A699-7DCFA2EF7971}">
              <a16:cxnDERefs xmlns:a16="http://schemas.microsoft.com/office/drawing/2014/main" st="{A8B68039-E841-4262-8FCF-001BF19A00C9}" end="{A8B68039-E841-4262-8FCF-001BF19A00C9}"/>
            </a:ext>
          </a:extLst>
        </xdr:cNvCxnSpPr>
      </xdr:nvCxnSpPr>
      <xdr:spPr>
        <a:xfrm flipH="1">
          <a:off x="3143250" y="1533525"/>
          <a:ext cx="142875" cy="342900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89536</xdr:colOff>
      <xdr:row>8</xdr:row>
      <xdr:rowOff>161925</xdr:rowOff>
    </xdr:from>
    <xdr:to>
      <xdr:col>11</xdr:col>
      <xdr:colOff>527686</xdr:colOff>
      <xdr:row>21</xdr:row>
      <xdr:rowOff>150223</xdr:rowOff>
    </xdr:to>
    <xdr:pic>
      <xdr:nvPicPr>
        <xdr:cNvPr id="30" name="Image 3">
          <a:extLst>
            <a:ext uri="{FF2B5EF4-FFF2-40B4-BE49-F238E27FC236}">
              <a16:creationId xmlns:a16="http://schemas.microsoft.com/office/drawing/2014/main" id="{CF5AA89B-84F6-41B1-A0D3-D8A652FD8A44}"/>
            </a:ext>
            <a:ext uri="{147F2762-F138-4A5C-976F-8EAC2B608ADB}">
              <a16:predDERef xmlns:a16="http://schemas.microsoft.com/office/drawing/2014/main" pred="{8F3C7A08-757A-47AE-9EDB-905E93B20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47686" y="1752600"/>
          <a:ext cx="6076950" cy="2455273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34</xdr:row>
      <xdr:rowOff>41910</xdr:rowOff>
    </xdr:from>
    <xdr:to>
      <xdr:col>5</xdr:col>
      <xdr:colOff>114300</xdr:colOff>
      <xdr:row>55</xdr:row>
      <xdr:rowOff>175260</xdr:rowOff>
    </xdr:to>
    <xdr:pic>
      <xdr:nvPicPr>
        <xdr:cNvPr id="18" name="Image 6">
          <a:extLst>
            <a:ext uri="{FF2B5EF4-FFF2-40B4-BE49-F238E27FC236}">
              <a16:creationId xmlns:a16="http://schemas.microsoft.com/office/drawing/2014/main" id="{3E692FDC-676D-45DC-874D-306CCC75AE3B}"/>
            </a:ext>
            <a:ext uri="{147F2762-F138-4A5C-976F-8EAC2B608ADB}">
              <a16:predDERef xmlns:a16="http://schemas.microsoft.com/office/drawing/2014/main" pred="{CF5AA89B-84F6-41B1-A0D3-D8A652FD8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" y="4909185"/>
          <a:ext cx="6429375" cy="4133850"/>
        </a:xfrm>
        <a:prstGeom prst="rect">
          <a:avLst/>
        </a:prstGeom>
      </xdr:spPr>
    </xdr:pic>
    <xdr:clientData/>
  </xdr:twoCellAnchor>
  <xdr:twoCellAnchor editAs="oneCell">
    <xdr:from>
      <xdr:col>0</xdr:col>
      <xdr:colOff>306705</xdr:colOff>
      <xdr:row>69</xdr:row>
      <xdr:rowOff>125131</xdr:rowOff>
    </xdr:from>
    <xdr:to>
      <xdr:col>0</xdr:col>
      <xdr:colOff>1150620</xdr:colOff>
      <xdr:row>71</xdr:row>
      <xdr:rowOff>123824</xdr:rowOff>
    </xdr:to>
    <xdr:pic>
      <xdr:nvPicPr>
        <xdr:cNvPr id="52" name="Image 3">
          <a:extLst>
            <a:ext uri="{FF2B5EF4-FFF2-40B4-BE49-F238E27FC236}">
              <a16:creationId xmlns:a16="http://schemas.microsoft.com/office/drawing/2014/main" id="{07B8A94D-BBDA-41E2-9359-8C27C53FA454}"/>
            </a:ext>
            <a:ext uri="{147F2762-F138-4A5C-976F-8EAC2B608ADB}">
              <a16:predDERef xmlns:a16="http://schemas.microsoft.com/office/drawing/2014/main" pred="{3E692FDC-676D-45DC-874D-306CCC75A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6705" y="11631331"/>
          <a:ext cx="843915" cy="446368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64</xdr:row>
      <xdr:rowOff>68579</xdr:rowOff>
    </xdr:from>
    <xdr:to>
      <xdr:col>0</xdr:col>
      <xdr:colOff>999014</xdr:colOff>
      <xdr:row>66</xdr:row>
      <xdr:rowOff>108584</xdr:rowOff>
    </xdr:to>
    <xdr:pic>
      <xdr:nvPicPr>
        <xdr:cNvPr id="50" name="Image 4">
          <a:extLst>
            <a:ext uri="{FF2B5EF4-FFF2-40B4-BE49-F238E27FC236}">
              <a16:creationId xmlns:a16="http://schemas.microsoft.com/office/drawing/2014/main" id="{45219874-A817-41B8-BE9B-C26FFEB43006}"/>
            </a:ext>
            <a:ext uri="{147F2762-F138-4A5C-976F-8EAC2B608ADB}">
              <a16:predDERef xmlns:a16="http://schemas.microsoft.com/office/drawing/2014/main" pred="{07B8A94D-BBDA-41E2-9359-8C27C53FA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2925" y="10629899"/>
          <a:ext cx="456089" cy="421005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54</xdr:row>
      <xdr:rowOff>146685</xdr:rowOff>
    </xdr:from>
    <xdr:to>
      <xdr:col>8</xdr:col>
      <xdr:colOff>1219200</xdr:colOff>
      <xdr:row>58</xdr:row>
      <xdr:rowOff>165735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34BDA0CB-781F-4CDE-A6A7-96E4C2659E62}"/>
            </a:ext>
            <a:ext uri="{147F2762-F138-4A5C-976F-8EAC2B608ADB}">
              <a16:predDERef xmlns:a16="http://schemas.microsoft.com/office/drawing/2014/main" pred="{45219874-A817-41B8-BE9B-C26FFEB43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3140" y="10532745"/>
          <a:ext cx="2225040" cy="750570"/>
        </a:xfrm>
        <a:prstGeom prst="rect">
          <a:avLst/>
        </a:prstGeom>
      </xdr:spPr>
    </xdr:pic>
    <xdr:clientData/>
  </xdr:twoCellAnchor>
  <xdr:twoCellAnchor>
    <xdr:from>
      <xdr:col>6</xdr:col>
      <xdr:colOff>1181100</xdr:colOff>
      <xdr:row>57</xdr:row>
      <xdr:rowOff>133350</xdr:rowOff>
    </xdr:from>
    <xdr:to>
      <xdr:col>7</xdr:col>
      <xdr:colOff>838200</xdr:colOff>
      <xdr:row>60</xdr:row>
      <xdr:rowOff>85725</xdr:rowOff>
    </xdr:to>
    <xdr:cxnSp macro="">
      <xdr:nvCxnSpPr>
        <xdr:cNvPr id="20" name="Lien droit 19">
          <a:extLst>
            <a:ext uri="{FF2B5EF4-FFF2-40B4-BE49-F238E27FC236}">
              <a16:creationId xmlns:a16="http://schemas.microsoft.com/office/drawing/2014/main" id="{A8390BD9-060E-4B5F-81AF-3EFB15C7EE5E}"/>
            </a:ext>
            <a:ext uri="{147F2762-F138-4A5C-976F-8EAC2B608ADB}">
              <a16:predDERef xmlns:a16="http://schemas.microsoft.com/office/drawing/2014/main" pred="{34BDA0CB-781F-4CDE-A6A7-96E4C2659E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34BDA0CB-781F-4CDE-A6A7-96E4C2659E62}"/>
            </a:ext>
          </a:extLst>
        </xdr:cNvCxnSpPr>
      </xdr:nvCxnSpPr>
      <xdr:spPr>
        <a:xfrm flipV="1">
          <a:off x="9239250" y="9601200"/>
          <a:ext cx="1057275" cy="523875"/>
        </a:xfrm>
        <a:prstGeom prst="line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323850</xdr:colOff>
      <xdr:row>63</xdr:row>
      <xdr:rowOff>133350</xdr:rowOff>
    </xdr:from>
    <xdr:to>
      <xdr:col>8</xdr:col>
      <xdr:colOff>1247775</xdr:colOff>
      <xdr:row>68</xdr:row>
      <xdr:rowOff>0</xdr:rowOff>
    </xdr:to>
    <xdr:pic>
      <xdr:nvPicPr>
        <xdr:cNvPr id="21" name="Image 20">
          <a:extLst>
            <a:ext uri="{FF2B5EF4-FFF2-40B4-BE49-F238E27FC236}">
              <a16:creationId xmlns:a16="http://schemas.microsoft.com/office/drawing/2014/main" id="{677006D9-5A65-468A-85D6-4C42CD831F47}"/>
            </a:ext>
            <a:ext uri="{147F2762-F138-4A5C-976F-8EAC2B608ADB}">
              <a16:predDERef xmlns:a16="http://schemas.microsoft.com/office/drawing/2014/main" pred="{A8390BD9-060E-4B5F-81AF-3EFB15C7E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82175" y="11058525"/>
          <a:ext cx="2047875" cy="819150"/>
        </a:xfrm>
        <a:prstGeom prst="rect">
          <a:avLst/>
        </a:prstGeom>
      </xdr:spPr>
    </xdr:pic>
    <xdr:clientData/>
  </xdr:twoCellAnchor>
  <xdr:twoCellAnchor>
    <xdr:from>
      <xdr:col>6</xdr:col>
      <xdr:colOff>1238250</xdr:colOff>
      <xdr:row>67</xdr:row>
      <xdr:rowOff>85725</xdr:rowOff>
    </xdr:from>
    <xdr:to>
      <xdr:col>7</xdr:col>
      <xdr:colOff>304800</xdr:colOff>
      <xdr:row>68</xdr:row>
      <xdr:rowOff>47625</xdr:rowOff>
    </xdr:to>
    <xdr:cxnSp macro="">
      <xdr:nvCxnSpPr>
        <xdr:cNvPr id="22" name="Lien droit 21">
          <a:extLst>
            <a:ext uri="{FF2B5EF4-FFF2-40B4-BE49-F238E27FC236}">
              <a16:creationId xmlns:a16="http://schemas.microsoft.com/office/drawing/2014/main" id="{4C756C49-699C-4EEF-9FD9-4300B9A5DDDF}"/>
            </a:ext>
            <a:ext uri="{147F2762-F138-4A5C-976F-8EAC2B608ADB}">
              <a16:predDERef xmlns:a16="http://schemas.microsoft.com/office/drawing/2014/main" pred="{677006D9-5A65-468A-85D6-4C42CD831F4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77006D9-5A65-468A-85D6-4C42CD831F47}"/>
            </a:ext>
          </a:extLst>
        </xdr:cNvCxnSpPr>
      </xdr:nvCxnSpPr>
      <xdr:spPr>
        <a:xfrm flipV="1">
          <a:off x="9296400" y="11772900"/>
          <a:ext cx="466725" cy="152400"/>
        </a:xfrm>
        <a:prstGeom prst="line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828675</xdr:colOff>
      <xdr:row>72</xdr:row>
      <xdr:rowOff>95250</xdr:rowOff>
    </xdr:from>
    <xdr:to>
      <xdr:col>9</xdr:col>
      <xdr:colOff>152400</xdr:colOff>
      <xdr:row>76</xdr:row>
      <xdr:rowOff>66675</xdr:rowOff>
    </xdr:to>
    <xdr:pic>
      <xdr:nvPicPr>
        <xdr:cNvPr id="23" name="Image 22">
          <a:extLst>
            <a:ext uri="{FF2B5EF4-FFF2-40B4-BE49-F238E27FC236}">
              <a16:creationId xmlns:a16="http://schemas.microsoft.com/office/drawing/2014/main" id="{3C6A8662-C894-4D41-83F9-9FF1448B695C}"/>
            </a:ext>
            <a:ext uri="{147F2762-F138-4A5C-976F-8EAC2B608ADB}">
              <a16:predDERef xmlns:a16="http://schemas.microsoft.com/office/drawing/2014/main" pred="{4C756C49-699C-4EEF-9FD9-4300B9A5D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287000" y="13020675"/>
          <a:ext cx="2162175" cy="733425"/>
        </a:xfrm>
        <a:prstGeom prst="rect">
          <a:avLst/>
        </a:prstGeom>
      </xdr:spPr>
    </xdr:pic>
    <xdr:clientData/>
  </xdr:twoCellAnchor>
  <xdr:twoCellAnchor>
    <xdr:from>
      <xdr:col>6</xdr:col>
      <xdr:colOff>1285875</xdr:colOff>
      <xdr:row>75</xdr:row>
      <xdr:rowOff>114300</xdr:rowOff>
    </xdr:from>
    <xdr:to>
      <xdr:col>7</xdr:col>
      <xdr:colOff>733425</xdr:colOff>
      <xdr:row>76</xdr:row>
      <xdr:rowOff>114300</xdr:rowOff>
    </xdr:to>
    <xdr:cxnSp macro="">
      <xdr:nvCxnSpPr>
        <xdr:cNvPr id="24" name="Lien droit 23">
          <a:extLst>
            <a:ext uri="{FF2B5EF4-FFF2-40B4-BE49-F238E27FC236}">
              <a16:creationId xmlns:a16="http://schemas.microsoft.com/office/drawing/2014/main" id="{2D38AA3E-F07E-4C8B-8BFD-8CE8C2FA39FF}"/>
            </a:ext>
            <a:ext uri="{147F2762-F138-4A5C-976F-8EAC2B608ADB}">
              <a16:predDERef xmlns:a16="http://schemas.microsoft.com/office/drawing/2014/main" pred="{3C6A8662-C894-4D41-83F9-9FF1448B695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3C6A8662-C894-4D41-83F9-9FF1448B695C}"/>
            </a:ext>
          </a:extLst>
        </xdr:cNvCxnSpPr>
      </xdr:nvCxnSpPr>
      <xdr:spPr>
        <a:xfrm flipV="1">
          <a:off x="9344025" y="13611225"/>
          <a:ext cx="847725" cy="190500"/>
        </a:xfrm>
        <a:prstGeom prst="line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142875</xdr:colOff>
      <xdr:row>61</xdr:row>
      <xdr:rowOff>114300</xdr:rowOff>
    </xdr:from>
    <xdr:to>
      <xdr:col>8</xdr:col>
      <xdr:colOff>1609725</xdr:colOff>
      <xdr:row>63</xdr:row>
      <xdr:rowOff>28575</xdr:rowOff>
    </xdr:to>
    <xdr:pic>
      <xdr:nvPicPr>
        <xdr:cNvPr id="25" name="Image 24">
          <a:extLst>
            <a:ext uri="{FF2B5EF4-FFF2-40B4-BE49-F238E27FC236}">
              <a16:creationId xmlns:a16="http://schemas.microsoft.com/office/drawing/2014/main" id="{F68A8F97-F732-4684-8D34-BD64AE198433}"/>
            </a:ext>
            <a:ext uri="{147F2762-F138-4A5C-976F-8EAC2B608ADB}">
              <a16:predDERef xmlns:a16="http://schemas.microsoft.com/office/drawing/2014/main" pred="{2D38AA3E-F07E-4C8B-8BFD-8CE8C2FA3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601200" y="10344150"/>
          <a:ext cx="2590800" cy="42862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69</xdr:row>
      <xdr:rowOff>85725</xdr:rowOff>
    </xdr:from>
    <xdr:to>
      <xdr:col>8</xdr:col>
      <xdr:colOff>1409700</xdr:colOff>
      <xdr:row>71</xdr:row>
      <xdr:rowOff>76200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31E4F0FE-C894-4288-9109-19BCFB6B036B}"/>
            </a:ext>
            <a:ext uri="{147F2762-F138-4A5C-976F-8EAC2B608ADB}">
              <a16:predDERef xmlns:a16="http://schemas.microsoft.com/office/drawing/2014/main" pred="{F68A8F97-F732-4684-8D34-BD64AE198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734550" y="12153900"/>
          <a:ext cx="2257425" cy="43815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77</xdr:row>
      <xdr:rowOff>57150</xdr:rowOff>
    </xdr:from>
    <xdr:to>
      <xdr:col>8</xdr:col>
      <xdr:colOff>1600200</xdr:colOff>
      <xdr:row>79</xdr:row>
      <xdr:rowOff>133350</xdr:rowOff>
    </xdr:to>
    <xdr:pic>
      <xdr:nvPicPr>
        <xdr:cNvPr id="27" name="Image 26">
          <a:extLst>
            <a:ext uri="{FF2B5EF4-FFF2-40B4-BE49-F238E27FC236}">
              <a16:creationId xmlns:a16="http://schemas.microsoft.com/office/drawing/2014/main" id="{FD8DAC98-C74A-461C-90F6-A60BBBF23D8B}"/>
            </a:ext>
            <a:ext uri="{147F2762-F138-4A5C-976F-8EAC2B608ADB}">
              <a16:predDERef xmlns:a16="http://schemas.microsoft.com/office/drawing/2014/main" pred="{31E4F0FE-C894-4288-9109-19BCFB6B0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591675" y="13935075"/>
          <a:ext cx="2590800" cy="447675"/>
        </a:xfrm>
        <a:prstGeom prst="rect">
          <a:avLst/>
        </a:prstGeom>
      </xdr:spPr>
    </xdr:pic>
    <xdr:clientData/>
  </xdr:twoCellAnchor>
  <xdr:twoCellAnchor editAs="oneCell">
    <xdr:from>
      <xdr:col>8</xdr:col>
      <xdr:colOff>1609725</xdr:colOff>
      <xdr:row>67</xdr:row>
      <xdr:rowOff>28575</xdr:rowOff>
    </xdr:from>
    <xdr:to>
      <xdr:col>11</xdr:col>
      <xdr:colOff>624840</xdr:colOff>
      <xdr:row>70</xdr:row>
      <xdr:rowOff>133350</xdr:rowOff>
    </xdr:to>
    <xdr:pic>
      <xdr:nvPicPr>
        <xdr:cNvPr id="28" name="Image 27">
          <a:extLst>
            <a:ext uri="{FF2B5EF4-FFF2-40B4-BE49-F238E27FC236}">
              <a16:creationId xmlns:a16="http://schemas.microsoft.com/office/drawing/2014/main" id="{FC59D445-5344-48B8-AC5C-6E0C3B89A5AC}"/>
            </a:ext>
            <a:ext uri="{147F2762-F138-4A5C-976F-8EAC2B608ADB}">
              <a16:predDERef xmlns:a16="http://schemas.microsoft.com/office/drawing/2014/main" pred="{FD8DAC98-C74A-461C-90F6-A60BBBF23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192000" y="11715750"/>
          <a:ext cx="2114550" cy="695325"/>
        </a:xfrm>
        <a:prstGeom prst="rect">
          <a:avLst/>
        </a:prstGeom>
      </xdr:spPr>
    </xdr:pic>
    <xdr:clientData/>
  </xdr:twoCellAnchor>
  <xdr:twoCellAnchor editAs="oneCell">
    <xdr:from>
      <xdr:col>8</xdr:col>
      <xdr:colOff>1419225</xdr:colOff>
      <xdr:row>57</xdr:row>
      <xdr:rowOff>133350</xdr:rowOff>
    </xdr:from>
    <xdr:to>
      <xdr:col>12</xdr:col>
      <xdr:colOff>177165</xdr:colOff>
      <xdr:row>61</xdr:row>
      <xdr:rowOff>161925</xdr:rowOff>
    </xdr:to>
    <xdr:pic>
      <xdr:nvPicPr>
        <xdr:cNvPr id="29" name="Image 28">
          <a:extLst>
            <a:ext uri="{FF2B5EF4-FFF2-40B4-BE49-F238E27FC236}">
              <a16:creationId xmlns:a16="http://schemas.microsoft.com/office/drawing/2014/main" id="{BA477FD7-7F15-498E-AFC9-07B6206707FC}"/>
            </a:ext>
            <a:ext uri="{147F2762-F138-4A5C-976F-8EAC2B608ADB}">
              <a16:predDERef xmlns:a16="http://schemas.microsoft.com/office/drawing/2014/main" pred="{FC59D445-5344-48B8-AC5C-6E0C3B89A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001500" y="9601200"/>
          <a:ext cx="2505075" cy="790575"/>
        </a:xfrm>
        <a:prstGeom prst="rect">
          <a:avLst/>
        </a:prstGeom>
      </xdr:spPr>
    </xdr:pic>
    <xdr:clientData/>
  </xdr:twoCellAnchor>
  <xdr:twoCellAnchor>
    <xdr:from>
      <xdr:col>7</xdr:col>
      <xdr:colOff>1028700</xdr:colOff>
      <xdr:row>60</xdr:row>
      <xdr:rowOff>180975</xdr:rowOff>
    </xdr:from>
    <xdr:to>
      <xdr:col>8</xdr:col>
      <xdr:colOff>676275</xdr:colOff>
      <xdr:row>62</xdr:row>
      <xdr:rowOff>457200</xdr:rowOff>
    </xdr:to>
    <xdr:sp macro="" textlink="">
      <xdr:nvSpPr>
        <xdr:cNvPr id="31" name="Ellipse 30">
          <a:extLst>
            <a:ext uri="{FF2B5EF4-FFF2-40B4-BE49-F238E27FC236}">
              <a16:creationId xmlns:a16="http://schemas.microsoft.com/office/drawing/2014/main" id="{9060FC70-121E-4B9D-916F-0D108F3E17EE}"/>
            </a:ext>
            <a:ext uri="{147F2762-F138-4A5C-976F-8EAC2B608ADB}">
              <a16:predDERef xmlns:a16="http://schemas.microsoft.com/office/drawing/2014/main" pred="{BA477FD7-7F15-498E-AFC9-07B6206707FC}"/>
            </a:ext>
          </a:extLst>
        </xdr:cNvPr>
        <xdr:cNvSpPr/>
      </xdr:nvSpPr>
      <xdr:spPr>
        <a:xfrm>
          <a:off x="10487025" y="10220325"/>
          <a:ext cx="771525" cy="657225"/>
        </a:xfrm>
        <a:prstGeom prst="ellipse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563288</xdr:colOff>
      <xdr:row>59</xdr:row>
      <xdr:rowOff>147638</xdr:rowOff>
    </xdr:from>
    <xdr:to>
      <xdr:col>8</xdr:col>
      <xdr:colOff>1419225</xdr:colOff>
      <xdr:row>61</xdr:row>
      <xdr:rowOff>86723</xdr:rowOff>
    </xdr:to>
    <xdr:cxnSp macro="">
      <xdr:nvCxnSpPr>
        <xdr:cNvPr id="32" name="Lien droit 31">
          <a:extLst>
            <a:ext uri="{FF2B5EF4-FFF2-40B4-BE49-F238E27FC236}">
              <a16:creationId xmlns:a16="http://schemas.microsoft.com/office/drawing/2014/main" id="{6DD148C2-889D-46CE-B5E4-B488D1FB9DBD}"/>
            </a:ext>
            <a:ext uri="{147F2762-F138-4A5C-976F-8EAC2B608ADB}">
              <a16:predDERef xmlns:a16="http://schemas.microsoft.com/office/drawing/2014/main" pred="{9060FC70-121E-4B9D-916F-0D108F3E17EE}"/>
            </a:ext>
          </a:extLst>
        </xdr:cNvPr>
        <xdr:cNvCxnSpPr>
          <a:cxnSpLocks/>
          <a:stCxn id="31" idx="7"/>
          <a:endCxn id="29" idx="1"/>
          <a:extLst>
            <a:ext uri="{5F17804C-33F3-41E3-A699-7DCFA2EF7971}">
              <a16:cxnDERefs xmlns:a16="http://schemas.microsoft.com/office/drawing/2014/main" st="{9060FC70-121E-4B9D-916F-0D108F3E17EE}" end="{BA477FD7-7F15-498E-AFC9-07B6206707FC}"/>
            </a:ext>
          </a:extLst>
        </xdr:cNvCxnSpPr>
      </xdr:nvCxnSpPr>
      <xdr:spPr>
        <a:xfrm flipV="1">
          <a:off x="11145563" y="9996488"/>
          <a:ext cx="855937" cy="320085"/>
        </a:xfrm>
        <a:prstGeom prst="line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1038225</xdr:colOff>
      <xdr:row>68</xdr:row>
      <xdr:rowOff>152400</xdr:rowOff>
    </xdr:from>
    <xdr:to>
      <xdr:col>8</xdr:col>
      <xdr:colOff>685800</xdr:colOff>
      <xdr:row>70</xdr:row>
      <xdr:rowOff>428625</xdr:rowOff>
    </xdr:to>
    <xdr:sp macro="" textlink="">
      <xdr:nvSpPr>
        <xdr:cNvPr id="33" name="Ellipse 32">
          <a:extLst>
            <a:ext uri="{FF2B5EF4-FFF2-40B4-BE49-F238E27FC236}">
              <a16:creationId xmlns:a16="http://schemas.microsoft.com/office/drawing/2014/main" id="{EA8D741A-34F8-491C-AD29-2BB067E46975}"/>
            </a:ext>
            <a:ext uri="{147F2762-F138-4A5C-976F-8EAC2B608ADB}">
              <a16:predDERef xmlns:a16="http://schemas.microsoft.com/office/drawing/2014/main" pred="{6DD148C2-889D-46CE-B5E4-B488D1FB9DBD}"/>
            </a:ext>
          </a:extLst>
        </xdr:cNvPr>
        <xdr:cNvSpPr/>
      </xdr:nvSpPr>
      <xdr:spPr>
        <a:xfrm>
          <a:off x="10496550" y="12030075"/>
          <a:ext cx="771525" cy="657225"/>
        </a:xfrm>
        <a:prstGeom prst="ellipse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572813</xdr:colOff>
      <xdr:row>68</xdr:row>
      <xdr:rowOff>185738</xdr:rowOff>
    </xdr:from>
    <xdr:to>
      <xdr:col>8</xdr:col>
      <xdr:colOff>1609725</xdr:colOff>
      <xdr:row>69</xdr:row>
      <xdr:rowOff>58148</xdr:rowOff>
    </xdr:to>
    <xdr:cxnSp macro="">
      <xdr:nvCxnSpPr>
        <xdr:cNvPr id="34" name="Lien droit 33">
          <a:extLst>
            <a:ext uri="{FF2B5EF4-FFF2-40B4-BE49-F238E27FC236}">
              <a16:creationId xmlns:a16="http://schemas.microsoft.com/office/drawing/2014/main" id="{F316E879-2867-4806-B633-394A90A0C6BA}"/>
            </a:ext>
            <a:ext uri="{147F2762-F138-4A5C-976F-8EAC2B608ADB}">
              <a16:predDERef xmlns:a16="http://schemas.microsoft.com/office/drawing/2014/main" pred="{EA8D741A-34F8-491C-AD29-2BB067E46975}"/>
            </a:ext>
          </a:extLst>
        </xdr:cNvPr>
        <xdr:cNvCxnSpPr>
          <a:cxnSpLocks/>
          <a:stCxn id="33" idx="7"/>
          <a:endCxn id="28" idx="1"/>
          <a:extLst>
            <a:ext uri="{5F17804C-33F3-41E3-A699-7DCFA2EF7971}">
              <a16:cxnDERefs xmlns:a16="http://schemas.microsoft.com/office/drawing/2014/main" st="{EA8D741A-34F8-491C-AD29-2BB067E46975}" end="{FC59D445-5344-48B8-AC5C-6E0C3B89A5AC}"/>
            </a:ext>
          </a:extLst>
        </xdr:cNvCxnSpPr>
      </xdr:nvCxnSpPr>
      <xdr:spPr>
        <a:xfrm flipV="1">
          <a:off x="11155088" y="12063413"/>
          <a:ext cx="1036912" cy="62910"/>
        </a:xfrm>
        <a:prstGeom prst="line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885825</xdr:colOff>
      <xdr:row>80</xdr:row>
      <xdr:rowOff>9525</xdr:rowOff>
    </xdr:from>
    <xdr:to>
      <xdr:col>11</xdr:col>
      <xdr:colOff>276225</xdr:colOff>
      <xdr:row>84</xdr:row>
      <xdr:rowOff>57150</xdr:rowOff>
    </xdr:to>
    <xdr:pic>
      <xdr:nvPicPr>
        <xdr:cNvPr id="35" name="Image 34">
          <a:extLst>
            <a:ext uri="{FF2B5EF4-FFF2-40B4-BE49-F238E27FC236}">
              <a16:creationId xmlns:a16="http://schemas.microsoft.com/office/drawing/2014/main" id="{0C5B2781-A0B9-4352-96B6-062546548C37}"/>
            </a:ext>
            <a:ext uri="{147F2762-F138-4A5C-976F-8EAC2B608ADB}">
              <a16:predDERef xmlns:a16="http://schemas.microsoft.com/office/drawing/2014/main" pred="{F316E879-2867-4806-B633-394A90A0C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468100" y="14573250"/>
          <a:ext cx="2505075" cy="809625"/>
        </a:xfrm>
        <a:prstGeom prst="rect">
          <a:avLst/>
        </a:prstGeom>
      </xdr:spPr>
    </xdr:pic>
    <xdr:clientData/>
  </xdr:twoCellAnchor>
  <xdr:twoCellAnchor>
    <xdr:from>
      <xdr:col>7</xdr:col>
      <xdr:colOff>1038225</xdr:colOff>
      <xdr:row>76</xdr:row>
      <xdr:rowOff>161925</xdr:rowOff>
    </xdr:from>
    <xdr:to>
      <xdr:col>8</xdr:col>
      <xdr:colOff>685800</xdr:colOff>
      <xdr:row>79</xdr:row>
      <xdr:rowOff>133350</xdr:rowOff>
    </xdr:to>
    <xdr:sp macro="" textlink="">
      <xdr:nvSpPr>
        <xdr:cNvPr id="36" name="Ellipse 35">
          <a:extLst>
            <a:ext uri="{FF2B5EF4-FFF2-40B4-BE49-F238E27FC236}">
              <a16:creationId xmlns:a16="http://schemas.microsoft.com/office/drawing/2014/main" id="{12683037-7CB7-492B-B797-D83E004AF82D}"/>
            </a:ext>
            <a:ext uri="{147F2762-F138-4A5C-976F-8EAC2B608ADB}">
              <a16:predDERef xmlns:a16="http://schemas.microsoft.com/office/drawing/2014/main" pred="{0C5B2781-A0B9-4352-96B6-062546548C37}"/>
            </a:ext>
          </a:extLst>
        </xdr:cNvPr>
        <xdr:cNvSpPr/>
      </xdr:nvSpPr>
      <xdr:spPr>
        <a:xfrm>
          <a:off x="10496550" y="13849350"/>
          <a:ext cx="771525" cy="657225"/>
        </a:xfrm>
        <a:prstGeom prst="ellipse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572813</xdr:colOff>
      <xdr:row>79</xdr:row>
      <xdr:rowOff>37102</xdr:rowOff>
    </xdr:from>
    <xdr:to>
      <xdr:col>8</xdr:col>
      <xdr:colOff>790575</xdr:colOff>
      <xdr:row>80</xdr:row>
      <xdr:rowOff>104775</xdr:rowOff>
    </xdr:to>
    <xdr:cxnSp macro="">
      <xdr:nvCxnSpPr>
        <xdr:cNvPr id="37" name="Lien droit 36">
          <a:extLst>
            <a:ext uri="{FF2B5EF4-FFF2-40B4-BE49-F238E27FC236}">
              <a16:creationId xmlns:a16="http://schemas.microsoft.com/office/drawing/2014/main" id="{CE34771A-7A09-4E41-92CA-6CFEA3336C4B}"/>
            </a:ext>
            <a:ext uri="{147F2762-F138-4A5C-976F-8EAC2B608ADB}">
              <a16:predDERef xmlns:a16="http://schemas.microsoft.com/office/drawing/2014/main" pred="{12683037-7CB7-492B-B797-D83E004AF82D}"/>
            </a:ext>
          </a:extLst>
        </xdr:cNvPr>
        <xdr:cNvCxnSpPr>
          <a:cxnSpLocks/>
          <a:stCxn id="36" idx="5"/>
          <a:extLst>
            <a:ext uri="{5F17804C-33F3-41E3-A699-7DCFA2EF7971}">
              <a16:cxnDERefs xmlns:a16="http://schemas.microsoft.com/office/drawing/2014/main" st="{12683037-7CB7-492B-B797-D83E004AF82D}" end="{0C5B2781-A0B9-4352-96B6-062546548C37}"/>
            </a:ext>
          </a:extLst>
        </xdr:cNvCxnSpPr>
      </xdr:nvCxnSpPr>
      <xdr:spPr>
        <a:xfrm>
          <a:off x="11155088" y="14410327"/>
          <a:ext cx="217762" cy="258173"/>
        </a:xfrm>
        <a:prstGeom prst="line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47625</xdr:colOff>
      <xdr:row>74</xdr:row>
      <xdr:rowOff>38100</xdr:rowOff>
    </xdr:from>
    <xdr:to>
      <xdr:col>2</xdr:col>
      <xdr:colOff>723900</xdr:colOff>
      <xdr:row>78</xdr:row>
      <xdr:rowOff>47625</xdr:rowOff>
    </xdr:to>
    <xdr:pic>
      <xdr:nvPicPr>
        <xdr:cNvPr id="38" name="Image 37">
          <a:extLst>
            <a:ext uri="{FF2B5EF4-FFF2-40B4-BE49-F238E27FC236}">
              <a16:creationId xmlns:a16="http://schemas.microsoft.com/office/drawing/2014/main" id="{13058677-A6F2-4516-B15D-927B0778ED58}"/>
            </a:ext>
            <a:ext uri="{147F2762-F138-4A5C-976F-8EAC2B608ADB}">
              <a16:predDERef xmlns:a16="http://schemas.microsoft.com/office/drawing/2014/main" pred="{CE34771A-7A09-4E41-92CA-6CFEA3336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7625" y="13344525"/>
          <a:ext cx="3895725" cy="771525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</xdr:colOff>
      <xdr:row>80</xdr:row>
      <xdr:rowOff>85725</xdr:rowOff>
    </xdr:from>
    <xdr:to>
      <xdr:col>4</xdr:col>
      <xdr:colOff>1122045</xdr:colOff>
      <xdr:row>83</xdr:row>
      <xdr:rowOff>57150</xdr:rowOff>
    </xdr:to>
    <xdr:pic>
      <xdr:nvPicPr>
        <xdr:cNvPr id="2" name="Image 39">
          <a:extLst>
            <a:ext uri="{FF2B5EF4-FFF2-40B4-BE49-F238E27FC236}">
              <a16:creationId xmlns:a16="http://schemas.microsoft.com/office/drawing/2014/main" id="{6CCAFE05-C412-422B-B428-2B0F1A76A58E}"/>
            </a:ext>
            <a:ext uri="{147F2762-F138-4A5C-976F-8EAC2B608ADB}">
              <a16:predDERef xmlns:a16="http://schemas.microsoft.com/office/drawing/2014/main" pred="{13058677-A6F2-4516-B15D-927B0778E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" y="13906500"/>
          <a:ext cx="6057900" cy="542925"/>
        </a:xfrm>
        <a:prstGeom prst="rect">
          <a:avLst/>
        </a:prstGeom>
      </xdr:spPr>
    </xdr:pic>
    <xdr:clientData/>
  </xdr:twoCellAnchor>
  <xdr:twoCellAnchor>
    <xdr:from>
      <xdr:col>3</xdr:col>
      <xdr:colOff>83820</xdr:colOff>
      <xdr:row>76</xdr:row>
      <xdr:rowOff>19050</xdr:rowOff>
    </xdr:from>
    <xdr:to>
      <xdr:col>3</xdr:col>
      <xdr:colOff>807720</xdr:colOff>
      <xdr:row>77</xdr:row>
      <xdr:rowOff>163830</xdr:rowOff>
    </xdr:to>
    <xdr:sp macro="" textlink="">
      <xdr:nvSpPr>
        <xdr:cNvPr id="48" name="Flèche vers le bas 40">
          <a:extLst>
            <a:ext uri="{FF2B5EF4-FFF2-40B4-BE49-F238E27FC236}">
              <a16:creationId xmlns:a16="http://schemas.microsoft.com/office/drawing/2014/main" id="{AB66E5E7-0B18-4EB6-8BEA-8C8348D21FB2}"/>
            </a:ext>
            <a:ext uri="{147F2762-F138-4A5C-976F-8EAC2B608ADB}">
              <a16:predDERef xmlns:a16="http://schemas.microsoft.com/office/drawing/2014/main" pred="{6CCAFE05-C412-422B-B428-2B0F1A76A58E}"/>
            </a:ext>
          </a:extLst>
        </xdr:cNvPr>
        <xdr:cNvSpPr/>
      </xdr:nvSpPr>
      <xdr:spPr>
        <a:xfrm rot="5400000">
          <a:off x="4446270" y="13075920"/>
          <a:ext cx="335280" cy="723900"/>
        </a:xfrm>
        <a:prstGeom prst="downArrow">
          <a:avLst/>
        </a:prstGeom>
        <a:solidFill>
          <a:srgbClr val="00B0F0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1301115</xdr:colOff>
      <xdr:row>36</xdr:row>
      <xdr:rowOff>36195</xdr:rowOff>
    </xdr:from>
    <xdr:to>
      <xdr:col>8</xdr:col>
      <xdr:colOff>167640</xdr:colOff>
      <xdr:row>54</xdr:row>
      <xdr:rowOff>32385</xdr:rowOff>
    </xdr:to>
    <xdr:pic>
      <xdr:nvPicPr>
        <xdr:cNvPr id="55" name="Image 54">
          <a:extLst>
            <a:ext uri="{FF2B5EF4-FFF2-40B4-BE49-F238E27FC236}">
              <a16:creationId xmlns:a16="http://schemas.microsoft.com/office/drawing/2014/main" id="{9D6C60BD-469B-4AAD-B851-E80D51153D11}"/>
            </a:ext>
            <a:ext uri="{147F2762-F138-4A5C-976F-8EAC2B608ADB}">
              <a16:predDERef xmlns:a16="http://schemas.microsoft.com/office/drawing/2014/main" pred="{AB66E5E7-0B18-4EB6-8BEA-8C8348D21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968615" y="7115175"/>
          <a:ext cx="3088005" cy="3303270"/>
        </a:xfrm>
        <a:prstGeom prst="rect">
          <a:avLst/>
        </a:prstGeom>
      </xdr:spPr>
    </xdr:pic>
    <xdr:clientData/>
  </xdr:twoCellAnchor>
  <xdr:twoCellAnchor>
    <xdr:from>
      <xdr:col>6</xdr:col>
      <xdr:colOff>548640</xdr:colOff>
      <xdr:row>36</xdr:row>
      <xdr:rowOff>36195</xdr:rowOff>
    </xdr:from>
    <xdr:to>
      <xdr:col>6</xdr:col>
      <xdr:colOff>1245870</xdr:colOff>
      <xdr:row>36</xdr:row>
      <xdr:rowOff>45720</xdr:rowOff>
    </xdr:to>
    <xdr:cxnSp macro="">
      <xdr:nvCxnSpPr>
        <xdr:cNvPr id="57" name="Lien droit 56">
          <a:extLst>
            <a:ext uri="{FF2B5EF4-FFF2-40B4-BE49-F238E27FC236}">
              <a16:creationId xmlns:a16="http://schemas.microsoft.com/office/drawing/2014/main" id="{71BCD6FC-2550-42A3-8F55-5C8BC547D80D}"/>
            </a:ext>
            <a:ext uri="{147F2762-F138-4A5C-976F-8EAC2B608ADB}">
              <a16:predDERef xmlns:a16="http://schemas.microsoft.com/office/drawing/2014/main" pred="{CB0800CF-ECF0-4CA5-A2D0-002F56A49ECF}"/>
            </a:ext>
          </a:extLst>
        </xdr:cNvPr>
        <xdr:cNvCxnSpPr>
          <a:cxnSpLocks/>
          <a:endCxn id="55" idx="0"/>
          <a:extLst>
            <a:ext uri="{5F17804C-33F3-41E3-A699-7DCFA2EF7971}">
              <a16:cxnDERefs xmlns:a16="http://schemas.microsoft.com/office/drawing/2014/main" st="{00000000-0000-0000-0000-000000000000}" end="{9D6C60BD-469B-4AAD-B851-E80D51153D11}"/>
            </a:ext>
          </a:extLst>
        </xdr:cNvCxnSpPr>
      </xdr:nvCxnSpPr>
      <xdr:spPr>
        <a:xfrm flipV="1">
          <a:off x="8839200" y="7115175"/>
          <a:ext cx="697230" cy="9525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76200</xdr:colOff>
      <xdr:row>91</xdr:row>
      <xdr:rowOff>171450</xdr:rowOff>
    </xdr:from>
    <xdr:to>
      <xdr:col>5</xdr:col>
      <xdr:colOff>723900</xdr:colOff>
      <xdr:row>115</xdr:row>
      <xdr:rowOff>104775</xdr:rowOff>
    </xdr:to>
    <xdr:pic>
      <xdr:nvPicPr>
        <xdr:cNvPr id="7" name="Image 60">
          <a:extLst>
            <a:ext uri="{FF2B5EF4-FFF2-40B4-BE49-F238E27FC236}">
              <a16:creationId xmlns:a16="http://schemas.microsoft.com/office/drawing/2014/main" id="{633AB38B-8AD5-41F5-836B-FF08A45506FD}"/>
            </a:ext>
            <a:ext uri="{147F2762-F138-4A5C-976F-8EAC2B608ADB}">
              <a16:predDERef xmlns:a16="http://schemas.microsoft.com/office/drawing/2014/main" pred="{71BCD6FC-2550-42A3-8F55-5C8BC547D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6200" y="16087725"/>
          <a:ext cx="7124700" cy="4438650"/>
        </a:xfrm>
        <a:prstGeom prst="rect">
          <a:avLst/>
        </a:prstGeom>
      </xdr:spPr>
    </xdr:pic>
    <xdr:clientData/>
  </xdr:twoCellAnchor>
  <xdr:twoCellAnchor editAs="oneCell">
    <xdr:from>
      <xdr:col>7</xdr:col>
      <xdr:colOff>904875</xdr:colOff>
      <xdr:row>102</xdr:row>
      <xdr:rowOff>28575</xdr:rowOff>
    </xdr:from>
    <xdr:to>
      <xdr:col>9</xdr:col>
      <xdr:colOff>133350</xdr:colOff>
      <xdr:row>105</xdr:row>
      <xdr:rowOff>47625</xdr:rowOff>
    </xdr:to>
    <xdr:pic>
      <xdr:nvPicPr>
        <xdr:cNvPr id="8" name="Image 61">
          <a:extLst>
            <a:ext uri="{FF2B5EF4-FFF2-40B4-BE49-F238E27FC236}">
              <a16:creationId xmlns:a16="http://schemas.microsoft.com/office/drawing/2014/main" id="{30ADD7F3-F833-44C1-80E2-44003BCAF361}"/>
            </a:ext>
            <a:ext uri="{147F2762-F138-4A5C-976F-8EAC2B608ADB}">
              <a16:predDERef xmlns:a16="http://schemas.microsoft.com/office/drawing/2014/main" pred="{633AB38B-8AD5-41F5-836B-FF08A4550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363200" y="18040350"/>
          <a:ext cx="2066925" cy="590550"/>
        </a:xfrm>
        <a:prstGeom prst="rect">
          <a:avLst/>
        </a:prstGeom>
      </xdr:spPr>
    </xdr:pic>
    <xdr:clientData/>
  </xdr:twoCellAnchor>
  <xdr:twoCellAnchor>
    <xdr:from>
      <xdr:col>9</xdr:col>
      <xdr:colOff>133350</xdr:colOff>
      <xdr:row>102</xdr:row>
      <xdr:rowOff>0</xdr:rowOff>
    </xdr:from>
    <xdr:to>
      <xdr:col>10</xdr:col>
      <xdr:colOff>0</xdr:colOff>
      <xdr:row>103</xdr:row>
      <xdr:rowOff>133350</xdr:rowOff>
    </xdr:to>
    <xdr:cxnSp macro="">
      <xdr:nvCxnSpPr>
        <xdr:cNvPr id="14" name="Lien droit 62">
          <a:extLst>
            <a:ext uri="{FF2B5EF4-FFF2-40B4-BE49-F238E27FC236}">
              <a16:creationId xmlns:a16="http://schemas.microsoft.com/office/drawing/2014/main" id="{A305DB8D-4581-432C-8C23-0D54DBD18C68}"/>
            </a:ext>
            <a:ext uri="{147F2762-F138-4A5C-976F-8EAC2B608ADB}">
              <a16:predDERef xmlns:a16="http://schemas.microsoft.com/office/drawing/2014/main" pred="{30ADD7F3-F833-44C1-80E2-44003BCAF361}"/>
            </a:ext>
          </a:extLst>
        </xdr:cNvPr>
        <xdr:cNvCxnSpPr>
          <a:cxnSpLocks/>
          <a:endCxn id="8" idx="3"/>
          <a:extLst>
            <a:ext uri="{5F17804C-33F3-41E3-A699-7DCFA2EF7971}">
              <a16:cxnDERefs xmlns:a16="http://schemas.microsoft.com/office/drawing/2014/main" st="{00000000-0000-0000-0000-000000000000}" end="{30ADD7F3-F833-44C1-80E2-44003BCAF361}"/>
            </a:ext>
          </a:extLst>
        </xdr:cNvCxnSpPr>
      </xdr:nvCxnSpPr>
      <xdr:spPr>
        <a:xfrm flipH="1">
          <a:off x="12430125" y="18011775"/>
          <a:ext cx="428625" cy="323850"/>
        </a:xfrm>
        <a:prstGeom prst="line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57150</xdr:colOff>
      <xdr:row>3</xdr:row>
      <xdr:rowOff>104775</xdr:rowOff>
    </xdr:from>
    <xdr:to>
      <xdr:col>24</xdr:col>
      <xdr:colOff>247650</xdr:colOff>
      <xdr:row>26</xdr:row>
      <xdr:rowOff>47625</xdr:rowOff>
    </xdr:to>
    <xdr:pic>
      <xdr:nvPicPr>
        <xdr:cNvPr id="16" name="Image 193">
          <a:extLst>
            <a:ext uri="{FF2B5EF4-FFF2-40B4-BE49-F238E27FC236}">
              <a16:creationId xmlns:a16="http://schemas.microsoft.com/office/drawing/2014/main" id="{4A2DBAE6-E268-40D0-A5C8-6B5B5DBB3B7F}"/>
            </a:ext>
            <a:ext uri="{147F2762-F138-4A5C-976F-8EAC2B608ADB}">
              <a16:predDERef xmlns:a16="http://schemas.microsoft.com/office/drawing/2014/main" pred="{A305DB8D-4581-432C-8C23-0D54DBD18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4982825" y="809625"/>
          <a:ext cx="6896100" cy="4314825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20</xdr:row>
      <xdr:rowOff>161925</xdr:rowOff>
    </xdr:from>
    <xdr:to>
      <xdr:col>3</xdr:col>
      <xdr:colOff>781050</xdr:colOff>
      <xdr:row>29</xdr:row>
      <xdr:rowOff>114300</xdr:rowOff>
    </xdr:to>
    <xdr:pic>
      <xdr:nvPicPr>
        <xdr:cNvPr id="42" name="Image 3">
          <a:extLst>
            <a:ext uri="{FF2B5EF4-FFF2-40B4-BE49-F238E27FC236}">
              <a16:creationId xmlns:a16="http://schemas.microsoft.com/office/drawing/2014/main" id="{7A92471E-9934-405A-A41D-CAFC3A2806E6}"/>
            </a:ext>
            <a:ext uri="{147F2762-F138-4A5C-976F-8EAC2B608ADB}">
              <a16:predDERef xmlns:a16="http://schemas.microsoft.com/office/drawing/2014/main" pred="{4A2DBAE6-E268-40D0-A5C8-6B5B5DBB3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57175" y="4000500"/>
          <a:ext cx="4572000" cy="1666875"/>
        </a:xfrm>
        <a:prstGeom prst="rect">
          <a:avLst/>
        </a:prstGeom>
      </xdr:spPr>
    </xdr:pic>
    <xdr:clientData/>
  </xdr:twoCellAnchor>
  <xdr:twoCellAnchor>
    <xdr:from>
      <xdr:col>8</xdr:col>
      <xdr:colOff>845820</xdr:colOff>
      <xdr:row>45</xdr:row>
      <xdr:rowOff>106680</xdr:rowOff>
    </xdr:from>
    <xdr:to>
      <xdr:col>9</xdr:col>
      <xdr:colOff>312420</xdr:colOff>
      <xdr:row>49</xdr:row>
      <xdr:rowOff>7620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A38F498E-AC74-439E-BB3E-A2F9AD78A46F}"/>
            </a:ext>
          </a:extLst>
        </xdr:cNvPr>
        <xdr:cNvSpPr txBox="1"/>
      </xdr:nvSpPr>
      <xdr:spPr>
        <a:xfrm>
          <a:off x="11734800" y="8846820"/>
          <a:ext cx="1226820" cy="632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rgbClr val="0070C0"/>
              </a:solidFill>
            </a:rPr>
            <a:t>Mt: couple moteur donné à l'arbe</a:t>
          </a:r>
        </a:p>
      </xdr:txBody>
    </xdr:sp>
    <xdr:clientData/>
  </xdr:twoCellAnchor>
  <xdr:twoCellAnchor>
    <xdr:from>
      <xdr:col>7</xdr:col>
      <xdr:colOff>609600</xdr:colOff>
      <xdr:row>46</xdr:row>
      <xdr:rowOff>68580</xdr:rowOff>
    </xdr:from>
    <xdr:to>
      <xdr:col>8</xdr:col>
      <xdr:colOff>906780</xdr:colOff>
      <xdr:row>46</xdr:row>
      <xdr:rowOff>99060</xdr:rowOff>
    </xdr:to>
    <xdr:cxnSp macro="">
      <xdr:nvCxnSpPr>
        <xdr:cNvPr id="40" name="Lien droit 55">
          <a:extLst>
            <a:ext uri="{FF2B5EF4-FFF2-40B4-BE49-F238E27FC236}">
              <a16:creationId xmlns:a16="http://schemas.microsoft.com/office/drawing/2014/main" id="{06C2ED51-BC1F-4EA8-AB11-8B437029E6AC}"/>
            </a:ext>
            <a:ext uri="{147F2762-F138-4A5C-976F-8EAC2B608ADB}">
              <a16:predDERef xmlns:a16="http://schemas.microsoft.com/office/drawing/2014/main" pred="{9D6C60BD-469B-4AAD-B851-E80D51153D11}"/>
            </a:ext>
          </a:extLst>
        </xdr:cNvPr>
        <xdr:cNvCxnSpPr>
          <a:cxnSpLocks/>
        </xdr:cNvCxnSpPr>
      </xdr:nvCxnSpPr>
      <xdr:spPr>
        <a:xfrm>
          <a:off x="10340340" y="8991600"/>
          <a:ext cx="1455420" cy="30480"/>
        </a:xfrm>
        <a:prstGeom prst="line">
          <a:avLst/>
        </a:prstGeom>
        <a:ln w="28575">
          <a:solidFill>
            <a:srgbClr val="4472C4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129540</xdr:colOff>
      <xdr:row>22</xdr:row>
      <xdr:rowOff>68580</xdr:rowOff>
    </xdr:from>
    <xdr:to>
      <xdr:col>11</xdr:col>
      <xdr:colOff>251460</xdr:colOff>
      <xdr:row>32</xdr:row>
      <xdr:rowOff>175260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9978848B-BDE2-4DB2-BEB3-52DA8FE4E2A2}"/>
            </a:ext>
          </a:extLst>
        </xdr:cNvPr>
        <xdr:cNvSpPr txBox="1"/>
      </xdr:nvSpPr>
      <xdr:spPr>
        <a:xfrm>
          <a:off x="8420100" y="4229100"/>
          <a:ext cx="5920740" cy="193548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 u="sng">
              <a:solidFill>
                <a:schemeClr val="bg1"/>
              </a:solidFill>
            </a:rPr>
            <a:t>Ce que j'ai cru comprendre</a:t>
          </a:r>
        </a:p>
        <a:p>
          <a:pPr algn="l"/>
          <a:r>
            <a:rPr lang="fr-FR" sz="1100" b="1">
              <a:solidFill>
                <a:schemeClr val="bg1"/>
              </a:solidFill>
            </a:rPr>
            <a:t>- Le </a:t>
          </a:r>
          <a:r>
            <a:rPr lang="fr-FR" sz="1100" b="1" u="sng">
              <a:solidFill>
                <a:schemeClr val="bg1"/>
              </a:solidFill>
            </a:rPr>
            <a:t>couple</a:t>
          </a:r>
          <a:r>
            <a:rPr lang="fr-FR" sz="1100" b="1">
              <a:solidFill>
                <a:schemeClr val="bg1"/>
              </a:solidFill>
            </a:rPr>
            <a:t> et le </a:t>
          </a:r>
          <a:r>
            <a:rPr lang="fr-FR" sz="1100" b="1" u="sng">
              <a:solidFill>
                <a:schemeClr val="bg1"/>
              </a:solidFill>
            </a:rPr>
            <a:t>Mt</a:t>
          </a:r>
          <a:r>
            <a:rPr lang="fr-FR" sz="1100" b="1">
              <a:solidFill>
                <a:schemeClr val="bg1"/>
              </a:solidFill>
            </a:rPr>
            <a:t> c'est</a:t>
          </a:r>
          <a:r>
            <a:rPr lang="fr-FR" sz="1100" b="1" baseline="0">
              <a:solidFill>
                <a:schemeClr val="bg1"/>
              </a:solidFill>
            </a:rPr>
            <a:t> la même chose dans cette 1ère partie.</a:t>
          </a:r>
        </a:p>
        <a:p>
          <a:pPr algn="l"/>
          <a:r>
            <a:rPr lang="fr-FR" sz="1100" b="1" baseline="0">
              <a:solidFill>
                <a:schemeClr val="bg1"/>
              </a:solidFill>
            </a:rPr>
            <a:t>- Rpg et Rpeg c'est la même chose. (erreur de notation du prof dans son cours)</a:t>
          </a:r>
        </a:p>
        <a:p>
          <a:pPr algn="l"/>
          <a:endParaRPr lang="fr-FR" sz="1100" b="1" baseline="0">
            <a:solidFill>
              <a:schemeClr val="bg1"/>
            </a:solidFill>
          </a:endParaRPr>
        </a:p>
        <a:p>
          <a:pPr algn="ctr"/>
          <a:r>
            <a:rPr lang="fr-FR" sz="1200" b="1" i="1" baseline="0">
              <a:solidFill>
                <a:schemeClr val="bg1"/>
              </a:solidFill>
            </a:rPr>
            <a:t>Faites bien attention à vos dimensions !</a:t>
          </a:r>
        </a:p>
        <a:p>
          <a:r>
            <a:rPr lang="fr-FR" sz="1200" b="1" u="sng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Attention: </a:t>
          </a:r>
          <a:endParaRPr lang="fr-FR" sz="1400" b="1">
            <a:solidFill>
              <a:schemeClr val="bg1"/>
            </a:solidFill>
            <a:effectLst/>
          </a:endParaRPr>
        </a:p>
        <a:p>
          <a:r>
            <a:rPr lang="fr-FR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 Virgules</a:t>
          </a:r>
          <a:r>
            <a:rPr lang="fr-FR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mais pas de points dans vos calculs (jsp pourquoi ça ne marche pas coreectement sinon)</a:t>
          </a:r>
          <a:endParaRPr lang="fr-FR" sz="1200" b="1">
            <a:solidFill>
              <a:schemeClr val="bg1"/>
            </a:solidFill>
            <a:effectLst/>
          </a:endParaRPr>
        </a:p>
        <a:p>
          <a:r>
            <a:rPr lang="fr-FR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 Utilisation de Nmm pour avoir les contraintes en MPa</a:t>
          </a:r>
          <a:endParaRPr lang="fr-FR" sz="1200" b="1">
            <a:solidFill>
              <a:schemeClr val="bg1"/>
            </a:solidFill>
            <a:effectLst/>
          </a:endParaRPr>
        </a:p>
        <a:p>
          <a:r>
            <a:rPr lang="fr-FR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Nm*1000=Nmm</a:t>
          </a:r>
          <a:endParaRPr lang="fr-FR" sz="1200" b="1">
            <a:solidFill>
              <a:schemeClr val="bg1"/>
            </a:solidFill>
            <a:effectLst/>
          </a:endParaRPr>
        </a:p>
        <a:p>
          <a:pPr algn="ctr"/>
          <a:endParaRPr lang="fr-FR" sz="1200" b="1" i="1" baseline="0">
            <a:solidFill>
              <a:schemeClr val="bg1"/>
            </a:solidFill>
          </a:endParaRPr>
        </a:p>
        <a:p>
          <a:pPr algn="l"/>
          <a:endParaRPr lang="fr-FR" sz="1100" baseline="0"/>
        </a:p>
      </xdr:txBody>
    </xdr:sp>
    <xdr:clientData/>
  </xdr:twoCellAnchor>
  <xdr:twoCellAnchor>
    <xdr:from>
      <xdr:col>3</xdr:col>
      <xdr:colOff>982980</xdr:colOff>
      <xdr:row>89</xdr:row>
      <xdr:rowOff>0</xdr:rowOff>
    </xdr:from>
    <xdr:to>
      <xdr:col>7</xdr:col>
      <xdr:colOff>1143000</xdr:colOff>
      <xdr:row>90</xdr:row>
      <xdr:rowOff>182880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2C8D61FE-9E7F-4BB7-84FB-4BC4CEE01C89}"/>
            </a:ext>
          </a:extLst>
        </xdr:cNvPr>
        <xdr:cNvSpPr txBox="1"/>
      </xdr:nvSpPr>
      <xdr:spPr>
        <a:xfrm>
          <a:off x="5151120" y="16992600"/>
          <a:ext cx="5722620" cy="365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 b="1" u="sng">
              <a:solidFill>
                <a:srgbClr val="FF0000"/>
              </a:solidFill>
            </a:rPr>
            <a:t>C'est une méthode différente pour avoir la contrainte de Von Mises</a:t>
          </a:r>
        </a:p>
      </xdr:txBody>
    </xdr:sp>
    <xdr:clientData/>
  </xdr:twoCellAnchor>
  <xdr:twoCellAnchor>
    <xdr:from>
      <xdr:col>7</xdr:col>
      <xdr:colOff>175260</xdr:colOff>
      <xdr:row>48</xdr:row>
      <xdr:rowOff>45720</xdr:rowOff>
    </xdr:from>
    <xdr:to>
      <xdr:col>8</xdr:col>
      <xdr:colOff>561975</xdr:colOff>
      <xdr:row>54</xdr:row>
      <xdr:rowOff>156210</xdr:rowOff>
    </xdr:to>
    <xdr:cxnSp macro="">
      <xdr:nvCxnSpPr>
        <xdr:cNvPr id="56" name="Lien droit 55">
          <a:extLst>
            <a:ext uri="{FF2B5EF4-FFF2-40B4-BE49-F238E27FC236}">
              <a16:creationId xmlns:a16="http://schemas.microsoft.com/office/drawing/2014/main" id="{CB0800CF-ECF0-4CA5-A2D0-002F56A49ECF}"/>
            </a:ext>
            <a:ext uri="{147F2762-F138-4A5C-976F-8EAC2B608ADB}">
              <a16:predDERef xmlns:a16="http://schemas.microsoft.com/office/drawing/2014/main" pred="{9D6C60BD-469B-4AAD-B851-E80D51153D11}"/>
            </a:ext>
          </a:extLst>
        </xdr:cNvPr>
        <xdr:cNvCxnSpPr>
          <a:cxnSpLocks/>
        </xdr:cNvCxnSpPr>
      </xdr:nvCxnSpPr>
      <xdr:spPr>
        <a:xfrm>
          <a:off x="9906000" y="9334500"/>
          <a:ext cx="1544955" cy="1207770"/>
        </a:xfrm>
        <a:prstGeom prst="line">
          <a:avLst/>
        </a:prstGeom>
        <a:ln w="28575">
          <a:solidFill>
            <a:srgbClr val="4472C4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690281</xdr:colOff>
      <xdr:row>0</xdr:row>
      <xdr:rowOff>0</xdr:rowOff>
    </xdr:from>
    <xdr:to>
      <xdr:col>12</xdr:col>
      <xdr:colOff>373235</xdr:colOff>
      <xdr:row>11</xdr:row>
      <xdr:rowOff>178002</xdr:rowOff>
    </xdr:to>
    <xdr:pic>
      <xdr:nvPicPr>
        <xdr:cNvPr id="18" name="Image 1">
          <a:extLst>
            <a:ext uri="{FF2B5EF4-FFF2-40B4-BE49-F238E27FC236}">
              <a16:creationId xmlns:a16="http://schemas.microsoft.com/office/drawing/2014/main" id="{58D98875-A06D-4EC1-B37C-E9DF5FDB6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9910" y="0"/>
          <a:ext cx="5769429" cy="2349702"/>
        </a:xfrm>
        <a:prstGeom prst="rect">
          <a:avLst/>
        </a:prstGeom>
      </xdr:spPr>
    </xdr:pic>
    <xdr:clientData/>
  </xdr:twoCellAnchor>
  <xdr:twoCellAnchor editAs="oneCell">
    <xdr:from>
      <xdr:col>5</xdr:col>
      <xdr:colOff>193963</xdr:colOff>
      <xdr:row>14</xdr:row>
      <xdr:rowOff>83129</xdr:rowOff>
    </xdr:from>
    <xdr:to>
      <xdr:col>17</xdr:col>
      <xdr:colOff>89410</xdr:colOff>
      <xdr:row>30</xdr:row>
      <xdr:rowOff>122794</xdr:rowOff>
    </xdr:to>
    <xdr:pic>
      <xdr:nvPicPr>
        <xdr:cNvPr id="10" name="Image 5">
          <a:extLst>
            <a:ext uri="{FF2B5EF4-FFF2-40B4-BE49-F238E27FC236}">
              <a16:creationId xmlns:a16="http://schemas.microsoft.com/office/drawing/2014/main" id="{59E7B245-7A16-49B2-B55D-86C6A41F7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69527" y="2590802"/>
          <a:ext cx="7210647" cy="3173390"/>
        </a:xfrm>
        <a:prstGeom prst="rect">
          <a:avLst/>
        </a:prstGeom>
      </xdr:spPr>
    </xdr:pic>
    <xdr:clientData/>
  </xdr:twoCellAnchor>
  <xdr:twoCellAnchor editAs="oneCell">
    <xdr:from>
      <xdr:col>3</xdr:col>
      <xdr:colOff>387928</xdr:colOff>
      <xdr:row>34</xdr:row>
      <xdr:rowOff>0</xdr:rowOff>
    </xdr:from>
    <xdr:to>
      <xdr:col>14</xdr:col>
      <xdr:colOff>293684</xdr:colOff>
      <xdr:row>38</xdr:row>
      <xdr:rowOff>238262</xdr:rowOff>
    </xdr:to>
    <xdr:pic>
      <xdr:nvPicPr>
        <xdr:cNvPr id="12" name="Image 6">
          <a:extLst>
            <a:ext uri="{FF2B5EF4-FFF2-40B4-BE49-F238E27FC236}">
              <a16:creationId xmlns:a16="http://schemas.microsoft.com/office/drawing/2014/main" id="{4AC1A231-AC18-4B4C-8F9A-9ECE0C4C1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62401" y="6511636"/>
          <a:ext cx="7211431" cy="981212"/>
        </a:xfrm>
        <a:prstGeom prst="rect">
          <a:avLst/>
        </a:prstGeom>
      </xdr:spPr>
    </xdr:pic>
    <xdr:clientData/>
  </xdr:twoCellAnchor>
  <xdr:twoCellAnchor editAs="oneCell">
    <xdr:from>
      <xdr:col>3</xdr:col>
      <xdr:colOff>468086</xdr:colOff>
      <xdr:row>42</xdr:row>
      <xdr:rowOff>85107</xdr:rowOff>
    </xdr:from>
    <xdr:to>
      <xdr:col>14</xdr:col>
      <xdr:colOff>358858</xdr:colOff>
      <xdr:row>56</xdr:row>
      <xdr:rowOff>166384</xdr:rowOff>
    </xdr:to>
    <xdr:pic>
      <xdr:nvPicPr>
        <xdr:cNvPr id="16" name="Image 7">
          <a:extLst>
            <a:ext uri="{FF2B5EF4-FFF2-40B4-BE49-F238E27FC236}">
              <a16:creationId xmlns:a16="http://schemas.microsoft.com/office/drawing/2014/main" id="{5E4112FC-AC24-4039-8A66-4264E9D9D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27715" y="8412678"/>
          <a:ext cx="7196447" cy="2872102"/>
        </a:xfrm>
        <a:prstGeom prst="rect">
          <a:avLst/>
        </a:prstGeom>
      </xdr:spPr>
    </xdr:pic>
    <xdr:clientData/>
  </xdr:twoCellAnchor>
  <xdr:twoCellAnchor editAs="oneCell">
    <xdr:from>
      <xdr:col>3</xdr:col>
      <xdr:colOff>424544</xdr:colOff>
      <xdr:row>58</xdr:row>
      <xdr:rowOff>123395</xdr:rowOff>
    </xdr:from>
    <xdr:to>
      <xdr:col>12</xdr:col>
      <xdr:colOff>270782</xdr:colOff>
      <xdr:row>75</xdr:row>
      <xdr:rowOff>137956</xdr:rowOff>
    </xdr:to>
    <xdr:pic>
      <xdr:nvPicPr>
        <xdr:cNvPr id="14" name="Image 8">
          <a:extLst>
            <a:ext uri="{FF2B5EF4-FFF2-40B4-BE49-F238E27FC236}">
              <a16:creationId xmlns:a16="http://schemas.microsoft.com/office/drawing/2014/main" id="{5A65DA38-8EFB-4981-950E-B9E3DBC74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84173" y="11553395"/>
          <a:ext cx="5932713" cy="336736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14</xdr:col>
      <xdr:colOff>601073</xdr:colOff>
      <xdr:row>85</xdr:row>
      <xdr:rowOff>181208</xdr:rowOff>
    </xdr:to>
    <xdr:pic>
      <xdr:nvPicPr>
        <xdr:cNvPr id="22" name="Image 9">
          <a:extLst>
            <a:ext uri="{FF2B5EF4-FFF2-40B4-BE49-F238E27FC236}">
              <a16:creationId xmlns:a16="http://schemas.microsoft.com/office/drawing/2014/main" id="{F104D8A9-18A2-4B54-BEDF-E2B03AC02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54286" y="16002000"/>
          <a:ext cx="7154273" cy="1667108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476251</xdr:colOff>
      <xdr:row>92</xdr:row>
      <xdr:rowOff>53068</xdr:rowOff>
    </xdr:from>
    <xdr:to>
      <xdr:col>16</xdr:col>
      <xdr:colOff>33117</xdr:colOff>
      <xdr:row>101</xdr:row>
      <xdr:rowOff>282730</xdr:rowOff>
    </xdr:to>
    <xdr:pic>
      <xdr:nvPicPr>
        <xdr:cNvPr id="6" name="Image 24">
          <a:extLst>
            <a:ext uri="{FF2B5EF4-FFF2-40B4-BE49-F238E27FC236}">
              <a16:creationId xmlns:a16="http://schemas.microsoft.com/office/drawing/2014/main" id="{46562792-7881-4B42-B567-ECFD61243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08765" y="18896239"/>
          <a:ext cx="7329266" cy="2334687"/>
        </a:xfrm>
        <a:prstGeom prst="rect">
          <a:avLst/>
        </a:prstGeom>
      </xdr:spPr>
    </xdr:pic>
    <xdr:clientData/>
  </xdr:twoCellAnchor>
  <xdr:twoCellAnchor>
    <xdr:from>
      <xdr:col>3</xdr:col>
      <xdr:colOff>239485</xdr:colOff>
      <xdr:row>89</xdr:row>
      <xdr:rowOff>32657</xdr:rowOff>
    </xdr:from>
    <xdr:to>
      <xdr:col>4</xdr:col>
      <xdr:colOff>326572</xdr:colOff>
      <xdr:row>106</xdr:row>
      <xdr:rowOff>108857</xdr:rowOff>
    </xdr:to>
    <xdr:sp macro="" textlink="">
      <xdr:nvSpPr>
        <xdr:cNvPr id="2" name="Flèche : courbe vers la gauche 1">
          <a:extLst>
            <a:ext uri="{FF2B5EF4-FFF2-40B4-BE49-F238E27FC236}">
              <a16:creationId xmlns:a16="http://schemas.microsoft.com/office/drawing/2014/main" id="{021926D9-2555-4F85-A01A-A895664C4509}"/>
            </a:ext>
          </a:extLst>
        </xdr:cNvPr>
        <xdr:cNvSpPr/>
      </xdr:nvSpPr>
      <xdr:spPr>
        <a:xfrm>
          <a:off x="3799114" y="18320657"/>
          <a:ext cx="859972" cy="3777343"/>
        </a:xfrm>
        <a:prstGeom prst="curved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152401</xdr:colOff>
      <xdr:row>103</xdr:row>
      <xdr:rowOff>10885</xdr:rowOff>
    </xdr:from>
    <xdr:to>
      <xdr:col>7</xdr:col>
      <xdr:colOff>326572</xdr:colOff>
      <xdr:row>107</xdr:row>
      <xdr:rowOff>87086</xdr:rowOff>
    </xdr:to>
    <xdr:sp macro="" textlink="">
      <xdr:nvSpPr>
        <xdr:cNvPr id="11" name="ZoneTexte 2">
          <a:extLst>
            <a:ext uri="{FF2B5EF4-FFF2-40B4-BE49-F238E27FC236}">
              <a16:creationId xmlns:a16="http://schemas.microsoft.com/office/drawing/2014/main" id="{AE24D145-B8BB-4621-80C3-106D5FAB2C20}"/>
            </a:ext>
          </a:extLst>
        </xdr:cNvPr>
        <xdr:cNvSpPr txBox="1"/>
      </xdr:nvSpPr>
      <xdr:spPr>
        <a:xfrm>
          <a:off x="4484915" y="21477514"/>
          <a:ext cx="2514600" cy="84908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/>
            <a:t>To à rentrer selon si tu as une courroie trapez ou plate</a:t>
          </a:r>
        </a:p>
      </xdr:txBody>
    </xdr:sp>
    <xdr:clientData/>
  </xdr:twoCellAnchor>
  <xdr:twoCellAnchor editAs="oneCell">
    <xdr:from>
      <xdr:col>4</xdr:col>
      <xdr:colOff>76201</xdr:colOff>
      <xdr:row>110</xdr:row>
      <xdr:rowOff>54429</xdr:rowOff>
    </xdr:from>
    <xdr:to>
      <xdr:col>12</xdr:col>
      <xdr:colOff>337458</xdr:colOff>
      <xdr:row>127</xdr:row>
      <xdr:rowOff>161002</xdr:rowOff>
    </xdr:to>
    <xdr:pic>
      <xdr:nvPicPr>
        <xdr:cNvPr id="9" name="Image 4">
          <a:extLst>
            <a:ext uri="{FF2B5EF4-FFF2-40B4-BE49-F238E27FC236}">
              <a16:creationId xmlns:a16="http://schemas.microsoft.com/office/drawing/2014/main" id="{40C52DD8-3CFC-4393-B1FA-1C94492C3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08715" y="22870886"/>
          <a:ext cx="5595257" cy="3506998"/>
        </a:xfrm>
        <a:prstGeom prst="rect">
          <a:avLst/>
        </a:prstGeom>
      </xdr:spPr>
    </xdr:pic>
    <xdr:clientData/>
  </xdr:twoCellAnchor>
  <xdr:twoCellAnchor>
    <xdr:from>
      <xdr:col>12</xdr:col>
      <xdr:colOff>598715</xdr:colOff>
      <xdr:row>3</xdr:row>
      <xdr:rowOff>10885</xdr:rowOff>
    </xdr:from>
    <xdr:to>
      <xdr:col>18</xdr:col>
      <xdr:colOff>359229</xdr:colOff>
      <xdr:row>8</xdr:row>
      <xdr:rowOff>163285</xdr:rowOff>
    </xdr:to>
    <xdr:sp macro="" textlink="">
      <xdr:nvSpPr>
        <xdr:cNvPr id="109" name="ZoneTexte 5">
          <a:extLst>
            <a:ext uri="{FF2B5EF4-FFF2-40B4-BE49-F238E27FC236}">
              <a16:creationId xmlns:a16="http://schemas.microsoft.com/office/drawing/2014/main" id="{319AE733-9A5F-47F8-B96C-E745F7AD6909}"/>
            </a:ext>
          </a:extLst>
        </xdr:cNvPr>
        <xdr:cNvSpPr txBox="1"/>
      </xdr:nvSpPr>
      <xdr:spPr>
        <a:xfrm>
          <a:off x="10374086" y="664028"/>
          <a:ext cx="3483429" cy="107768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100"/>
            <a:t>Rad en deg   =&gt;      Rad = Deg*(pi/180)</a:t>
          </a:r>
        </a:p>
        <a:p>
          <a:pPr algn="ctr"/>
          <a:endParaRPr lang="fr-FR" sz="1100"/>
        </a:p>
        <a:p>
          <a:pPr algn="ctr"/>
          <a:endParaRPr lang="fr-FR" sz="1100"/>
        </a:p>
        <a:p>
          <a:pPr algn="ctr"/>
          <a:r>
            <a:rPr lang="fr-FR" sz="1100"/>
            <a:t>Deg en Rad   =&gt;      Deg = Rad*(180/pi)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</xdr:row>
      <xdr:rowOff>15240</xdr:rowOff>
    </xdr:from>
    <xdr:to>
      <xdr:col>3</xdr:col>
      <xdr:colOff>129540</xdr:colOff>
      <xdr:row>2</xdr:row>
      <xdr:rowOff>175260</xdr:rowOff>
    </xdr:to>
    <xdr:sp macro="" textlink="">
      <xdr:nvSpPr>
        <xdr:cNvPr id="46" name="ZoneTexte 1">
          <a:extLst>
            <a:ext uri="{FF2B5EF4-FFF2-40B4-BE49-F238E27FC236}">
              <a16:creationId xmlns:a16="http://schemas.microsoft.com/office/drawing/2014/main" id="{2F1F1906-B604-401C-BE89-DCD2140DE215}"/>
            </a:ext>
          </a:extLst>
        </xdr:cNvPr>
        <xdr:cNvSpPr txBox="1"/>
      </xdr:nvSpPr>
      <xdr:spPr>
        <a:xfrm>
          <a:off x="83820" y="198120"/>
          <a:ext cx="187452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Chapitre</a:t>
          </a:r>
          <a:r>
            <a:rPr lang="fr-FR" sz="1100" b="1" baseline="0"/>
            <a:t> 5 : Ressors</a:t>
          </a:r>
        </a:p>
        <a:p>
          <a:endParaRPr lang="fr-FR" sz="1100" b="1"/>
        </a:p>
      </xdr:txBody>
    </xdr:sp>
    <xdr:clientData/>
  </xdr:twoCellAnchor>
  <xdr:twoCellAnchor>
    <xdr:from>
      <xdr:col>0</xdr:col>
      <xdr:colOff>137160</xdr:colOff>
      <xdr:row>4</xdr:row>
      <xdr:rowOff>76200</xdr:rowOff>
    </xdr:from>
    <xdr:to>
      <xdr:col>3</xdr:col>
      <xdr:colOff>541020</xdr:colOff>
      <xdr:row>11</xdr:row>
      <xdr:rowOff>167640</xdr:rowOff>
    </xdr:to>
    <xdr:sp macro="" textlink="">
      <xdr:nvSpPr>
        <xdr:cNvPr id="178" name="ZoneTexte 2">
          <a:extLst>
            <a:ext uri="{FF2B5EF4-FFF2-40B4-BE49-F238E27FC236}">
              <a16:creationId xmlns:a16="http://schemas.microsoft.com/office/drawing/2014/main" id="{532CD135-EB90-4F6E-AD8E-D03E2A4A5ACB}"/>
            </a:ext>
          </a:extLst>
        </xdr:cNvPr>
        <xdr:cNvSpPr txBox="1"/>
      </xdr:nvSpPr>
      <xdr:spPr>
        <a:xfrm>
          <a:off x="137160" y="807720"/>
          <a:ext cx="2232660" cy="137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Classement des ressors : </a:t>
          </a:r>
          <a:br>
            <a:rPr lang="fr-FR" sz="1100" b="1"/>
          </a:br>
          <a:br>
            <a:rPr lang="fr-FR" sz="1100" b="1"/>
          </a:br>
          <a:r>
            <a:rPr lang="fr-FR" sz="1100" b="1"/>
            <a:t>Haute élasticité </a:t>
          </a:r>
        </a:p>
        <a:p>
          <a:endParaRPr lang="fr-FR" sz="1100" b="1"/>
        </a:p>
        <a:p>
          <a:r>
            <a:rPr lang="fr-FR" sz="1100" b="1"/>
            <a:t>Elasticité</a:t>
          </a:r>
          <a:r>
            <a:rPr lang="fr-FR" sz="1100" b="1" baseline="0"/>
            <a:t> élevé</a:t>
          </a:r>
        </a:p>
        <a:p>
          <a:endParaRPr lang="fr-FR" sz="1100" b="1" baseline="0"/>
        </a:p>
        <a:p>
          <a:r>
            <a:rPr lang="fr-FR" sz="1100" b="1" baseline="0"/>
            <a:t>Faible module élasticité</a:t>
          </a:r>
        </a:p>
        <a:p>
          <a:endParaRPr lang="fr-FR" sz="1100" b="1" baseline="0"/>
        </a:p>
        <a:p>
          <a:endParaRPr lang="fr-FR" sz="1100" b="1" baseline="0"/>
        </a:p>
      </xdr:txBody>
    </xdr:sp>
    <xdr:clientData/>
  </xdr:twoCellAnchor>
  <xdr:twoCellAnchor editAs="oneCell">
    <xdr:from>
      <xdr:col>4</xdr:col>
      <xdr:colOff>365760</xdr:colOff>
      <xdr:row>1</xdr:row>
      <xdr:rowOff>7620</xdr:rowOff>
    </xdr:from>
    <xdr:to>
      <xdr:col>17</xdr:col>
      <xdr:colOff>526677</xdr:colOff>
      <xdr:row>27</xdr:row>
      <xdr:rowOff>159382</xdr:rowOff>
    </xdr:to>
    <xdr:pic>
      <xdr:nvPicPr>
        <xdr:cNvPr id="78" name="Image 3">
          <a:extLst>
            <a:ext uri="{FF2B5EF4-FFF2-40B4-BE49-F238E27FC236}">
              <a16:creationId xmlns:a16="http://schemas.microsoft.com/office/drawing/2014/main" id="{849A5D10-7EB1-42AC-A367-1FC659DDF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4160" y="190500"/>
          <a:ext cx="8066667" cy="510476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</xdr:row>
      <xdr:rowOff>167640</xdr:rowOff>
    </xdr:from>
    <xdr:to>
      <xdr:col>3</xdr:col>
      <xdr:colOff>167640</xdr:colOff>
      <xdr:row>37</xdr:row>
      <xdr:rowOff>99060</xdr:rowOff>
    </xdr:to>
    <xdr:sp macro="" textlink="">
      <xdr:nvSpPr>
        <xdr:cNvPr id="281" name="ZoneTexte 4">
          <a:extLst>
            <a:ext uri="{FF2B5EF4-FFF2-40B4-BE49-F238E27FC236}">
              <a16:creationId xmlns:a16="http://schemas.microsoft.com/office/drawing/2014/main" id="{1891494D-8F29-4466-B0B0-482EF7A84BC2}"/>
            </a:ext>
          </a:extLst>
        </xdr:cNvPr>
        <xdr:cNvSpPr txBox="1"/>
      </xdr:nvSpPr>
      <xdr:spPr>
        <a:xfrm>
          <a:off x="0" y="5836920"/>
          <a:ext cx="19964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Fréquence naturelle</a:t>
          </a:r>
          <a:r>
            <a:rPr lang="fr-FR" sz="1100" baseline="0"/>
            <a:t> de suspension : </a:t>
          </a:r>
          <a:br>
            <a:rPr lang="fr-FR" sz="1100" baseline="0"/>
          </a:br>
          <a:br>
            <a:rPr lang="fr-FR" sz="1100" baseline="0"/>
          </a:br>
          <a:r>
            <a:rPr lang="fr-FR" sz="1100" baseline="0"/>
            <a:t>(diminue avec la masse de la charge utile)</a:t>
          </a:r>
          <a:endParaRPr lang="fr-FR" sz="1100"/>
        </a:p>
      </xdr:txBody>
    </xdr:sp>
    <xdr:clientData/>
  </xdr:twoCellAnchor>
  <xdr:twoCellAnchor editAs="oneCell">
    <xdr:from>
      <xdr:col>10</xdr:col>
      <xdr:colOff>25549</xdr:colOff>
      <xdr:row>34</xdr:row>
      <xdr:rowOff>20171</xdr:rowOff>
    </xdr:from>
    <xdr:to>
      <xdr:col>12</xdr:col>
      <xdr:colOff>604669</xdr:colOff>
      <xdr:row>40</xdr:row>
      <xdr:rowOff>127225</xdr:rowOff>
    </xdr:to>
    <xdr:pic>
      <xdr:nvPicPr>
        <xdr:cNvPr id="276" name="Image 5">
          <a:extLst>
            <a:ext uri="{FF2B5EF4-FFF2-40B4-BE49-F238E27FC236}">
              <a16:creationId xmlns:a16="http://schemas.microsoft.com/office/drawing/2014/main" id="{4401F070-422C-490D-8DCA-193069BFB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1549" y="6143065"/>
          <a:ext cx="1798320" cy="125005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98611</xdr:colOff>
      <xdr:row>46</xdr:row>
      <xdr:rowOff>35859</xdr:rowOff>
    </xdr:from>
    <xdr:to>
      <xdr:col>4</xdr:col>
      <xdr:colOff>582705</xdr:colOff>
      <xdr:row>53</xdr:row>
      <xdr:rowOff>107576</xdr:rowOff>
    </xdr:to>
    <xdr:sp macro="" textlink="">
      <xdr:nvSpPr>
        <xdr:cNvPr id="498" name="ZoneTexte 6">
          <a:extLst>
            <a:ext uri="{FF2B5EF4-FFF2-40B4-BE49-F238E27FC236}">
              <a16:creationId xmlns:a16="http://schemas.microsoft.com/office/drawing/2014/main" id="{6ABE1176-45AD-491C-949F-3353429DAA51}"/>
            </a:ext>
          </a:extLst>
        </xdr:cNvPr>
        <xdr:cNvSpPr txBox="1"/>
      </xdr:nvSpPr>
      <xdr:spPr>
        <a:xfrm>
          <a:off x="98611" y="8319247"/>
          <a:ext cx="2922494" cy="13267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Corrections des contraintes théoriques :</a:t>
          </a:r>
          <a:br>
            <a:rPr lang="fr-FR" sz="1100"/>
          </a:br>
          <a:br>
            <a:rPr lang="fr-FR" sz="1100"/>
          </a:br>
          <a:r>
            <a:rPr lang="fr-FR" sz="1100"/>
            <a:t>Contrainte</a:t>
          </a:r>
          <a:r>
            <a:rPr lang="fr-FR" sz="1100" baseline="0"/>
            <a:t> maximale Tt est la même le long de l'hélice interne et externe</a:t>
          </a:r>
          <a:br>
            <a:rPr lang="fr-FR" sz="1100" baseline="0"/>
          </a:br>
          <a:br>
            <a:rPr lang="fr-FR" sz="1100" baseline="0"/>
          </a:br>
          <a:r>
            <a:rPr lang="fr-FR" sz="1100" baseline="0"/>
            <a:t>Contraine T à l'intérieur </a:t>
          </a:r>
          <a:br>
            <a:rPr lang="fr-FR" sz="1100" baseline="0"/>
          </a:br>
          <a:r>
            <a:rPr lang="fr-FR" sz="1100" baseline="0"/>
            <a:t>Te minimale à l'extérieur</a:t>
          </a:r>
          <a:r>
            <a:rPr lang="fr-FR" sz="1100"/>
            <a:t> </a:t>
          </a:r>
        </a:p>
      </xdr:txBody>
    </xdr:sp>
    <xdr:clientData/>
  </xdr:twoCellAnchor>
  <xdr:twoCellAnchor editAs="oneCell">
    <xdr:from>
      <xdr:col>0</xdr:col>
      <xdr:colOff>0</xdr:colOff>
      <xdr:row>56</xdr:row>
      <xdr:rowOff>35857</xdr:rowOff>
    </xdr:from>
    <xdr:to>
      <xdr:col>6</xdr:col>
      <xdr:colOff>475733</xdr:colOff>
      <xdr:row>71</xdr:row>
      <xdr:rowOff>178356</xdr:rowOff>
    </xdr:to>
    <xdr:pic>
      <xdr:nvPicPr>
        <xdr:cNvPr id="258" name="Image 7">
          <a:extLst>
            <a:ext uri="{FF2B5EF4-FFF2-40B4-BE49-F238E27FC236}">
              <a16:creationId xmlns:a16="http://schemas.microsoft.com/office/drawing/2014/main" id="{17040861-A090-462B-AE30-67DB8FD0E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139081"/>
          <a:ext cx="4133333" cy="30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484095</xdr:colOff>
      <xdr:row>50</xdr:row>
      <xdr:rowOff>161365</xdr:rowOff>
    </xdr:from>
    <xdr:to>
      <xdr:col>10</xdr:col>
      <xdr:colOff>585575</xdr:colOff>
      <xdr:row>52</xdr:row>
      <xdr:rowOff>186465</xdr:rowOff>
    </xdr:to>
    <xdr:pic>
      <xdr:nvPicPr>
        <xdr:cNvPr id="291" name="Image 9">
          <a:extLst>
            <a:ext uri="{FF2B5EF4-FFF2-40B4-BE49-F238E27FC236}">
              <a16:creationId xmlns:a16="http://schemas.microsoft.com/office/drawing/2014/main" id="{FEC817F4-EB82-4FAE-9E93-104799C8A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60895" y="9224683"/>
          <a:ext cx="1320680" cy="406100"/>
        </a:xfrm>
        <a:prstGeom prst="rect">
          <a:avLst/>
        </a:prstGeom>
      </xdr:spPr>
    </xdr:pic>
    <xdr:clientData/>
  </xdr:twoCellAnchor>
  <xdr:twoCellAnchor editAs="oneCell">
    <xdr:from>
      <xdr:col>14</xdr:col>
      <xdr:colOff>3</xdr:colOff>
      <xdr:row>52</xdr:row>
      <xdr:rowOff>26895</xdr:rowOff>
    </xdr:from>
    <xdr:to>
      <xdr:col>14</xdr:col>
      <xdr:colOff>600637</xdr:colOff>
      <xdr:row>54</xdr:row>
      <xdr:rowOff>37217</xdr:rowOff>
    </xdr:to>
    <xdr:pic>
      <xdr:nvPicPr>
        <xdr:cNvPr id="773" name="Image 10">
          <a:extLst>
            <a:ext uri="{FF2B5EF4-FFF2-40B4-BE49-F238E27FC236}">
              <a16:creationId xmlns:a16="http://schemas.microsoft.com/office/drawing/2014/main" id="{B27D7AD8-DE06-4EAA-B056-D19ED692F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34403" y="9466730"/>
          <a:ext cx="600634" cy="391322"/>
        </a:xfrm>
        <a:prstGeom prst="rect">
          <a:avLst/>
        </a:prstGeom>
      </xdr:spPr>
    </xdr:pic>
    <xdr:clientData/>
  </xdr:twoCellAnchor>
  <xdr:twoCellAnchor editAs="oneCell">
    <xdr:from>
      <xdr:col>8</xdr:col>
      <xdr:colOff>519952</xdr:colOff>
      <xdr:row>56</xdr:row>
      <xdr:rowOff>35859</xdr:rowOff>
    </xdr:from>
    <xdr:to>
      <xdr:col>11</xdr:col>
      <xdr:colOff>1792</xdr:colOff>
      <xdr:row>58</xdr:row>
      <xdr:rowOff>40341</xdr:rowOff>
    </xdr:to>
    <xdr:pic>
      <xdr:nvPicPr>
        <xdr:cNvPr id="290" name="Image 11">
          <a:extLst>
            <a:ext uri="{FF2B5EF4-FFF2-40B4-BE49-F238E27FC236}">
              <a16:creationId xmlns:a16="http://schemas.microsoft.com/office/drawing/2014/main" id="{EE8D2AE0-2568-460C-9526-FDBCE3B7C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96752" y="10210800"/>
          <a:ext cx="1310640" cy="385482"/>
        </a:xfrm>
        <a:prstGeom prst="rect">
          <a:avLst/>
        </a:prstGeom>
      </xdr:spPr>
    </xdr:pic>
    <xdr:clientData/>
  </xdr:twoCellAnchor>
  <xdr:twoCellAnchor editAs="oneCell">
    <xdr:from>
      <xdr:col>9</xdr:col>
      <xdr:colOff>385480</xdr:colOff>
      <xdr:row>62</xdr:row>
      <xdr:rowOff>84533</xdr:rowOff>
    </xdr:from>
    <xdr:to>
      <xdr:col>12</xdr:col>
      <xdr:colOff>26891</xdr:colOff>
      <xdr:row>66</xdr:row>
      <xdr:rowOff>34666</xdr:rowOff>
    </xdr:to>
    <xdr:pic>
      <xdr:nvPicPr>
        <xdr:cNvPr id="289" name="Image 12">
          <a:extLst>
            <a:ext uri="{FF2B5EF4-FFF2-40B4-BE49-F238E27FC236}">
              <a16:creationId xmlns:a16="http://schemas.microsoft.com/office/drawing/2014/main" id="{B64A0B37-5113-4C48-B892-6AC8E6719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71880" y="11371098"/>
          <a:ext cx="1470211" cy="712133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48</xdr:row>
      <xdr:rowOff>-1</xdr:rowOff>
    </xdr:from>
    <xdr:to>
      <xdr:col>19</xdr:col>
      <xdr:colOff>224118</xdr:colOff>
      <xdr:row>50</xdr:row>
      <xdr:rowOff>143434</xdr:rowOff>
    </xdr:to>
    <xdr:sp macro="" textlink="">
      <xdr:nvSpPr>
        <xdr:cNvPr id="455" name="ZoneTexte 13">
          <a:extLst>
            <a:ext uri="{FF2B5EF4-FFF2-40B4-BE49-F238E27FC236}">
              <a16:creationId xmlns:a16="http://schemas.microsoft.com/office/drawing/2014/main" id="{8FB04698-A2A3-48A0-80F5-C18AEEF95B3C}"/>
            </a:ext>
          </a:extLst>
        </xdr:cNvPr>
        <xdr:cNvSpPr txBox="1"/>
      </xdr:nvSpPr>
      <xdr:spPr>
        <a:xfrm>
          <a:off x="9601200" y="8668870"/>
          <a:ext cx="2205318" cy="5378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 b="1">
              <a:solidFill>
                <a:srgbClr val="FF0000"/>
              </a:solidFill>
            </a:rPr>
            <a:t>A remplir en premier : </a:t>
          </a:r>
        </a:p>
      </xdr:txBody>
    </xdr:sp>
    <xdr:clientData/>
  </xdr:twoCellAnchor>
  <xdr:twoCellAnchor>
    <xdr:from>
      <xdr:col>0</xdr:col>
      <xdr:colOff>0</xdr:colOff>
      <xdr:row>76</xdr:row>
      <xdr:rowOff>8965</xdr:rowOff>
    </xdr:from>
    <xdr:to>
      <xdr:col>5</xdr:col>
      <xdr:colOff>600634</xdr:colOff>
      <xdr:row>85</xdr:row>
      <xdr:rowOff>0</xdr:rowOff>
    </xdr:to>
    <xdr:sp macro="" textlink="">
      <xdr:nvSpPr>
        <xdr:cNvPr id="658" name="ZoneTexte 14">
          <a:extLst>
            <a:ext uri="{FF2B5EF4-FFF2-40B4-BE49-F238E27FC236}">
              <a16:creationId xmlns:a16="http://schemas.microsoft.com/office/drawing/2014/main" id="{673F981D-50EA-4E9D-BA25-831021939C97}"/>
            </a:ext>
          </a:extLst>
        </xdr:cNvPr>
        <xdr:cNvSpPr txBox="1"/>
      </xdr:nvSpPr>
      <xdr:spPr>
        <a:xfrm>
          <a:off x="0" y="13868400"/>
          <a:ext cx="3648634" cy="16046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Dimensionement</a:t>
          </a:r>
          <a:r>
            <a:rPr lang="fr-FR" sz="1100" b="1" baseline="0"/>
            <a:t> du ressort : </a:t>
          </a:r>
        </a:p>
        <a:p>
          <a:endParaRPr lang="fr-FR" sz="1100" b="1" baseline="0"/>
        </a:p>
        <a:p>
          <a:r>
            <a:rPr lang="fr-FR" sz="1100" b="0" baseline="0"/>
            <a:t>- Doit être dimensionement en fonction de la contrainte tangentielle maximale Tadm. </a:t>
          </a:r>
          <a:br>
            <a:rPr lang="fr-FR" sz="1100" b="0" baseline="0"/>
          </a:br>
          <a:br>
            <a:rPr lang="fr-FR" sz="1100" b="0" baseline="0"/>
          </a:br>
          <a:br>
            <a:rPr lang="fr-FR" sz="1100" b="0" baseline="0"/>
          </a:br>
          <a:r>
            <a:rPr lang="fr-FR" sz="1100" b="0" baseline="0"/>
            <a:t>A respecter :       </a:t>
          </a:r>
          <a:r>
            <a:rPr lang="fr-FR" sz="1100" b="1" baseline="0"/>
            <a:t>Tmax &lt; Tadm</a:t>
          </a:r>
          <a:endParaRPr lang="fr-FR" sz="1100" b="1"/>
        </a:p>
      </xdr:txBody>
    </xdr:sp>
    <xdr:clientData/>
  </xdr:twoCellAnchor>
  <xdr:twoCellAnchor>
    <xdr:from>
      <xdr:col>3</xdr:col>
      <xdr:colOff>80682</xdr:colOff>
      <xdr:row>78</xdr:row>
      <xdr:rowOff>161365</xdr:rowOff>
    </xdr:from>
    <xdr:to>
      <xdr:col>6</xdr:col>
      <xdr:colOff>0</xdr:colOff>
      <xdr:row>82</xdr:row>
      <xdr:rowOff>53788</xdr:rowOff>
    </xdr:to>
    <xdr:cxnSp macro="">
      <xdr:nvCxnSpPr>
        <xdr:cNvPr id="660" name="Connecteur droit avec flèche 16">
          <a:extLst>
            <a:ext uri="{FF2B5EF4-FFF2-40B4-BE49-F238E27FC236}">
              <a16:creationId xmlns:a16="http://schemas.microsoft.com/office/drawing/2014/main" id="{F8B120B6-845F-4124-85F8-FAD4DEC11272}"/>
            </a:ext>
          </a:extLst>
        </xdr:cNvPr>
        <xdr:cNvCxnSpPr/>
      </xdr:nvCxnSpPr>
      <xdr:spPr>
        <a:xfrm flipV="1">
          <a:off x="1909482" y="14388353"/>
          <a:ext cx="1748118" cy="63649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82</xdr:row>
      <xdr:rowOff>116541</xdr:rowOff>
    </xdr:from>
    <xdr:to>
      <xdr:col>2</xdr:col>
      <xdr:colOff>8965</xdr:colOff>
      <xdr:row>85</xdr:row>
      <xdr:rowOff>107577</xdr:rowOff>
    </xdr:to>
    <xdr:cxnSp macro="">
      <xdr:nvCxnSpPr>
        <xdr:cNvPr id="662" name="Connecteur droit avec flèche 18">
          <a:extLst>
            <a:ext uri="{FF2B5EF4-FFF2-40B4-BE49-F238E27FC236}">
              <a16:creationId xmlns:a16="http://schemas.microsoft.com/office/drawing/2014/main" id="{31A3360F-D49E-47DE-B665-0B0C07173318}"/>
            </a:ext>
          </a:extLst>
        </xdr:cNvPr>
        <xdr:cNvCxnSpPr/>
      </xdr:nvCxnSpPr>
      <xdr:spPr>
        <a:xfrm>
          <a:off x="1219200" y="15087600"/>
          <a:ext cx="8965" cy="52891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116541</xdr:colOff>
      <xdr:row>87</xdr:row>
      <xdr:rowOff>53788</xdr:rowOff>
    </xdr:from>
    <xdr:to>
      <xdr:col>3</xdr:col>
      <xdr:colOff>2027</xdr:colOff>
      <xdr:row>90</xdr:row>
      <xdr:rowOff>177526</xdr:rowOff>
    </xdr:to>
    <xdr:pic>
      <xdr:nvPicPr>
        <xdr:cNvPr id="664" name="Image 19">
          <a:extLst>
            <a:ext uri="{FF2B5EF4-FFF2-40B4-BE49-F238E27FC236}">
              <a16:creationId xmlns:a16="http://schemas.microsoft.com/office/drawing/2014/main" id="{721ED582-5447-4E1A-AF96-4050BC338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6541" y="15948212"/>
          <a:ext cx="1714286" cy="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8965</xdr:colOff>
      <xdr:row>95</xdr:row>
      <xdr:rowOff>53788</xdr:rowOff>
    </xdr:from>
    <xdr:to>
      <xdr:col>3</xdr:col>
      <xdr:colOff>0</xdr:colOff>
      <xdr:row>99</xdr:row>
      <xdr:rowOff>59900</xdr:rowOff>
    </xdr:to>
    <xdr:pic>
      <xdr:nvPicPr>
        <xdr:cNvPr id="668" name="Image 20">
          <a:extLst>
            <a:ext uri="{FF2B5EF4-FFF2-40B4-BE49-F238E27FC236}">
              <a16:creationId xmlns:a16="http://schemas.microsoft.com/office/drawing/2014/main" id="{F4358179-6996-4E77-BB48-D74C42FCE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65" y="17490141"/>
          <a:ext cx="1819835" cy="768112"/>
        </a:xfrm>
        <a:prstGeom prst="rect">
          <a:avLst/>
        </a:prstGeom>
      </xdr:spPr>
    </xdr:pic>
    <xdr:clientData/>
  </xdr:twoCellAnchor>
  <xdr:twoCellAnchor>
    <xdr:from>
      <xdr:col>5</xdr:col>
      <xdr:colOff>98612</xdr:colOff>
      <xdr:row>82</xdr:row>
      <xdr:rowOff>80682</xdr:rowOff>
    </xdr:from>
    <xdr:to>
      <xdr:col>9</xdr:col>
      <xdr:colOff>251012</xdr:colOff>
      <xdr:row>86</xdr:row>
      <xdr:rowOff>53789</xdr:rowOff>
    </xdr:to>
    <xdr:cxnSp macro="">
      <xdr:nvCxnSpPr>
        <xdr:cNvPr id="672" name="Connecteur droit avec flèche 22">
          <a:extLst>
            <a:ext uri="{FF2B5EF4-FFF2-40B4-BE49-F238E27FC236}">
              <a16:creationId xmlns:a16="http://schemas.microsoft.com/office/drawing/2014/main" id="{474CB0B9-8C87-44B5-9034-84A6AA44D26A}"/>
            </a:ext>
          </a:extLst>
        </xdr:cNvPr>
        <xdr:cNvCxnSpPr/>
      </xdr:nvCxnSpPr>
      <xdr:spPr>
        <a:xfrm flipV="1">
          <a:off x="3146612" y="15051741"/>
          <a:ext cx="2590800" cy="71717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116541</xdr:colOff>
      <xdr:row>106</xdr:row>
      <xdr:rowOff>71718</xdr:rowOff>
    </xdr:from>
    <xdr:to>
      <xdr:col>5</xdr:col>
      <xdr:colOff>412376</xdr:colOff>
      <xdr:row>108</xdr:row>
      <xdr:rowOff>107576</xdr:rowOff>
    </xdr:to>
    <xdr:sp macro="" textlink="">
      <xdr:nvSpPr>
        <xdr:cNvPr id="765" name="ZoneTexte 25">
          <a:extLst>
            <a:ext uri="{FF2B5EF4-FFF2-40B4-BE49-F238E27FC236}">
              <a16:creationId xmlns:a16="http://schemas.microsoft.com/office/drawing/2014/main" id="{8B27074A-46F9-48A0-9DCA-CC07D6E0BCB3}"/>
            </a:ext>
          </a:extLst>
        </xdr:cNvPr>
        <xdr:cNvSpPr txBox="1"/>
      </xdr:nvSpPr>
      <xdr:spPr>
        <a:xfrm>
          <a:off x="116541" y="19596847"/>
          <a:ext cx="3343835" cy="394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/>
            <a:t>Fonctionement</a:t>
          </a:r>
          <a:r>
            <a:rPr lang="fr-FR" sz="1100" b="1" baseline="0"/>
            <a:t> des ressorts (raideur, charge max ..) :</a:t>
          </a:r>
        </a:p>
        <a:p>
          <a:endParaRPr lang="fr-FR" sz="1100" b="1"/>
        </a:p>
      </xdr:txBody>
    </xdr:sp>
    <xdr:clientData/>
  </xdr:twoCellAnchor>
  <xdr:twoCellAnchor editAs="oneCell">
    <xdr:from>
      <xdr:col>0</xdr:col>
      <xdr:colOff>0</xdr:colOff>
      <xdr:row>111</xdr:row>
      <xdr:rowOff>35859</xdr:rowOff>
    </xdr:from>
    <xdr:to>
      <xdr:col>5</xdr:col>
      <xdr:colOff>180571</xdr:colOff>
      <xdr:row>133</xdr:row>
      <xdr:rowOff>130573</xdr:rowOff>
    </xdr:to>
    <xdr:pic>
      <xdr:nvPicPr>
        <xdr:cNvPr id="768" name="Image 26">
          <a:extLst>
            <a:ext uri="{FF2B5EF4-FFF2-40B4-BE49-F238E27FC236}">
              <a16:creationId xmlns:a16="http://schemas.microsoft.com/office/drawing/2014/main" id="{838672C7-CEA7-4E69-A621-51E489DE2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0457459"/>
          <a:ext cx="3228571" cy="42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17930</xdr:colOff>
      <xdr:row>110</xdr:row>
      <xdr:rowOff>80682</xdr:rowOff>
    </xdr:from>
    <xdr:to>
      <xdr:col>11</xdr:col>
      <xdr:colOff>53790</xdr:colOff>
      <xdr:row>114</xdr:row>
      <xdr:rowOff>53788</xdr:rowOff>
    </xdr:to>
    <xdr:pic>
      <xdr:nvPicPr>
        <xdr:cNvPr id="771" name="Image 27">
          <a:extLst>
            <a:ext uri="{FF2B5EF4-FFF2-40B4-BE49-F238E27FC236}">
              <a16:creationId xmlns:a16="http://schemas.microsoft.com/office/drawing/2014/main" id="{55839BCE-C2A3-4D09-9BE4-559BAA7E5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85130" y="20385741"/>
          <a:ext cx="2474260" cy="735106"/>
        </a:xfrm>
        <a:prstGeom prst="rect">
          <a:avLst/>
        </a:prstGeom>
      </xdr:spPr>
    </xdr:pic>
    <xdr:clientData/>
  </xdr:twoCellAnchor>
  <xdr:twoCellAnchor editAs="oneCell">
    <xdr:from>
      <xdr:col>7</xdr:col>
      <xdr:colOff>17929</xdr:colOff>
      <xdr:row>125</xdr:row>
      <xdr:rowOff>80682</xdr:rowOff>
    </xdr:from>
    <xdr:to>
      <xdr:col>11</xdr:col>
      <xdr:colOff>17929</xdr:colOff>
      <xdr:row>134</xdr:row>
      <xdr:rowOff>153490</xdr:rowOff>
    </xdr:to>
    <xdr:pic>
      <xdr:nvPicPr>
        <xdr:cNvPr id="779" name="Image 28">
          <a:extLst>
            <a:ext uri="{FF2B5EF4-FFF2-40B4-BE49-F238E27FC236}">
              <a16:creationId xmlns:a16="http://schemas.microsoft.com/office/drawing/2014/main" id="{C2F148A7-9028-4A6D-994B-FA134EF81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285129" y="23200658"/>
          <a:ext cx="2438400" cy="1787308"/>
        </a:xfrm>
        <a:prstGeom prst="rect">
          <a:avLst/>
        </a:prstGeom>
      </xdr:spPr>
    </xdr:pic>
    <xdr:clientData/>
  </xdr:twoCellAnchor>
  <xdr:twoCellAnchor>
    <xdr:from>
      <xdr:col>4</xdr:col>
      <xdr:colOff>188260</xdr:colOff>
      <xdr:row>34</xdr:row>
      <xdr:rowOff>179294</xdr:rowOff>
    </xdr:from>
    <xdr:to>
      <xdr:col>8</xdr:col>
      <xdr:colOff>304800</xdr:colOff>
      <xdr:row>63</xdr:row>
      <xdr:rowOff>62753</xdr:rowOff>
    </xdr:to>
    <xdr:cxnSp macro="">
      <xdr:nvCxnSpPr>
        <xdr:cNvPr id="792" name="Connecteur droit avec flèche 30">
          <a:extLst>
            <a:ext uri="{FF2B5EF4-FFF2-40B4-BE49-F238E27FC236}">
              <a16:creationId xmlns:a16="http://schemas.microsoft.com/office/drawing/2014/main" id="{D91DBF99-D247-4F3D-BD3F-8752ED54A88B}"/>
            </a:ext>
          </a:extLst>
        </xdr:cNvPr>
        <xdr:cNvCxnSpPr/>
      </xdr:nvCxnSpPr>
      <xdr:spPr>
        <a:xfrm>
          <a:off x="2698378" y="6302188"/>
          <a:ext cx="2608728" cy="528021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421341</xdr:colOff>
      <xdr:row>105</xdr:row>
      <xdr:rowOff>134471</xdr:rowOff>
    </xdr:from>
    <xdr:to>
      <xdr:col>10</xdr:col>
      <xdr:colOff>600635</xdr:colOff>
      <xdr:row>106</xdr:row>
      <xdr:rowOff>170330</xdr:rowOff>
    </xdr:to>
    <xdr:cxnSp macro="">
      <xdr:nvCxnSpPr>
        <xdr:cNvPr id="788" name="Connecteur droit avec flèche 451">
          <a:extLst>
            <a:ext uri="{FF2B5EF4-FFF2-40B4-BE49-F238E27FC236}">
              <a16:creationId xmlns:a16="http://schemas.microsoft.com/office/drawing/2014/main" id="{7496342F-7F96-40A3-9D5B-748AB4465FC9}"/>
            </a:ext>
          </a:extLst>
        </xdr:cNvPr>
        <xdr:cNvCxnSpPr/>
      </xdr:nvCxnSpPr>
      <xdr:spPr>
        <a:xfrm flipV="1">
          <a:off x="5907741" y="19480306"/>
          <a:ext cx="788894" cy="21515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3C1C-A276-4A7B-BD60-782D074382A6}">
  <dimension ref="A1:I17"/>
  <sheetViews>
    <sheetView topLeftCell="A16" workbookViewId="0">
      <selection activeCell="A14" sqref="A14:A17"/>
    </sheetView>
  </sheetViews>
  <sheetFormatPr baseColWidth="10" defaultColWidth="11.44140625" defaultRowHeight="14.4" x14ac:dyDescent="0.3"/>
  <cols>
    <col min="1" max="1" width="25.109375" customWidth="1"/>
    <col min="2" max="2" width="16.88671875" customWidth="1"/>
    <col min="3" max="3" width="17.5546875" customWidth="1"/>
  </cols>
  <sheetData>
    <row r="1" spans="1:9" ht="38.2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/>
      <c r="F1" s="13" t="s">
        <v>4</v>
      </c>
      <c r="G1" s="13"/>
      <c r="H1" s="13"/>
      <c r="I1" s="13" t="s">
        <v>5</v>
      </c>
    </row>
    <row r="2" spans="1:9" x14ac:dyDescent="0.3">
      <c r="A2" s="205" t="s">
        <v>6</v>
      </c>
      <c r="B2" s="11" t="s">
        <v>7</v>
      </c>
      <c r="C2" s="11" t="s">
        <v>8</v>
      </c>
      <c r="D2" s="11"/>
      <c r="E2" s="11"/>
      <c r="F2" s="11" t="s">
        <v>9</v>
      </c>
      <c r="G2" s="11"/>
      <c r="H2" s="11"/>
      <c r="I2" s="12">
        <f>F3*F4</f>
        <v>0</v>
      </c>
    </row>
    <row r="3" spans="1:9" x14ac:dyDescent="0.3">
      <c r="A3" s="206"/>
      <c r="B3" s="7" t="s">
        <v>10</v>
      </c>
      <c r="C3" s="7" t="s">
        <v>11</v>
      </c>
      <c r="D3" s="7"/>
      <c r="E3" s="7"/>
      <c r="F3" s="7"/>
      <c r="G3" s="7"/>
      <c r="H3" s="7"/>
      <c r="I3" s="8"/>
    </row>
    <row r="4" spans="1:9" x14ac:dyDescent="0.3">
      <c r="A4" s="207"/>
      <c r="B4" s="9" t="s">
        <v>12</v>
      </c>
      <c r="C4" s="9" t="s">
        <v>13</v>
      </c>
      <c r="D4" s="9"/>
      <c r="E4" s="9"/>
      <c r="F4" s="9"/>
      <c r="G4" s="9"/>
      <c r="H4" s="9"/>
      <c r="I4" s="10"/>
    </row>
    <row r="5" spans="1:9" x14ac:dyDescent="0.3">
      <c r="A5" s="14"/>
      <c r="B5" s="14"/>
      <c r="C5" s="14"/>
      <c r="D5" s="14"/>
      <c r="E5" s="14"/>
      <c r="F5" s="14"/>
      <c r="G5" s="14"/>
      <c r="H5" s="14"/>
      <c r="I5" s="14"/>
    </row>
    <row r="6" spans="1:9" x14ac:dyDescent="0.3">
      <c r="A6" s="205" t="s">
        <v>14</v>
      </c>
      <c r="B6" s="11" t="s">
        <v>7</v>
      </c>
      <c r="C6" s="11" t="s">
        <v>8</v>
      </c>
      <c r="D6" s="11"/>
      <c r="E6" s="11"/>
      <c r="F6" s="11" t="s">
        <v>15</v>
      </c>
      <c r="G6" s="11"/>
      <c r="H6" s="11"/>
      <c r="I6" s="12">
        <f>D7*D8</f>
        <v>0</v>
      </c>
    </row>
    <row r="7" spans="1:9" x14ac:dyDescent="0.3">
      <c r="A7" s="206"/>
      <c r="B7" s="7" t="s">
        <v>16</v>
      </c>
      <c r="C7" s="7" t="s">
        <v>17</v>
      </c>
      <c r="D7" s="7"/>
      <c r="E7" s="7"/>
      <c r="F7" s="7"/>
      <c r="G7" s="7"/>
      <c r="H7" s="7"/>
      <c r="I7" s="8"/>
    </row>
    <row r="8" spans="1:9" x14ac:dyDescent="0.3">
      <c r="A8" s="207"/>
      <c r="B8" s="9" t="s">
        <v>18</v>
      </c>
      <c r="C8" s="9" t="s">
        <v>19</v>
      </c>
      <c r="D8" s="9"/>
      <c r="E8" s="9"/>
      <c r="F8" s="9"/>
      <c r="G8" s="9"/>
      <c r="H8" s="9"/>
      <c r="I8" s="10"/>
    </row>
    <row r="9" spans="1:9" x14ac:dyDescent="0.3">
      <c r="A9" s="14"/>
      <c r="B9" s="14"/>
      <c r="C9" s="14"/>
      <c r="D9" s="14"/>
      <c r="E9" s="14"/>
      <c r="F9" s="14"/>
      <c r="G9" s="14"/>
      <c r="H9" s="14"/>
      <c r="I9" s="14"/>
    </row>
    <row r="10" spans="1:9" x14ac:dyDescent="0.3">
      <c r="A10" s="205" t="s">
        <v>20</v>
      </c>
      <c r="B10" s="11" t="s">
        <v>21</v>
      </c>
      <c r="C10" s="11" t="s">
        <v>8</v>
      </c>
      <c r="D10" s="11"/>
      <c r="E10" s="11"/>
      <c r="F10" s="11" t="s">
        <v>22</v>
      </c>
      <c r="G10" s="11"/>
      <c r="H10" s="11"/>
      <c r="I10" s="12">
        <f>D10*D12</f>
        <v>0</v>
      </c>
    </row>
    <row r="11" spans="1:9" x14ac:dyDescent="0.3">
      <c r="A11" s="206"/>
      <c r="B11" s="7" t="s">
        <v>23</v>
      </c>
      <c r="C11" s="7" t="s">
        <v>8</v>
      </c>
      <c r="D11" s="7"/>
      <c r="E11" s="7"/>
      <c r="F11" s="7"/>
      <c r="G11" s="7"/>
      <c r="H11" s="7"/>
      <c r="I11" s="8"/>
    </row>
    <row r="12" spans="1:9" x14ac:dyDescent="0.3">
      <c r="A12" s="207"/>
      <c r="B12" s="9" t="s">
        <v>24</v>
      </c>
      <c r="C12" s="9" t="s">
        <v>25</v>
      </c>
      <c r="D12" s="9"/>
      <c r="E12" s="9"/>
      <c r="F12" s="9"/>
      <c r="G12" s="9"/>
      <c r="H12" s="9"/>
      <c r="I12" s="10"/>
    </row>
    <row r="13" spans="1:9" x14ac:dyDescent="0.3">
      <c r="A13" s="14"/>
      <c r="B13" s="14"/>
      <c r="C13" s="14"/>
      <c r="D13" s="14"/>
      <c r="E13" s="14"/>
      <c r="F13" s="14"/>
      <c r="G13" s="14"/>
      <c r="H13" s="14"/>
      <c r="I13" s="14"/>
    </row>
    <row r="14" spans="1:9" ht="14.4" customHeight="1" x14ac:dyDescent="0.3">
      <c r="A14" s="208" t="s">
        <v>26</v>
      </c>
      <c r="B14" s="11" t="s">
        <v>16</v>
      </c>
      <c r="C14" s="11" t="s">
        <v>17</v>
      </c>
      <c r="D14" s="11"/>
      <c r="E14" s="11"/>
      <c r="F14" s="11" t="s">
        <v>27</v>
      </c>
      <c r="G14" s="11"/>
      <c r="H14" s="11"/>
      <c r="I14" s="12">
        <f>D15*D16</f>
        <v>0</v>
      </c>
    </row>
    <row r="15" spans="1:9" ht="14.4" customHeight="1" x14ac:dyDescent="0.3">
      <c r="A15" s="209"/>
      <c r="B15" s="7" t="s">
        <v>28</v>
      </c>
      <c r="C15" s="7" t="s">
        <v>29</v>
      </c>
      <c r="D15" s="7"/>
      <c r="E15" s="7"/>
      <c r="F15" s="7"/>
      <c r="G15" s="7"/>
      <c r="H15" s="7"/>
      <c r="I15" s="8"/>
    </row>
    <row r="16" spans="1:9" ht="14.4" customHeight="1" x14ac:dyDescent="0.3">
      <c r="A16" s="210"/>
      <c r="B16" s="9" t="s">
        <v>30</v>
      </c>
      <c r="C16" s="9" t="s">
        <v>31</v>
      </c>
      <c r="D16" s="9"/>
      <c r="E16" s="9"/>
      <c r="F16" s="9"/>
      <c r="G16" s="9"/>
      <c r="H16" s="9"/>
      <c r="I16" s="10"/>
    </row>
    <row r="17" ht="14.4" customHeight="1" x14ac:dyDescent="0.3"/>
  </sheetData>
  <mergeCells count="4">
    <mergeCell ref="A2:A4"/>
    <mergeCell ref="A6:A8"/>
    <mergeCell ref="A10:A12"/>
    <mergeCell ref="A14:A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16C9-7513-4C1E-88DB-A5ABCE591F30}">
  <dimension ref="A1:W123"/>
  <sheetViews>
    <sheetView workbookViewId="0">
      <selection activeCell="D122" sqref="D122"/>
    </sheetView>
  </sheetViews>
  <sheetFormatPr baseColWidth="10" defaultColWidth="9.109375" defaultRowHeight="14.4" x14ac:dyDescent="0.3"/>
  <cols>
    <col min="1" max="1" width="28.33203125" style="15" customWidth="1"/>
    <col min="2" max="3" width="9.109375" style="15"/>
    <col min="4" max="4" width="11.44140625" style="15" bestFit="1" customWidth="1"/>
    <col min="5" max="12" width="9.109375" style="15"/>
    <col min="13" max="13" width="21.109375" style="15" customWidth="1"/>
    <col min="14" max="16384" width="9.109375" style="15"/>
  </cols>
  <sheetData>
    <row r="1" spans="1:23" x14ac:dyDescent="0.3">
      <c r="A1" s="212" t="s">
        <v>32</v>
      </c>
      <c r="B1" s="213"/>
      <c r="C1" s="213"/>
      <c r="D1" s="213"/>
      <c r="E1" s="213"/>
      <c r="F1" s="148" t="s">
        <v>33</v>
      </c>
    </row>
    <row r="2" spans="1:23" x14ac:dyDescent="0.3">
      <c r="A2" s="151"/>
      <c r="B2" s="151"/>
      <c r="C2" s="151"/>
      <c r="D2" s="151"/>
      <c r="E2" s="151"/>
      <c r="F2" s="151"/>
      <c r="G2" s="151"/>
      <c r="H2" s="151"/>
      <c r="I2" s="151"/>
    </row>
    <row r="3" spans="1:23" x14ac:dyDescent="0.3">
      <c r="A3" s="16" t="s">
        <v>34</v>
      </c>
    </row>
    <row r="4" spans="1:23" x14ac:dyDescent="0.3">
      <c r="A4" s="120" t="s">
        <v>0</v>
      </c>
      <c r="B4" s="121" t="s">
        <v>1</v>
      </c>
      <c r="C4" s="121" t="s">
        <v>2</v>
      </c>
      <c r="D4" s="121" t="s">
        <v>3</v>
      </c>
      <c r="E4" s="215" t="s">
        <v>4</v>
      </c>
      <c r="F4" s="215"/>
      <c r="G4" s="215"/>
      <c r="H4" s="215"/>
      <c r="I4" s="215" t="s">
        <v>5</v>
      </c>
      <c r="J4" s="215"/>
      <c r="K4" s="216"/>
    </row>
    <row r="5" spans="1:23" ht="28.8" x14ac:dyDescent="0.3">
      <c r="A5" s="100" t="s">
        <v>35</v>
      </c>
      <c r="B5" s="101" t="s">
        <v>36</v>
      </c>
      <c r="C5" s="101" t="s">
        <v>37</v>
      </c>
      <c r="D5" s="101" t="s">
        <v>38</v>
      </c>
      <c r="E5" s="217"/>
      <c r="F5" s="218"/>
      <c r="G5" s="218"/>
      <c r="H5" s="219"/>
      <c r="I5" s="217" t="e">
        <f>(2*D8)/(D6*D7)</f>
        <v>#DIV/0!</v>
      </c>
      <c r="J5" s="218"/>
      <c r="K5" s="226"/>
    </row>
    <row r="6" spans="1:23" x14ac:dyDescent="0.3">
      <c r="A6" s="32" t="s">
        <v>39</v>
      </c>
      <c r="B6" s="29" t="s">
        <v>40</v>
      </c>
      <c r="C6" s="29" t="s">
        <v>98</v>
      </c>
      <c r="D6" s="29"/>
      <c r="E6" s="220"/>
      <c r="F6" s="221"/>
      <c r="G6" s="221"/>
      <c r="H6" s="222"/>
      <c r="I6" s="220"/>
      <c r="J6" s="221"/>
      <c r="K6" s="227"/>
    </row>
    <row r="7" spans="1:23" x14ac:dyDescent="0.3">
      <c r="A7" s="32" t="s">
        <v>41</v>
      </c>
      <c r="B7" s="29" t="s">
        <v>42</v>
      </c>
      <c r="C7" s="29" t="s">
        <v>238</v>
      </c>
      <c r="D7" s="29"/>
      <c r="E7" s="220"/>
      <c r="F7" s="221"/>
      <c r="G7" s="221"/>
      <c r="H7" s="222"/>
      <c r="I7" s="220"/>
      <c r="J7" s="221"/>
      <c r="K7" s="227"/>
    </row>
    <row r="8" spans="1:23" x14ac:dyDescent="0.3">
      <c r="A8" s="33" t="s">
        <v>44</v>
      </c>
      <c r="B8" s="34" t="s">
        <v>10</v>
      </c>
      <c r="C8" s="34" t="s">
        <v>83</v>
      </c>
      <c r="D8" s="34"/>
      <c r="E8" s="223"/>
      <c r="F8" s="224"/>
      <c r="G8" s="224"/>
      <c r="H8" s="225"/>
      <c r="I8" s="223"/>
      <c r="J8" s="224"/>
      <c r="K8" s="228"/>
    </row>
    <row r="10" spans="1:23" x14ac:dyDescent="0.3">
      <c r="A10" s="54" t="s">
        <v>45</v>
      </c>
      <c r="M10" s="54" t="s">
        <v>46</v>
      </c>
    </row>
    <row r="11" spans="1:23" ht="32.4" customHeight="1" x14ac:dyDescent="0.3">
      <c r="A11" s="98" t="s">
        <v>44</v>
      </c>
      <c r="B11" s="99" t="s">
        <v>10</v>
      </c>
      <c r="C11" s="99" t="s">
        <v>83</v>
      </c>
      <c r="D11" s="31" t="s">
        <v>38</v>
      </c>
      <c r="E11" s="229"/>
      <c r="F11" s="229"/>
      <c r="G11" s="229"/>
      <c r="H11" s="229"/>
      <c r="I11" s="229" t="e">
        <f>(1/2)*D12*D13*D14</f>
        <v>#DIV/0!</v>
      </c>
      <c r="J11" s="229"/>
      <c r="K11" s="232"/>
      <c r="M11" s="98" t="s">
        <v>44</v>
      </c>
      <c r="N11" s="99" t="s">
        <v>10</v>
      </c>
      <c r="O11" s="99" t="s">
        <v>83</v>
      </c>
      <c r="P11" s="31" t="s">
        <v>38</v>
      </c>
      <c r="Q11" s="229"/>
      <c r="R11" s="229"/>
      <c r="S11" s="229"/>
      <c r="T11" s="229"/>
      <c r="U11" s="229">
        <f>(1/2)*P12*P13*P14</f>
        <v>0</v>
      </c>
      <c r="V11" s="229"/>
      <c r="W11" s="232"/>
    </row>
    <row r="12" spans="1:23" ht="39.6" customHeight="1" x14ac:dyDescent="0.3">
      <c r="A12" s="30" t="s">
        <v>47</v>
      </c>
      <c r="B12" s="29" t="s">
        <v>48</v>
      </c>
      <c r="C12" s="29" t="s">
        <v>37</v>
      </c>
      <c r="D12" s="29"/>
      <c r="E12" s="230"/>
      <c r="F12" s="230"/>
      <c r="G12" s="230"/>
      <c r="H12" s="230"/>
      <c r="I12" s="230"/>
      <c r="J12" s="230"/>
      <c r="K12" s="233"/>
      <c r="M12" s="30" t="s">
        <v>47</v>
      </c>
      <c r="N12" s="29" t="s">
        <v>48</v>
      </c>
      <c r="O12" s="29" t="s">
        <v>37</v>
      </c>
      <c r="P12" s="29"/>
      <c r="Q12" s="230"/>
      <c r="R12" s="230"/>
      <c r="S12" s="230"/>
      <c r="T12" s="230"/>
      <c r="U12" s="230"/>
      <c r="V12" s="230"/>
      <c r="W12" s="233"/>
    </row>
    <row r="13" spans="1:23" x14ac:dyDescent="0.3">
      <c r="A13" s="32" t="s">
        <v>39</v>
      </c>
      <c r="B13" s="29" t="s">
        <v>40</v>
      </c>
      <c r="C13" s="29" t="s">
        <v>98</v>
      </c>
      <c r="D13" s="29"/>
      <c r="E13" s="230"/>
      <c r="F13" s="230"/>
      <c r="G13" s="230"/>
      <c r="H13" s="230"/>
      <c r="I13" s="230"/>
      <c r="J13" s="230"/>
      <c r="K13" s="233"/>
      <c r="M13" s="32" t="s">
        <v>39</v>
      </c>
      <c r="N13" s="29" t="s">
        <v>40</v>
      </c>
      <c r="O13" s="29" t="s">
        <v>98</v>
      </c>
      <c r="P13" s="29"/>
      <c r="Q13" s="230"/>
      <c r="R13" s="230"/>
      <c r="S13" s="230"/>
      <c r="T13" s="230"/>
      <c r="U13" s="230"/>
      <c r="V13" s="230"/>
      <c r="W13" s="233"/>
    </row>
    <row r="14" spans="1:23" ht="37.200000000000003" customHeight="1" x14ac:dyDescent="0.3">
      <c r="A14" s="33" t="s">
        <v>41</v>
      </c>
      <c r="B14" s="34" t="s">
        <v>42</v>
      </c>
      <c r="C14" s="34" t="s">
        <v>238</v>
      </c>
      <c r="D14" s="135" t="e">
        <f>I17</f>
        <v>#DIV/0!</v>
      </c>
      <c r="E14" s="231"/>
      <c r="F14" s="231"/>
      <c r="G14" s="231"/>
      <c r="H14" s="231"/>
      <c r="I14" s="231"/>
      <c r="J14" s="231"/>
      <c r="K14" s="234"/>
      <c r="M14" s="33" t="s">
        <v>49</v>
      </c>
      <c r="N14" s="34" t="s">
        <v>42</v>
      </c>
      <c r="O14" s="34" t="s">
        <v>238</v>
      </c>
      <c r="P14" s="135">
        <f>U17</f>
        <v>0</v>
      </c>
      <c r="Q14" s="231"/>
      <c r="R14" s="231"/>
      <c r="S14" s="231"/>
      <c r="T14" s="231"/>
      <c r="U14" s="231"/>
      <c r="V14" s="231"/>
      <c r="W14" s="234"/>
    </row>
    <row r="16" spans="1:23" x14ac:dyDescent="0.3">
      <c r="A16" s="54" t="s">
        <v>45</v>
      </c>
      <c r="M16" s="54" t="s">
        <v>46</v>
      </c>
    </row>
    <row r="17" spans="1:23" x14ac:dyDescent="0.3">
      <c r="A17" s="100" t="s">
        <v>41</v>
      </c>
      <c r="B17" s="99" t="s">
        <v>42</v>
      </c>
      <c r="C17" s="99" t="s">
        <v>43</v>
      </c>
      <c r="D17" s="31" t="s">
        <v>38</v>
      </c>
      <c r="E17" s="229"/>
      <c r="F17" s="229"/>
      <c r="G17" s="229"/>
      <c r="H17" s="229"/>
      <c r="I17" s="229" t="e">
        <f>PI()*D18*D19</f>
        <v>#DIV/0!</v>
      </c>
      <c r="J17" s="229"/>
      <c r="K17" s="232"/>
      <c r="M17" s="100" t="s">
        <v>41</v>
      </c>
      <c r="N17" s="99" t="s">
        <v>42</v>
      </c>
      <c r="O17" s="99" t="s">
        <v>43</v>
      </c>
      <c r="P17" s="31" t="s">
        <v>38</v>
      </c>
      <c r="Q17" s="229"/>
      <c r="R17" s="229"/>
      <c r="S17" s="229"/>
      <c r="T17" s="229"/>
      <c r="U17" s="229">
        <f>PI()*P18*P19</f>
        <v>0</v>
      </c>
      <c r="V17" s="229"/>
      <c r="W17" s="232"/>
    </row>
    <row r="18" spans="1:23" x14ac:dyDescent="0.3">
      <c r="A18" s="32" t="s">
        <v>50</v>
      </c>
      <c r="B18" s="29" t="s">
        <v>40</v>
      </c>
      <c r="C18" s="29" t="s">
        <v>98</v>
      </c>
      <c r="D18" s="29"/>
      <c r="E18" s="230"/>
      <c r="F18" s="230"/>
      <c r="G18" s="230"/>
      <c r="H18" s="230"/>
      <c r="I18" s="230"/>
      <c r="J18" s="230"/>
      <c r="K18" s="233"/>
      <c r="M18" s="32" t="s">
        <v>50</v>
      </c>
      <c r="N18" s="29" t="s">
        <v>40</v>
      </c>
      <c r="O18" s="29" t="s">
        <v>98</v>
      </c>
      <c r="P18" s="29"/>
      <c r="Q18" s="230"/>
      <c r="R18" s="230"/>
      <c r="S18" s="230"/>
      <c r="T18" s="230"/>
      <c r="U18" s="230"/>
      <c r="V18" s="230"/>
      <c r="W18" s="233"/>
    </row>
    <row r="19" spans="1:23" ht="28.8" x14ac:dyDescent="0.3">
      <c r="A19" s="33" t="s">
        <v>261</v>
      </c>
      <c r="B19" s="34" t="s">
        <v>30</v>
      </c>
      <c r="C19" s="34" t="s">
        <v>98</v>
      </c>
      <c r="D19" s="135" t="e">
        <f>I29</f>
        <v>#DIV/0!</v>
      </c>
      <c r="E19" s="231"/>
      <c r="F19" s="231"/>
      <c r="G19" s="231"/>
      <c r="H19" s="231"/>
      <c r="I19" s="231"/>
      <c r="J19" s="231"/>
      <c r="K19" s="234"/>
      <c r="M19" s="33" t="s">
        <v>52</v>
      </c>
      <c r="N19" s="34" t="s">
        <v>53</v>
      </c>
      <c r="O19" s="34" t="s">
        <v>98</v>
      </c>
      <c r="P19" s="34"/>
      <c r="Q19" s="231"/>
      <c r="R19" s="231"/>
      <c r="S19" s="231"/>
      <c r="T19" s="231"/>
      <c r="U19" s="231"/>
      <c r="V19" s="231"/>
      <c r="W19" s="234"/>
    </row>
    <row r="27" spans="1:23" x14ac:dyDescent="0.3">
      <c r="J27" s="151"/>
    </row>
    <row r="28" spans="1:23" x14ac:dyDescent="0.3">
      <c r="J28" s="151"/>
    </row>
    <row r="29" spans="1:23" x14ac:dyDescent="0.3">
      <c r="A29" s="98" t="s">
        <v>51</v>
      </c>
      <c r="B29" s="99" t="s">
        <v>30</v>
      </c>
      <c r="C29" s="99" t="s">
        <v>98</v>
      </c>
      <c r="D29" s="31" t="s">
        <v>38</v>
      </c>
      <c r="E29" s="229"/>
      <c r="F29" s="229"/>
      <c r="G29" s="229"/>
      <c r="H29" s="229"/>
      <c r="I29" s="229" t="e">
        <f>(2*D32)/(PI()*D30*D31^2)</f>
        <v>#DIV/0!</v>
      </c>
      <c r="J29" s="229"/>
      <c r="K29" s="232"/>
    </row>
    <row r="30" spans="1:23" x14ac:dyDescent="0.3">
      <c r="A30" s="32" t="s">
        <v>47</v>
      </c>
      <c r="B30" s="29" t="s">
        <v>48</v>
      </c>
      <c r="C30" s="29" t="s">
        <v>37</v>
      </c>
      <c r="D30" s="29"/>
      <c r="E30" s="230"/>
      <c r="F30" s="230"/>
      <c r="G30" s="230"/>
      <c r="H30" s="230"/>
      <c r="I30" s="230"/>
      <c r="J30" s="230"/>
      <c r="K30" s="233"/>
    </row>
    <row r="31" spans="1:23" x14ac:dyDescent="0.3">
      <c r="A31" s="32" t="s">
        <v>50</v>
      </c>
      <c r="B31" s="29" t="s">
        <v>40</v>
      </c>
      <c r="C31" s="29" t="s">
        <v>98</v>
      </c>
      <c r="D31" s="29"/>
      <c r="E31" s="230"/>
      <c r="F31" s="230"/>
      <c r="G31" s="230"/>
      <c r="H31" s="230"/>
      <c r="I31" s="230"/>
      <c r="J31" s="230"/>
      <c r="K31" s="233"/>
    </row>
    <row r="32" spans="1:23" x14ac:dyDescent="0.3">
      <c r="A32" s="33" t="s">
        <v>44</v>
      </c>
      <c r="B32" s="34" t="s">
        <v>10</v>
      </c>
      <c r="C32" s="34" t="s">
        <v>83</v>
      </c>
      <c r="D32" s="34"/>
      <c r="E32" s="231"/>
      <c r="F32" s="231"/>
      <c r="G32" s="231"/>
      <c r="H32" s="231"/>
      <c r="I32" s="231"/>
      <c r="J32" s="231"/>
      <c r="K32" s="234"/>
    </row>
    <row r="37" spans="1:15" x14ac:dyDescent="0.3">
      <c r="A37" s="212" t="s">
        <v>54</v>
      </c>
      <c r="B37" s="213"/>
      <c r="C37" s="213"/>
      <c r="D37" s="213"/>
      <c r="E37" s="213"/>
      <c r="F37" s="148" t="s">
        <v>55</v>
      </c>
    </row>
    <row r="41" spans="1:15" x14ac:dyDescent="0.3">
      <c r="A41" s="98" t="s">
        <v>56</v>
      </c>
      <c r="B41" s="99" t="s">
        <v>57</v>
      </c>
      <c r="C41" s="139" t="s">
        <v>238</v>
      </c>
      <c r="D41" s="31" t="s">
        <v>38</v>
      </c>
      <c r="E41" s="229"/>
      <c r="F41" s="229"/>
      <c r="G41" s="229"/>
      <c r="H41" s="229"/>
      <c r="I41" s="229">
        <f>D42*D43</f>
        <v>0</v>
      </c>
      <c r="J41" s="229"/>
      <c r="K41" s="232"/>
    </row>
    <row r="42" spans="1:15" x14ac:dyDescent="0.3">
      <c r="A42" s="32" t="s">
        <v>58</v>
      </c>
      <c r="B42" s="29" t="s">
        <v>59</v>
      </c>
      <c r="C42" s="138" t="s">
        <v>98</v>
      </c>
      <c r="D42" s="29"/>
      <c r="E42" s="230"/>
      <c r="F42" s="230"/>
      <c r="G42" s="230"/>
      <c r="H42" s="230"/>
      <c r="I42" s="230"/>
      <c r="J42" s="230"/>
      <c r="K42" s="233"/>
    </row>
    <row r="43" spans="1:15" x14ac:dyDescent="0.3">
      <c r="A43" s="33" t="s">
        <v>60</v>
      </c>
      <c r="B43" s="34" t="s">
        <v>30</v>
      </c>
      <c r="C43" s="140" t="s">
        <v>98</v>
      </c>
      <c r="D43" s="34"/>
      <c r="E43" s="231"/>
      <c r="F43" s="231"/>
      <c r="G43" s="231"/>
      <c r="H43" s="231"/>
      <c r="I43" s="231"/>
      <c r="J43" s="231"/>
      <c r="K43" s="234"/>
    </row>
    <row r="44" spans="1:15" x14ac:dyDescent="0.3">
      <c r="C44" s="137"/>
    </row>
    <row r="45" spans="1:15" x14ac:dyDescent="0.3">
      <c r="C45" s="137"/>
    </row>
    <row r="46" spans="1:15" x14ac:dyDescent="0.3">
      <c r="A46" s="151"/>
      <c r="B46" s="151"/>
      <c r="C46" s="151"/>
      <c r="D46" s="151"/>
      <c r="E46" s="151"/>
      <c r="F46" s="151"/>
      <c r="G46" s="151"/>
      <c r="H46" s="151"/>
      <c r="I46" s="151"/>
    </row>
    <row r="47" spans="1:15" ht="72" x14ac:dyDescent="0.3">
      <c r="A47" s="152" t="s">
        <v>61</v>
      </c>
      <c r="B47" s="153" t="s">
        <v>10</v>
      </c>
      <c r="C47" s="153" t="s">
        <v>83</v>
      </c>
      <c r="D47" s="154" t="s">
        <v>38</v>
      </c>
      <c r="E47" s="241"/>
      <c r="F47" s="241"/>
      <c r="G47" s="241"/>
      <c r="H47" s="241"/>
      <c r="I47" s="241">
        <f>D48*(D49/2)</f>
        <v>0</v>
      </c>
      <c r="J47" s="241"/>
      <c r="K47" s="244"/>
      <c r="M47" s="141" t="s">
        <v>62</v>
      </c>
      <c r="N47" s="143"/>
      <c r="O47" s="143"/>
    </row>
    <row r="48" spans="1:15" x14ac:dyDescent="0.3">
      <c r="A48" s="156" t="s">
        <v>63</v>
      </c>
      <c r="B48" s="157" t="s">
        <v>64</v>
      </c>
      <c r="C48" s="157" t="s">
        <v>17</v>
      </c>
      <c r="D48" s="157"/>
      <c r="E48" s="242"/>
      <c r="F48" s="242"/>
      <c r="G48" s="242"/>
      <c r="H48" s="242"/>
      <c r="I48" s="242"/>
      <c r="J48" s="242"/>
      <c r="K48" s="245"/>
      <c r="M48" s="141"/>
      <c r="N48" s="143"/>
      <c r="O48" s="143"/>
    </row>
    <row r="49" spans="1:15" x14ac:dyDescent="0.3">
      <c r="A49" s="158" t="s">
        <v>65</v>
      </c>
      <c r="B49" s="159" t="s">
        <v>40</v>
      </c>
      <c r="C49" s="159" t="s">
        <v>98</v>
      </c>
      <c r="D49" s="159"/>
      <c r="E49" s="243"/>
      <c r="F49" s="243"/>
      <c r="G49" s="243"/>
      <c r="H49" s="243"/>
      <c r="I49" s="243"/>
      <c r="J49" s="243"/>
      <c r="K49" s="246"/>
      <c r="M49" s="143"/>
      <c r="N49" s="143"/>
      <c r="O49" s="143"/>
    </row>
    <row r="50" spans="1:15" x14ac:dyDescent="0.3">
      <c r="M50" s="143"/>
      <c r="N50" s="143"/>
      <c r="O50" s="143"/>
    </row>
    <row r="51" spans="1:15" x14ac:dyDescent="0.3">
      <c r="A51" s="98" t="s">
        <v>47</v>
      </c>
      <c r="B51" s="99" t="s">
        <v>48</v>
      </c>
      <c r="C51" s="99" t="s">
        <v>37</v>
      </c>
      <c r="D51" s="31"/>
      <c r="E51" s="229"/>
      <c r="F51" s="229"/>
      <c r="G51" s="229"/>
      <c r="H51" s="229"/>
      <c r="I51" s="229">
        <f>D51*D52*D53*(D54/2)</f>
        <v>0</v>
      </c>
      <c r="J51" s="229"/>
      <c r="K51" s="232"/>
      <c r="M51" s="143"/>
      <c r="N51" s="143"/>
      <c r="O51" s="143"/>
    </row>
    <row r="52" spans="1:15" x14ac:dyDescent="0.3">
      <c r="A52" s="32" t="s">
        <v>60</v>
      </c>
      <c r="B52" s="29" t="s">
        <v>30</v>
      </c>
      <c r="C52" s="29" t="s">
        <v>98</v>
      </c>
      <c r="D52" s="134"/>
      <c r="E52" s="230"/>
      <c r="F52" s="230"/>
      <c r="G52" s="230"/>
      <c r="H52" s="230"/>
      <c r="I52" s="230"/>
      <c r="J52" s="230"/>
      <c r="K52" s="233"/>
      <c r="M52" s="143"/>
      <c r="N52" s="143"/>
      <c r="O52" s="143"/>
    </row>
    <row r="53" spans="1:15" x14ac:dyDescent="0.3">
      <c r="A53" s="32" t="s">
        <v>66</v>
      </c>
      <c r="B53" s="29" t="s">
        <v>59</v>
      </c>
      <c r="C53" s="29" t="s">
        <v>98</v>
      </c>
      <c r="D53" s="29"/>
      <c r="E53" s="230"/>
      <c r="F53" s="230"/>
      <c r="G53" s="230"/>
      <c r="H53" s="230"/>
      <c r="I53" s="230"/>
      <c r="J53" s="230"/>
      <c r="K53" s="233"/>
      <c r="M53" s="143"/>
      <c r="N53" s="143"/>
      <c r="O53" s="143"/>
    </row>
    <row r="54" spans="1:15" x14ac:dyDescent="0.3">
      <c r="A54" s="33" t="s">
        <v>67</v>
      </c>
      <c r="B54" s="34" t="s">
        <v>40</v>
      </c>
      <c r="C54" s="34" t="s">
        <v>98</v>
      </c>
      <c r="D54" s="34"/>
      <c r="E54" s="231"/>
      <c r="F54" s="231"/>
      <c r="G54" s="231"/>
      <c r="H54" s="231"/>
      <c r="I54" s="231"/>
      <c r="J54" s="231"/>
      <c r="K54" s="234"/>
    </row>
    <row r="56" spans="1:15" x14ac:dyDescent="0.3">
      <c r="A56" s="98" t="s">
        <v>66</v>
      </c>
      <c r="B56" s="99" t="s">
        <v>59</v>
      </c>
      <c r="C56" s="99" t="s">
        <v>98</v>
      </c>
      <c r="D56" s="31" t="s">
        <v>38</v>
      </c>
      <c r="E56" s="229"/>
      <c r="F56" s="229"/>
      <c r="G56" s="229"/>
      <c r="H56" s="229"/>
      <c r="I56" s="229" t="e">
        <f>(2*D57)/(D58*D59*D60)</f>
        <v>#DIV/0!</v>
      </c>
      <c r="J56" s="229"/>
      <c r="K56" s="232"/>
    </row>
    <row r="57" spans="1:15" x14ac:dyDescent="0.3">
      <c r="A57" s="32" t="s">
        <v>61</v>
      </c>
      <c r="B57" s="29" t="s">
        <v>10</v>
      </c>
      <c r="C57" s="29" t="s">
        <v>83</v>
      </c>
      <c r="D57" s="29"/>
      <c r="E57" s="230"/>
      <c r="F57" s="230"/>
      <c r="G57" s="230"/>
      <c r="H57" s="230"/>
      <c r="I57" s="230"/>
      <c r="J57" s="230"/>
      <c r="K57" s="233"/>
    </row>
    <row r="58" spans="1:15" x14ac:dyDescent="0.3">
      <c r="A58" s="32" t="s">
        <v>47</v>
      </c>
      <c r="B58" s="29" t="s">
        <v>48</v>
      </c>
      <c r="C58" s="29" t="s">
        <v>37</v>
      </c>
      <c r="D58" s="29"/>
      <c r="E58" s="230"/>
      <c r="F58" s="230"/>
      <c r="G58" s="230"/>
      <c r="H58" s="230"/>
      <c r="I58" s="230"/>
      <c r="J58" s="230"/>
      <c r="K58" s="233"/>
    </row>
    <row r="59" spans="1:15" x14ac:dyDescent="0.3">
      <c r="A59" s="32" t="s">
        <v>60</v>
      </c>
      <c r="B59" s="29" t="s">
        <v>30</v>
      </c>
      <c r="C59" s="29" t="s">
        <v>98</v>
      </c>
      <c r="D59" s="29"/>
      <c r="E59" s="230"/>
      <c r="F59" s="230"/>
      <c r="G59" s="230"/>
      <c r="H59" s="230"/>
      <c r="I59" s="230"/>
      <c r="J59" s="230"/>
      <c r="K59" s="233"/>
    </row>
    <row r="60" spans="1:15" x14ac:dyDescent="0.3">
      <c r="A60" s="33" t="s">
        <v>67</v>
      </c>
      <c r="B60" s="34" t="s">
        <v>40</v>
      </c>
      <c r="C60" s="34" t="s">
        <v>98</v>
      </c>
      <c r="D60" s="34"/>
      <c r="E60" s="231"/>
      <c r="F60" s="231"/>
      <c r="G60" s="231"/>
      <c r="H60" s="231"/>
      <c r="I60" s="231"/>
      <c r="J60" s="231"/>
      <c r="K60" s="234"/>
    </row>
    <row r="61" spans="1:15" ht="15" thickBot="1" x14ac:dyDescent="0.35"/>
    <row r="62" spans="1:15" ht="15" thickBot="1" x14ac:dyDescent="0.35">
      <c r="A62" s="160" t="s">
        <v>68</v>
      </c>
      <c r="B62" s="161" t="e">
        <f>I56/D60</f>
        <v>#DIV/0!</v>
      </c>
      <c r="C62" s="214" t="s">
        <v>262</v>
      </c>
      <c r="D62" s="215"/>
      <c r="E62" s="215"/>
      <c r="F62" s="216"/>
      <c r="G62" s="151"/>
      <c r="H62" s="151"/>
      <c r="I62" s="151"/>
    </row>
    <row r="63" spans="1:15" ht="15" thickBot="1" x14ac:dyDescent="0.35">
      <c r="A63" s="151"/>
      <c r="B63" s="151"/>
      <c r="C63" s="151"/>
      <c r="D63" s="151"/>
      <c r="E63" s="151"/>
      <c r="F63" s="151"/>
      <c r="G63" s="151"/>
      <c r="H63" s="151"/>
      <c r="I63" s="151"/>
    </row>
    <row r="64" spans="1:15" x14ac:dyDescent="0.3">
      <c r="A64" s="152" t="s">
        <v>69</v>
      </c>
      <c r="B64" s="153" t="s">
        <v>70</v>
      </c>
      <c r="C64" s="153" t="s">
        <v>37</v>
      </c>
      <c r="D64" s="155" t="s">
        <v>38</v>
      </c>
      <c r="E64" s="235"/>
      <c r="F64" s="235"/>
      <c r="G64" s="235"/>
      <c r="H64" s="235"/>
      <c r="I64" s="235" t="e">
        <f>(2*D65)/(D66*D67)</f>
        <v>#DIV/0!</v>
      </c>
      <c r="J64" s="235"/>
      <c r="K64" s="238"/>
    </row>
    <row r="65" spans="1:15" x14ac:dyDescent="0.3">
      <c r="A65" s="156" t="s">
        <v>63</v>
      </c>
      <c r="B65" s="157" t="s">
        <v>64</v>
      </c>
      <c r="C65" s="157" t="s">
        <v>17</v>
      </c>
      <c r="D65" s="157"/>
      <c r="E65" s="236"/>
      <c r="F65" s="236"/>
      <c r="G65" s="236"/>
      <c r="H65" s="236"/>
      <c r="I65" s="236"/>
      <c r="J65" s="236"/>
      <c r="K65" s="239"/>
    </row>
    <row r="66" spans="1:15" x14ac:dyDescent="0.3">
      <c r="A66" s="32" t="s">
        <v>263</v>
      </c>
      <c r="B66" s="29" t="s">
        <v>53</v>
      </c>
      <c r="C66" s="29" t="s">
        <v>98</v>
      </c>
      <c r="D66" s="29"/>
      <c r="E66" s="236"/>
      <c r="F66" s="236"/>
      <c r="G66" s="236"/>
      <c r="H66" s="236"/>
      <c r="I66" s="236"/>
      <c r="J66" s="236"/>
      <c r="K66" s="239"/>
    </row>
    <row r="67" spans="1:15" ht="15" thickBot="1" x14ac:dyDescent="0.35">
      <c r="A67" s="33" t="s">
        <v>71</v>
      </c>
      <c r="B67" s="34" t="s">
        <v>59</v>
      </c>
      <c r="C67" s="34" t="s">
        <v>98</v>
      </c>
      <c r="D67" s="34"/>
      <c r="E67" s="237"/>
      <c r="F67" s="237"/>
      <c r="G67" s="237"/>
      <c r="H67" s="237"/>
      <c r="I67" s="237"/>
      <c r="J67" s="237"/>
      <c r="K67" s="240"/>
    </row>
    <row r="68" spans="1:15" ht="15" thickBot="1" x14ac:dyDescent="0.35"/>
    <row r="69" spans="1:15" x14ac:dyDescent="0.3">
      <c r="A69" s="98" t="s">
        <v>72</v>
      </c>
      <c r="B69" s="99" t="s">
        <v>73</v>
      </c>
      <c r="C69" s="99" t="s">
        <v>37</v>
      </c>
      <c r="D69" s="31" t="s">
        <v>38</v>
      </c>
      <c r="E69" s="229"/>
      <c r="F69" s="229"/>
      <c r="G69" s="229"/>
      <c r="H69" s="229"/>
      <c r="I69" s="229" t="e">
        <f>(4*D70)/(D71*D72*D73)</f>
        <v>#DIV/0!</v>
      </c>
      <c r="J69" s="229"/>
      <c r="K69" s="232"/>
    </row>
    <row r="70" spans="1:15" x14ac:dyDescent="0.3">
      <c r="A70" s="32" t="s">
        <v>61</v>
      </c>
      <c r="B70" s="29" t="s">
        <v>10</v>
      </c>
      <c r="C70" s="29" t="s">
        <v>83</v>
      </c>
      <c r="D70" s="29"/>
      <c r="E70" s="230"/>
      <c r="F70" s="230"/>
      <c r="G70" s="230"/>
      <c r="H70" s="230"/>
      <c r="I70" s="230"/>
      <c r="J70" s="230"/>
      <c r="K70" s="233"/>
    </row>
    <row r="71" spans="1:15" x14ac:dyDescent="0.3">
      <c r="A71" s="32" t="s">
        <v>263</v>
      </c>
      <c r="B71" s="29" t="s">
        <v>53</v>
      </c>
      <c r="C71" s="29" t="s">
        <v>98</v>
      </c>
      <c r="D71" s="29"/>
      <c r="E71" s="230"/>
      <c r="F71" s="230"/>
      <c r="G71" s="230"/>
      <c r="H71" s="230"/>
      <c r="I71" s="230"/>
      <c r="J71" s="230"/>
      <c r="K71" s="233"/>
      <c r="M71" s="211" t="s">
        <v>62</v>
      </c>
      <c r="N71" s="211"/>
      <c r="O71" s="211"/>
    </row>
    <row r="72" spans="1:15" x14ac:dyDescent="0.3">
      <c r="A72" s="32" t="s">
        <v>71</v>
      </c>
      <c r="B72" s="29" t="s">
        <v>59</v>
      </c>
      <c r="C72" s="29" t="s">
        <v>98</v>
      </c>
      <c r="D72" s="29"/>
      <c r="E72" s="230"/>
      <c r="F72" s="230"/>
      <c r="G72" s="230"/>
      <c r="H72" s="230"/>
      <c r="I72" s="230"/>
      <c r="J72" s="230"/>
      <c r="K72" s="233"/>
      <c r="M72" s="211"/>
      <c r="N72" s="211"/>
      <c r="O72" s="211"/>
    </row>
    <row r="73" spans="1:15" ht="15.75" customHeight="1" x14ac:dyDescent="0.3">
      <c r="A73" s="33" t="s">
        <v>67</v>
      </c>
      <c r="B73" s="34" t="s">
        <v>40</v>
      </c>
      <c r="C73" s="34" t="s">
        <v>98</v>
      </c>
      <c r="D73" s="34"/>
      <c r="E73" s="231"/>
      <c r="F73" s="231"/>
      <c r="G73" s="231"/>
      <c r="H73" s="231"/>
      <c r="I73" s="231"/>
      <c r="J73" s="231"/>
      <c r="K73" s="234"/>
      <c r="M73" s="211"/>
      <c r="N73" s="211"/>
      <c r="O73" s="211"/>
    </row>
    <row r="74" spans="1:15" x14ac:dyDescent="0.3">
      <c r="M74" s="211"/>
      <c r="N74" s="211"/>
      <c r="O74" s="211"/>
    </row>
    <row r="75" spans="1:15" x14ac:dyDescent="0.3">
      <c r="M75" s="211"/>
      <c r="N75" s="211"/>
      <c r="O75" s="211"/>
    </row>
    <row r="76" spans="1:15" x14ac:dyDescent="0.3">
      <c r="A76" s="98" t="s">
        <v>74</v>
      </c>
      <c r="B76" s="99" t="s">
        <v>59</v>
      </c>
      <c r="C76" s="99" t="s">
        <v>98</v>
      </c>
      <c r="D76" s="31" t="s">
        <v>38</v>
      </c>
      <c r="E76" s="229"/>
      <c r="F76" s="229"/>
      <c r="G76" s="229"/>
      <c r="H76" s="229"/>
      <c r="I76" s="229" t="e">
        <f>(4*D77)/(D78*D79*D80)</f>
        <v>#DIV/0!</v>
      </c>
      <c r="J76" s="229"/>
      <c r="K76" s="232"/>
      <c r="M76" s="211"/>
      <c r="N76" s="211"/>
      <c r="O76" s="211"/>
    </row>
    <row r="77" spans="1:15" x14ac:dyDescent="0.3">
      <c r="A77" s="32" t="s">
        <v>61</v>
      </c>
      <c r="B77" s="29" t="s">
        <v>10</v>
      </c>
      <c r="C77" s="29" t="s">
        <v>83</v>
      </c>
      <c r="D77" s="29"/>
      <c r="E77" s="230"/>
      <c r="F77" s="230"/>
      <c r="G77" s="230"/>
      <c r="H77" s="230"/>
      <c r="I77" s="230"/>
      <c r="J77" s="230"/>
      <c r="K77" s="233"/>
      <c r="M77" s="211"/>
      <c r="N77" s="211"/>
      <c r="O77" s="211"/>
    </row>
    <row r="78" spans="1:15" x14ac:dyDescent="0.3">
      <c r="A78" s="32" t="s">
        <v>72</v>
      </c>
      <c r="B78" s="29" t="s">
        <v>73</v>
      </c>
      <c r="C78" s="29" t="s">
        <v>37</v>
      </c>
      <c r="D78" s="134" t="e">
        <f>I69</f>
        <v>#DIV/0!</v>
      </c>
      <c r="E78" s="230"/>
      <c r="F78" s="230"/>
      <c r="G78" s="230"/>
      <c r="H78" s="230"/>
      <c r="I78" s="230"/>
      <c r="J78" s="230"/>
      <c r="K78" s="233"/>
    </row>
    <row r="79" spans="1:15" x14ac:dyDescent="0.3">
      <c r="A79" s="32" t="s">
        <v>263</v>
      </c>
      <c r="B79" s="29" t="s">
        <v>53</v>
      </c>
      <c r="C79" s="29" t="s">
        <v>98</v>
      </c>
      <c r="D79" s="29"/>
      <c r="E79" s="230"/>
      <c r="F79" s="230"/>
      <c r="G79" s="230"/>
      <c r="H79" s="230"/>
      <c r="I79" s="230"/>
      <c r="J79" s="230"/>
      <c r="K79" s="233"/>
    </row>
    <row r="80" spans="1:15" x14ac:dyDescent="0.3">
      <c r="A80" s="33" t="s">
        <v>67</v>
      </c>
      <c r="B80" s="34" t="s">
        <v>40</v>
      </c>
      <c r="C80" s="34" t="s">
        <v>98</v>
      </c>
      <c r="D80" s="34"/>
      <c r="E80" s="231"/>
      <c r="F80" s="231"/>
      <c r="G80" s="231"/>
      <c r="H80" s="231"/>
      <c r="I80" s="231"/>
      <c r="J80" s="231"/>
      <c r="K80" s="234"/>
    </row>
    <row r="104" spans="1:11" x14ac:dyDescent="0.3">
      <c r="A104" s="212" t="s">
        <v>75</v>
      </c>
      <c r="B104" s="213"/>
      <c r="C104" s="213"/>
      <c r="D104" s="213"/>
      <c r="E104" s="213"/>
      <c r="F104" s="148" t="s">
        <v>240</v>
      </c>
    </row>
    <row r="106" spans="1:11" x14ac:dyDescent="0.25">
      <c r="A106" s="198" t="s">
        <v>0</v>
      </c>
      <c r="B106" s="121" t="s">
        <v>1</v>
      </c>
      <c r="C106" s="121" t="s">
        <v>2</v>
      </c>
      <c r="D106" s="121" t="s">
        <v>3</v>
      </c>
      <c r="E106" s="215" t="s">
        <v>4</v>
      </c>
      <c r="F106" s="215"/>
      <c r="G106" s="215"/>
      <c r="H106" s="215"/>
      <c r="I106" s="215" t="s">
        <v>5</v>
      </c>
      <c r="J106" s="215"/>
      <c r="K106" s="216"/>
    </row>
    <row r="107" spans="1:11" x14ac:dyDescent="0.3">
      <c r="A107" s="15" t="s">
        <v>67</v>
      </c>
      <c r="B107" s="15" t="s">
        <v>40</v>
      </c>
      <c r="C107" s="15" t="s">
        <v>28</v>
      </c>
    </row>
    <row r="108" spans="1:11" ht="29.25" customHeight="1" x14ac:dyDescent="0.3">
      <c r="A108" s="195" t="s">
        <v>76</v>
      </c>
      <c r="B108" s="15" t="s">
        <v>77</v>
      </c>
      <c r="C108" s="15" t="s">
        <v>28</v>
      </c>
    </row>
    <row r="109" spans="1:11" x14ac:dyDescent="0.3">
      <c r="A109" s="15" t="s">
        <v>250</v>
      </c>
      <c r="B109" s="15" t="s">
        <v>253</v>
      </c>
      <c r="C109" s="15" t="s">
        <v>28</v>
      </c>
      <c r="D109" s="15">
        <f>PI()*D107</f>
        <v>0</v>
      </c>
      <c r="E109" s="15" t="s">
        <v>249</v>
      </c>
    </row>
    <row r="110" spans="1:11" x14ac:dyDescent="0.3">
      <c r="A110" s="15" t="s">
        <v>251</v>
      </c>
      <c r="B110" s="15" t="s">
        <v>252</v>
      </c>
      <c r="C110" s="15" t="s">
        <v>28</v>
      </c>
      <c r="E110" s="15" t="s">
        <v>254</v>
      </c>
    </row>
    <row r="111" spans="1:11" ht="28.8" x14ac:dyDescent="0.3">
      <c r="A111" s="15" t="s">
        <v>255</v>
      </c>
      <c r="B111" s="15" t="s">
        <v>256</v>
      </c>
      <c r="C111" s="15" t="s">
        <v>28</v>
      </c>
      <c r="E111" s="15" t="s">
        <v>257</v>
      </c>
    </row>
    <row r="112" spans="1:11" x14ac:dyDescent="0.3">
      <c r="A112" s="15" t="s">
        <v>258</v>
      </c>
      <c r="B112" s="15" t="s">
        <v>140</v>
      </c>
      <c r="C112" s="15" t="s">
        <v>246</v>
      </c>
    </row>
    <row r="114" spans="1:11" x14ac:dyDescent="0.3">
      <c r="A114" s="15" t="s">
        <v>259</v>
      </c>
      <c r="B114" s="15" t="s">
        <v>70</v>
      </c>
      <c r="C114" s="15" t="s">
        <v>246</v>
      </c>
    </row>
    <row r="115" spans="1:11" s="197" customFormat="1" x14ac:dyDescent="0.3">
      <c r="A115" s="197" t="s">
        <v>260</v>
      </c>
      <c r="B115" s="197" t="s">
        <v>70</v>
      </c>
      <c r="C115" s="197" t="s">
        <v>246</v>
      </c>
    </row>
    <row r="116" spans="1:11" x14ac:dyDescent="0.3">
      <c r="A116" s="15" t="s">
        <v>247</v>
      </c>
      <c r="B116" s="196" t="s">
        <v>248</v>
      </c>
      <c r="C116" s="15" t="s">
        <v>246</v>
      </c>
    </row>
    <row r="117" spans="1:11" x14ac:dyDescent="0.3">
      <c r="A117" s="15" t="s">
        <v>239</v>
      </c>
      <c r="B117" s="15" t="s">
        <v>10</v>
      </c>
      <c r="C117" s="15" t="s">
        <v>11</v>
      </c>
      <c r="D117" s="15">
        <f>PI()*D108*D112*D113*E118*D111</f>
        <v>0</v>
      </c>
    </row>
    <row r="118" spans="1:11" ht="15" thickBot="1" x14ac:dyDescent="0.35"/>
    <row r="119" spans="1:11" ht="15" thickBot="1" x14ac:dyDescent="0.35">
      <c r="A119" s="120"/>
      <c r="B119" s="121"/>
      <c r="C119" s="121"/>
      <c r="D119" s="121"/>
      <c r="E119" s="215"/>
      <c r="F119" s="215"/>
      <c r="G119" s="215"/>
      <c r="H119" s="215"/>
      <c r="I119" s="215"/>
      <c r="J119" s="215"/>
      <c r="K119" s="216"/>
    </row>
    <row r="121" spans="1:11" ht="28.8" x14ac:dyDescent="0.3">
      <c r="A121" s="15" t="s">
        <v>241</v>
      </c>
      <c r="C121" s="15" t="s">
        <v>28</v>
      </c>
      <c r="D121" s="15" t="s">
        <v>242</v>
      </c>
    </row>
    <row r="122" spans="1:11" ht="43.2" x14ac:dyDescent="0.3">
      <c r="A122" s="15" t="s">
        <v>243</v>
      </c>
      <c r="B122" s="15" t="s">
        <v>70</v>
      </c>
      <c r="C122" s="15" t="s">
        <v>244</v>
      </c>
    </row>
    <row r="123" spans="1:11" ht="43.2" x14ac:dyDescent="0.3">
      <c r="A123" s="15" t="s">
        <v>85</v>
      </c>
      <c r="B123" s="15" t="s">
        <v>10</v>
      </c>
      <c r="C123" s="15" t="s">
        <v>245</v>
      </c>
    </row>
  </sheetData>
  <mergeCells count="37">
    <mergeCell ref="E76:H80"/>
    <mergeCell ref="I76:K80"/>
    <mergeCell ref="E106:H106"/>
    <mergeCell ref="I106:K106"/>
    <mergeCell ref="E119:H119"/>
    <mergeCell ref="I119:K119"/>
    <mergeCell ref="Q11:T14"/>
    <mergeCell ref="U11:W14"/>
    <mergeCell ref="E56:H60"/>
    <mergeCell ref="I56:K60"/>
    <mergeCell ref="A37:E37"/>
    <mergeCell ref="E47:H49"/>
    <mergeCell ref="I47:K49"/>
    <mergeCell ref="E51:H54"/>
    <mergeCell ref="I51:K54"/>
    <mergeCell ref="E17:H19"/>
    <mergeCell ref="I17:K19"/>
    <mergeCell ref="Q17:T19"/>
    <mergeCell ref="U17:W19"/>
    <mergeCell ref="E29:H32"/>
    <mergeCell ref="I29:K32"/>
    <mergeCell ref="M71:O77"/>
    <mergeCell ref="A104:E104"/>
    <mergeCell ref="C62:F62"/>
    <mergeCell ref="A1:E1"/>
    <mergeCell ref="E5:H8"/>
    <mergeCell ref="I5:K8"/>
    <mergeCell ref="E11:H14"/>
    <mergeCell ref="I11:K14"/>
    <mergeCell ref="E4:H4"/>
    <mergeCell ref="I4:K4"/>
    <mergeCell ref="E41:H43"/>
    <mergeCell ref="I41:K43"/>
    <mergeCell ref="E64:H67"/>
    <mergeCell ref="I64:K67"/>
    <mergeCell ref="E69:H73"/>
    <mergeCell ref="I69:K7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A96D4-3C19-4310-A80D-4512248B0158}">
  <dimension ref="A1:P120"/>
  <sheetViews>
    <sheetView tabSelected="1" topLeftCell="A16" zoomScaleNormal="100" workbookViewId="0">
      <selection activeCell="C86" sqref="C86"/>
    </sheetView>
  </sheetViews>
  <sheetFormatPr baseColWidth="10" defaultColWidth="9.109375" defaultRowHeight="14.4" x14ac:dyDescent="0.3"/>
  <cols>
    <col min="1" max="1" width="21" style="1" customWidth="1"/>
    <col min="2" max="2" width="27.33203125" style="1" customWidth="1"/>
    <col min="3" max="3" width="12.44140625" style="1" customWidth="1"/>
    <col min="4" max="4" width="14.44140625" style="1" customWidth="1"/>
    <col min="5" max="5" width="22" style="1" customWidth="1"/>
    <col min="6" max="6" width="23.6640625" style="1" customWidth="1"/>
    <col min="7" max="7" width="21" style="1" customWidth="1"/>
    <col min="8" max="8" width="16.88671875" style="1" customWidth="1"/>
    <col min="9" max="9" width="25.6640625" style="1" customWidth="1"/>
    <col min="10" max="10" width="8.44140625" style="1" customWidth="1"/>
    <col min="11" max="11" width="12.5546875" style="1" customWidth="1"/>
    <col min="12" max="12" width="9.44140625" style="1" bestFit="1" customWidth="1"/>
    <col min="13" max="16384" width="9.109375" style="1"/>
  </cols>
  <sheetData>
    <row r="1" spans="1:16" ht="25.5" customHeight="1" x14ac:dyDescent="0.3">
      <c r="A1" s="251" t="s">
        <v>78</v>
      </c>
      <c r="B1" s="251"/>
    </row>
    <row r="2" spans="1:16" ht="14.4" customHeight="1" x14ac:dyDescent="0.3">
      <c r="N2" s="248" t="s">
        <v>79</v>
      </c>
      <c r="O2" s="248"/>
      <c r="P2" s="248"/>
    </row>
    <row r="3" spans="1:16" x14ac:dyDescent="0.3">
      <c r="J3" s="4"/>
      <c r="K3" s="4"/>
      <c r="L3" s="4"/>
      <c r="N3" s="248"/>
      <c r="O3" s="248"/>
      <c r="P3" s="248"/>
    </row>
    <row r="4" spans="1:16" x14ac:dyDescent="0.3">
      <c r="B4" s="3" t="s">
        <v>0</v>
      </c>
      <c r="C4" s="3" t="s">
        <v>1</v>
      </c>
      <c r="D4" s="3" t="s">
        <v>80</v>
      </c>
      <c r="E4" s="3" t="s">
        <v>3</v>
      </c>
      <c r="N4" s="248"/>
      <c r="O4" s="248"/>
      <c r="P4" s="248"/>
    </row>
    <row r="5" spans="1:16" x14ac:dyDescent="0.3">
      <c r="B5" s="4" t="s">
        <v>81</v>
      </c>
      <c r="C5" s="4" t="s">
        <v>82</v>
      </c>
      <c r="D5" s="4" t="s">
        <v>83</v>
      </c>
    </row>
    <row r="6" spans="1:16" x14ac:dyDescent="0.3">
      <c r="A6" s="5" t="s">
        <v>84</v>
      </c>
      <c r="B6" s="4" t="s">
        <v>85</v>
      </c>
      <c r="C6" s="4" t="s">
        <v>10</v>
      </c>
      <c r="D6" s="4" t="s">
        <v>83</v>
      </c>
      <c r="E6" s="4"/>
    </row>
    <row r="7" spans="1:16" x14ac:dyDescent="0.3">
      <c r="B7" s="4" t="s">
        <v>86</v>
      </c>
      <c r="C7" s="4" t="s">
        <v>7</v>
      </c>
      <c r="D7" s="4" t="s">
        <v>87</v>
      </c>
      <c r="E7" s="4"/>
    </row>
    <row r="8" spans="1:16" x14ac:dyDescent="0.3">
      <c r="B8" s="4" t="s">
        <v>88</v>
      </c>
      <c r="C8" s="4" t="s">
        <v>17</v>
      </c>
      <c r="D8" s="4" t="s">
        <v>89</v>
      </c>
      <c r="E8" s="4"/>
    </row>
    <row r="9" spans="1:16" x14ac:dyDescent="0.3">
      <c r="B9" s="1" t="s">
        <v>90</v>
      </c>
      <c r="C9" s="1" t="s">
        <v>12</v>
      </c>
      <c r="D9" s="1" t="s">
        <v>91</v>
      </c>
      <c r="E9" s="4"/>
      <c r="F9" s="249" t="s">
        <v>92</v>
      </c>
    </row>
    <row r="10" spans="1:16" ht="14.4" customHeight="1" x14ac:dyDescent="0.3">
      <c r="F10" s="249"/>
    </row>
    <row r="11" spans="1:16" x14ac:dyDescent="0.3">
      <c r="A11" s="5" t="s">
        <v>93</v>
      </c>
      <c r="B11" s="1" t="s">
        <v>94</v>
      </c>
      <c r="C11" s="1" t="s">
        <v>100</v>
      </c>
      <c r="D11" s="1" t="s">
        <v>95</v>
      </c>
      <c r="E11" s="1" t="e">
        <f>F18</f>
        <v>#DIV/0!</v>
      </c>
    </row>
    <row r="12" spans="1:16" x14ac:dyDescent="0.3">
      <c r="B12" s="6" t="s">
        <v>96</v>
      </c>
      <c r="C12" s="6" t="s">
        <v>97</v>
      </c>
      <c r="D12" s="6" t="s">
        <v>98</v>
      </c>
      <c r="E12" s="6" t="e">
        <f>(16*E5/(PI()*E11))^(1/3)</f>
        <v>#DIV/0!</v>
      </c>
    </row>
    <row r="14" spans="1:16" x14ac:dyDescent="0.3">
      <c r="D14" s="199"/>
      <c r="E14" s="168" t="s">
        <v>275</v>
      </c>
      <c r="F14" s="169"/>
    </row>
    <row r="15" spans="1:16" x14ac:dyDescent="0.3">
      <c r="E15" s="337" t="s">
        <v>57</v>
      </c>
      <c r="F15" s="338"/>
    </row>
    <row r="16" spans="1:16" x14ac:dyDescent="0.3">
      <c r="E16" s="200" t="s">
        <v>99</v>
      </c>
      <c r="F16" s="202">
        <f>F14/2</f>
        <v>0</v>
      </c>
    </row>
    <row r="17" spans="1:6" x14ac:dyDescent="0.3">
      <c r="E17" s="170"/>
      <c r="F17" s="171"/>
    </row>
    <row r="18" spans="1:6" x14ac:dyDescent="0.3">
      <c r="E18" s="203" t="s">
        <v>100</v>
      </c>
      <c r="F18" s="204" t="e">
        <f>F14/(2*F15)</f>
        <v>#DIV/0!</v>
      </c>
    </row>
    <row r="19" spans="1:6" x14ac:dyDescent="0.3">
      <c r="A19" s="248" t="s">
        <v>101</v>
      </c>
    </row>
    <row r="20" spans="1:6" x14ac:dyDescent="0.3">
      <c r="A20" s="248"/>
    </row>
    <row r="23" spans="1:6" x14ac:dyDescent="0.3">
      <c r="E23" s="168" t="s">
        <v>82</v>
      </c>
      <c r="F23" s="169"/>
    </row>
    <row r="24" spans="1:6" x14ac:dyDescent="0.3">
      <c r="E24" s="37" t="s">
        <v>102</v>
      </c>
      <c r="F24" s="36"/>
    </row>
    <row r="25" spans="1:6" x14ac:dyDescent="0.3">
      <c r="E25" s="37" t="s">
        <v>103</v>
      </c>
      <c r="F25" s="36"/>
    </row>
    <row r="26" spans="1:6" x14ac:dyDescent="0.3">
      <c r="E26" s="200" t="s">
        <v>104</v>
      </c>
      <c r="F26" s="201">
        <f>8.73*(10^-6)</f>
        <v>8.7299999999999994E-6</v>
      </c>
    </row>
    <row r="27" spans="1:6" x14ac:dyDescent="0.3">
      <c r="E27" s="38" t="s">
        <v>105</v>
      </c>
      <c r="F27" s="142" t="s">
        <v>38</v>
      </c>
    </row>
    <row r="29" spans="1:6" x14ac:dyDescent="0.3">
      <c r="E29" s="6" t="s">
        <v>106</v>
      </c>
      <c r="F29" s="88" t="e">
        <f>((32*F23)/(PI()*F26*F24))^(1/4)</f>
        <v>#DIV/0!</v>
      </c>
    </row>
    <row r="34" spans="1:9" ht="42.75" customHeight="1" x14ac:dyDescent="0.3">
      <c r="A34" s="252" t="s">
        <v>107</v>
      </c>
      <c r="B34" s="252"/>
      <c r="C34" s="249" t="s">
        <v>108</v>
      </c>
      <c r="D34" s="249"/>
      <c r="G34" s="106" t="s">
        <v>109</v>
      </c>
    </row>
    <row r="44" spans="1:9" ht="15.6" customHeight="1" x14ac:dyDescent="0.3"/>
    <row r="45" spans="1:9" x14ac:dyDescent="0.3">
      <c r="I45" s="1" t="s">
        <v>270</v>
      </c>
    </row>
    <row r="46" spans="1:9" x14ac:dyDescent="0.3">
      <c r="I46" s="1" t="s">
        <v>269</v>
      </c>
    </row>
    <row r="51" spans="1:10" x14ac:dyDescent="0.3">
      <c r="I51" s="262" t="s">
        <v>273</v>
      </c>
      <c r="J51" s="262"/>
    </row>
    <row r="53" spans="1:10" x14ac:dyDescent="0.3">
      <c r="I53" s="1" t="s">
        <v>274</v>
      </c>
    </row>
    <row r="58" spans="1:10" x14ac:dyDescent="0.3">
      <c r="A58" s="59" t="s">
        <v>1</v>
      </c>
      <c r="B58" s="60" t="s">
        <v>110</v>
      </c>
      <c r="C58" s="61" t="s">
        <v>3</v>
      </c>
      <c r="E58" s="69"/>
      <c r="F58" s="70" t="s">
        <v>1</v>
      </c>
      <c r="G58" s="71" t="s">
        <v>3</v>
      </c>
    </row>
    <row r="59" spans="1:10" x14ac:dyDescent="0.3">
      <c r="A59" s="37" t="s">
        <v>40</v>
      </c>
      <c r="B59" s="35" t="s">
        <v>98</v>
      </c>
      <c r="C59" s="36"/>
      <c r="E59" s="72" t="s">
        <v>111</v>
      </c>
      <c r="F59" s="73" t="s">
        <v>264</v>
      </c>
      <c r="G59" s="74"/>
    </row>
    <row r="60" spans="1:10" x14ac:dyDescent="0.3">
      <c r="A60" s="37" t="s">
        <v>112</v>
      </c>
      <c r="B60" s="35" t="s">
        <v>98</v>
      </c>
      <c r="C60" s="36"/>
      <c r="E60" s="75"/>
      <c r="F60" s="76" t="s">
        <v>265</v>
      </c>
      <c r="G60" s="74">
        <f>C60</f>
        <v>0</v>
      </c>
    </row>
    <row r="61" spans="1:10" x14ac:dyDescent="0.3">
      <c r="A61" s="37" t="s">
        <v>113</v>
      </c>
      <c r="B61" s="35" t="s">
        <v>98</v>
      </c>
      <c r="C61" s="36"/>
      <c r="E61" s="77"/>
      <c r="F61" s="78" t="s">
        <v>266</v>
      </c>
      <c r="G61" s="79" t="e">
        <f>(32*G59)/(PI()*(G60^3))</f>
        <v>#DIV/0!</v>
      </c>
    </row>
    <row r="62" spans="1:10" x14ac:dyDescent="0.3">
      <c r="A62" s="37" t="s">
        <v>115</v>
      </c>
      <c r="B62" s="35" t="s">
        <v>98</v>
      </c>
      <c r="C62" s="36">
        <f>(C59-C60)/2</f>
        <v>0</v>
      </c>
      <c r="E62" s="80"/>
      <c r="F62" s="81" t="s">
        <v>116</v>
      </c>
      <c r="G62" s="82" t="e">
        <f>(1/(SQRT((1/(0.541*C70))^2+(1/(0.843*C65))^2)))+1</f>
        <v>#DIV/0!</v>
      </c>
      <c r="H62" s="263"/>
      <c r="I62" s="250"/>
    </row>
    <row r="63" spans="1:10" ht="25.5" customHeight="1" x14ac:dyDescent="0.3">
      <c r="A63" s="38" t="s">
        <v>117</v>
      </c>
      <c r="B63" s="62"/>
      <c r="C63" s="89" t="e">
        <f>C61/C62</f>
        <v>#DIV/0!</v>
      </c>
      <c r="E63" s="83"/>
      <c r="F63" s="84" t="s">
        <v>267</v>
      </c>
      <c r="G63" s="85" t="e">
        <f>G62*G61</f>
        <v>#DIV/0!</v>
      </c>
      <c r="H63" s="263"/>
      <c r="I63" s="250"/>
    </row>
    <row r="64" spans="1:10" x14ac:dyDescent="0.3">
      <c r="E64" s="86"/>
      <c r="F64" s="86"/>
      <c r="G64" s="86"/>
    </row>
    <row r="65" spans="1:12" x14ac:dyDescent="0.3">
      <c r="A65" s="259"/>
      <c r="B65" s="253" t="s">
        <v>118</v>
      </c>
      <c r="C65" s="256" t="e">
        <f>1/SQRT(C63)</f>
        <v>#DIV/0!</v>
      </c>
      <c r="E65" s="86"/>
      <c r="F65" s="86"/>
      <c r="G65" s="86"/>
    </row>
    <row r="66" spans="1:12" x14ac:dyDescent="0.3">
      <c r="A66" s="260"/>
      <c r="B66" s="254"/>
      <c r="C66" s="257"/>
      <c r="E66" s="69"/>
      <c r="F66" s="70" t="s">
        <v>1</v>
      </c>
      <c r="G66" s="71" t="s">
        <v>3</v>
      </c>
    </row>
    <row r="67" spans="1:12" x14ac:dyDescent="0.3">
      <c r="A67" s="261"/>
      <c r="B67" s="255"/>
      <c r="C67" s="258"/>
      <c r="E67" s="87" t="s">
        <v>119</v>
      </c>
      <c r="F67" s="73" t="s">
        <v>17</v>
      </c>
      <c r="G67" s="74"/>
    </row>
    <row r="68" spans="1:12" x14ac:dyDescent="0.3">
      <c r="B68" s="86"/>
      <c r="C68" s="86"/>
      <c r="E68" s="75"/>
      <c r="F68" s="76" t="s">
        <v>112</v>
      </c>
      <c r="G68" s="74">
        <f>C60</f>
        <v>0</v>
      </c>
    </row>
    <row r="69" spans="1:12" x14ac:dyDescent="0.3">
      <c r="B69" s="86"/>
      <c r="C69" s="86"/>
      <c r="E69" s="102"/>
      <c r="F69" s="103" t="s">
        <v>114</v>
      </c>
      <c r="G69" s="104" t="e">
        <f>(4*G67)/(PI()*G68^2)</f>
        <v>#DIV/0!</v>
      </c>
    </row>
    <row r="70" spans="1:12" ht="16.5" customHeight="1" x14ac:dyDescent="0.3">
      <c r="A70" s="259"/>
      <c r="B70" s="253" t="s">
        <v>120</v>
      </c>
      <c r="C70" s="256" t="e">
        <f>SQRT((C62/C61)*((C60/C59)/(1-(C60/C59)))+1)-1</f>
        <v>#DIV/0!</v>
      </c>
      <c r="E70" s="105"/>
      <c r="F70" s="86" t="s">
        <v>121</v>
      </c>
      <c r="G70" s="86" t="e">
        <f>(1/SQRT((1/(0.88*C70))^2+(1/(0.843*C65))^2))+1</f>
        <v>#DIV/0!</v>
      </c>
      <c r="H70" s="263"/>
      <c r="I70" s="250"/>
      <c r="J70" s="250"/>
      <c r="K70" s="250"/>
      <c r="L70" s="250"/>
    </row>
    <row r="71" spans="1:12" ht="18.75" customHeight="1" x14ac:dyDescent="0.3">
      <c r="A71" s="260"/>
      <c r="B71" s="254"/>
      <c r="C71" s="257"/>
      <c r="E71" s="83"/>
      <c r="F71" s="84" t="s">
        <v>122</v>
      </c>
      <c r="G71" s="85" t="e">
        <f>G70*G69</f>
        <v>#DIV/0!</v>
      </c>
      <c r="H71" s="263"/>
      <c r="I71" s="250"/>
      <c r="J71" s="250"/>
      <c r="K71" s="250"/>
      <c r="L71" s="250"/>
    </row>
    <row r="72" spans="1:12" x14ac:dyDescent="0.3">
      <c r="A72" s="261"/>
      <c r="B72" s="255"/>
      <c r="C72" s="258"/>
      <c r="E72" s="86"/>
      <c r="F72" s="86"/>
      <c r="G72" s="86"/>
    </row>
    <row r="73" spans="1:12" x14ac:dyDescent="0.3">
      <c r="E73" s="86"/>
      <c r="F73" s="86"/>
      <c r="G73" s="86"/>
    </row>
    <row r="74" spans="1:12" x14ac:dyDescent="0.3">
      <c r="E74" s="69"/>
      <c r="F74" s="70" t="s">
        <v>1</v>
      </c>
      <c r="G74" s="71" t="s">
        <v>3</v>
      </c>
    </row>
    <row r="75" spans="1:12" x14ac:dyDescent="0.3">
      <c r="A75" s="250"/>
      <c r="B75" s="250"/>
      <c r="C75" s="250"/>
      <c r="E75" s="72" t="s">
        <v>93</v>
      </c>
      <c r="F75" s="73" t="s">
        <v>82</v>
      </c>
      <c r="G75" s="74"/>
    </row>
    <row r="76" spans="1:12" x14ac:dyDescent="0.3">
      <c r="A76" s="250"/>
      <c r="B76" s="250"/>
      <c r="C76" s="250"/>
      <c r="E76" s="75"/>
      <c r="F76" s="76" t="s">
        <v>112</v>
      </c>
      <c r="G76" s="74">
        <f>C60</f>
        <v>0</v>
      </c>
    </row>
    <row r="77" spans="1:12" x14ac:dyDescent="0.3">
      <c r="A77" s="250"/>
      <c r="B77" s="250"/>
      <c r="C77" s="250"/>
      <c r="E77" s="77"/>
      <c r="F77" s="78" t="s">
        <v>114</v>
      </c>
      <c r="G77" s="79" t="e">
        <f>(16*G75)/(PI()*(G76^3))</f>
        <v>#DIV/0!</v>
      </c>
    </row>
    <row r="78" spans="1:12" x14ac:dyDescent="0.3">
      <c r="A78" s="250"/>
      <c r="B78" s="250"/>
      <c r="C78" s="250"/>
      <c r="E78" s="80"/>
      <c r="F78" s="81" t="s">
        <v>123</v>
      </c>
      <c r="G78" s="82" t="e">
        <f>(1/SQRT((1/(0.263*C70))^2+(1/(0.843*C65))^2))+1</f>
        <v>#DIV/0!</v>
      </c>
      <c r="H78" s="250"/>
      <c r="I78" s="250"/>
    </row>
    <row r="79" spans="1:12" ht="14.25" customHeight="1" x14ac:dyDescent="0.3">
      <c r="A79" s="250"/>
      <c r="B79" s="250"/>
      <c r="C79" s="250"/>
      <c r="E79" s="83"/>
      <c r="F79" s="84" t="s">
        <v>124</v>
      </c>
      <c r="G79" s="85" t="e">
        <f>G78*G77</f>
        <v>#DIV/0!</v>
      </c>
      <c r="H79" s="250"/>
      <c r="I79" s="250"/>
    </row>
    <row r="80" spans="1:12" x14ac:dyDescent="0.3">
      <c r="A80" s="6" t="s">
        <v>125</v>
      </c>
      <c r="B80" s="88" t="e">
        <f>SQRT((G63+G71)^2+3*((G79)^2))</f>
        <v>#DIV/0!</v>
      </c>
      <c r="C80" s="136" t="s">
        <v>268</v>
      </c>
      <c r="E80" s="63"/>
      <c r="F80" s="63"/>
      <c r="G80" s="63"/>
      <c r="H80" s="63"/>
    </row>
    <row r="81" spans="1:12" x14ac:dyDescent="0.3">
      <c r="E81" s="63"/>
      <c r="F81" s="63"/>
      <c r="G81" s="63"/>
      <c r="H81" s="63"/>
    </row>
    <row r="82" spans="1:12" x14ac:dyDescent="0.3">
      <c r="A82" s="250"/>
      <c r="B82" s="250"/>
      <c r="C82" s="250"/>
      <c r="D82" s="250"/>
      <c r="E82" s="63"/>
      <c r="F82" s="63"/>
      <c r="G82" s="63"/>
      <c r="H82" s="63"/>
    </row>
    <row r="83" spans="1:12" x14ac:dyDescent="0.3">
      <c r="A83" s="250"/>
      <c r="B83" s="250"/>
      <c r="C83" s="250"/>
      <c r="D83" s="250"/>
      <c r="E83" s="63"/>
      <c r="F83" s="63"/>
      <c r="G83" s="63"/>
      <c r="H83" s="63"/>
    </row>
    <row r="84" spans="1:12" x14ac:dyDescent="0.3">
      <c r="A84" s="250"/>
      <c r="B84" s="250"/>
      <c r="C84" s="250"/>
      <c r="D84" s="250"/>
      <c r="E84" s="63"/>
      <c r="F84" s="63"/>
      <c r="G84" s="63"/>
      <c r="H84" s="63"/>
    </row>
    <row r="85" spans="1:12" x14ac:dyDescent="0.3">
      <c r="A85" s="1" t="s">
        <v>126</v>
      </c>
    </row>
    <row r="86" spans="1:12" x14ac:dyDescent="0.3">
      <c r="A86" s="340" t="s">
        <v>127</v>
      </c>
      <c r="B86" s="339" t="e">
        <f>B85/B80</f>
        <v>#DIV/0!</v>
      </c>
    </row>
    <row r="90" spans="1:12" x14ac:dyDescent="0.3">
      <c r="A90" s="247" t="s">
        <v>128</v>
      </c>
      <c r="B90" s="247"/>
      <c r="C90" s="248" t="s">
        <v>129</v>
      </c>
      <c r="D90" s="248"/>
    </row>
    <row r="91" spans="1:12" ht="15" customHeight="1" x14ac:dyDescent="0.3">
      <c r="A91" s="247"/>
      <c r="B91" s="247"/>
      <c r="C91" s="248"/>
      <c r="D91" s="248"/>
    </row>
    <row r="93" spans="1:12" x14ac:dyDescent="0.3">
      <c r="G93" s="145" t="s">
        <v>130</v>
      </c>
      <c r="H93" s="146" t="s">
        <v>2</v>
      </c>
      <c r="I93" s="147" t="s">
        <v>131</v>
      </c>
    </row>
    <row r="94" spans="1:12" x14ac:dyDescent="0.3">
      <c r="G94" s="37" t="s">
        <v>82</v>
      </c>
      <c r="H94" s="35" t="s">
        <v>83</v>
      </c>
      <c r="I94" s="36"/>
      <c r="K94" s="6" t="s">
        <v>132</v>
      </c>
      <c r="L94" s="88" t="e">
        <f>(16*I94)/(PI()*I95^3)</f>
        <v>#DIV/0!</v>
      </c>
    </row>
    <row r="95" spans="1:12" x14ac:dyDescent="0.3">
      <c r="G95" s="37" t="s">
        <v>112</v>
      </c>
      <c r="H95" s="35" t="s">
        <v>98</v>
      </c>
      <c r="I95" s="36"/>
      <c r="K95" s="144" t="s">
        <v>133</v>
      </c>
      <c r="L95" s="88" t="e">
        <f>(32*I96)/(PI()*I95^3)</f>
        <v>#DIV/0!</v>
      </c>
    </row>
    <row r="96" spans="1:12" x14ac:dyDescent="0.3">
      <c r="G96" s="37" t="s">
        <v>134</v>
      </c>
      <c r="H96" s="35" t="s">
        <v>83</v>
      </c>
      <c r="I96" s="36"/>
      <c r="K96" s="6" t="s">
        <v>135</v>
      </c>
      <c r="L96" s="88" t="e">
        <f>(I97*I98^3)/(48*I99*L97)</f>
        <v>#DIV/0!</v>
      </c>
    </row>
    <row r="97" spans="7:13" x14ac:dyDescent="0.3">
      <c r="G97" s="37" t="s">
        <v>7</v>
      </c>
      <c r="H97" s="35" t="s">
        <v>17</v>
      </c>
      <c r="I97" s="36"/>
      <c r="J97" s="149" t="s">
        <v>136</v>
      </c>
      <c r="K97" s="6" t="s">
        <v>137</v>
      </c>
      <c r="L97" s="88">
        <f>(PI()*(I95^4))/64</f>
        <v>0</v>
      </c>
    </row>
    <row r="98" spans="7:13" x14ac:dyDescent="0.3">
      <c r="G98" s="37" t="s">
        <v>138</v>
      </c>
      <c r="H98" s="35" t="s">
        <v>98</v>
      </c>
      <c r="I98" s="36"/>
      <c r="K98" s="6" t="s">
        <v>139</v>
      </c>
      <c r="L98" s="88" t="e">
        <f>-(I97*I98^2)/(16*I99*L97)</f>
        <v>#DIV/0!</v>
      </c>
    </row>
    <row r="99" spans="7:13" x14ac:dyDescent="0.3">
      <c r="G99" s="38" t="s">
        <v>140</v>
      </c>
      <c r="H99" s="62" t="s">
        <v>95</v>
      </c>
      <c r="I99" s="142"/>
      <c r="K99" s="6" t="s">
        <v>141</v>
      </c>
      <c r="L99" s="88" t="e">
        <f>(I97*I98^2)/(16*I99*L97)</f>
        <v>#DIV/0!</v>
      </c>
    </row>
    <row r="100" spans="7:13" x14ac:dyDescent="0.3">
      <c r="L100" s="86"/>
    </row>
    <row r="101" spans="7:13" x14ac:dyDescent="0.3">
      <c r="L101" s="86"/>
    </row>
    <row r="102" spans="7:13" x14ac:dyDescent="0.3">
      <c r="K102" s="144" t="s">
        <v>142</v>
      </c>
      <c r="L102" s="88" t="e">
        <f>SQRT(L95^2+3*L94^2)</f>
        <v>#DIV/0!</v>
      </c>
      <c r="M102" s="150" t="s">
        <v>95</v>
      </c>
    </row>
    <row r="119" ht="14.4" customHeight="1" x14ac:dyDescent="0.3"/>
    <row r="120" ht="14.4" customHeight="1" x14ac:dyDescent="0.3"/>
  </sheetData>
  <mergeCells count="20">
    <mergeCell ref="N2:P4"/>
    <mergeCell ref="A19:A20"/>
    <mergeCell ref="I51:J51"/>
    <mergeCell ref="H62:I63"/>
    <mergeCell ref="H78:I79"/>
    <mergeCell ref="H70:L71"/>
    <mergeCell ref="F9:F10"/>
    <mergeCell ref="A1:B1"/>
    <mergeCell ref="A34:B34"/>
    <mergeCell ref="B70:B72"/>
    <mergeCell ref="C70:C72"/>
    <mergeCell ref="A70:A72"/>
    <mergeCell ref="B65:B67"/>
    <mergeCell ref="C65:C67"/>
    <mergeCell ref="A65:A67"/>
    <mergeCell ref="A90:B91"/>
    <mergeCell ref="C90:D91"/>
    <mergeCell ref="C34:D34"/>
    <mergeCell ref="A75:C79"/>
    <mergeCell ref="A82:D8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43DD-2E39-49B2-B24F-807562701582}">
  <dimension ref="A2:AA121"/>
  <sheetViews>
    <sheetView zoomScale="70" workbookViewId="0">
      <selection activeCell="D112" sqref="D112"/>
    </sheetView>
  </sheetViews>
  <sheetFormatPr baseColWidth="10" defaultColWidth="9.109375" defaultRowHeight="14.4" x14ac:dyDescent="0.3"/>
  <cols>
    <col min="1" max="1" width="30.6640625" style="1" customWidth="1"/>
    <col min="2" max="3" width="10.6640625" style="1" customWidth="1"/>
    <col min="4" max="4" width="11.33203125" style="1" customWidth="1"/>
    <col min="5" max="5" width="16" style="1" bestFit="1" customWidth="1"/>
    <col min="6" max="16384" width="9.109375" style="1"/>
  </cols>
  <sheetData>
    <row r="2" spans="1:27" ht="21" customHeight="1" x14ac:dyDescent="0.3">
      <c r="A2" s="264" t="s">
        <v>143</v>
      </c>
      <c r="B2" s="265"/>
      <c r="C2" s="266"/>
    </row>
    <row r="3" spans="1:27" x14ac:dyDescent="0.3">
      <c r="A3" s="17" t="s">
        <v>1</v>
      </c>
      <c r="B3" s="18" t="s">
        <v>2</v>
      </c>
      <c r="C3" s="19" t="s">
        <v>3</v>
      </c>
    </row>
    <row r="4" spans="1:27" x14ac:dyDescent="0.3">
      <c r="A4" s="273"/>
      <c r="B4" s="274"/>
      <c r="C4" s="275"/>
    </row>
    <row r="5" spans="1:27" x14ac:dyDescent="0.3">
      <c r="A5" s="20" t="s">
        <v>144</v>
      </c>
      <c r="B5" s="21" t="s">
        <v>17</v>
      </c>
      <c r="C5" s="22"/>
    </row>
    <row r="6" spans="1:27" x14ac:dyDescent="0.3">
      <c r="A6" s="23" t="s">
        <v>145</v>
      </c>
      <c r="B6" s="24" t="s">
        <v>28</v>
      </c>
      <c r="C6" s="25"/>
    </row>
    <row r="7" spans="1:27" x14ac:dyDescent="0.3">
      <c r="A7" s="23" t="s">
        <v>146</v>
      </c>
      <c r="B7" s="24" t="s">
        <v>147</v>
      </c>
      <c r="C7" s="25"/>
    </row>
    <row r="8" spans="1:27" x14ac:dyDescent="0.3">
      <c r="A8" s="23" t="s">
        <v>148</v>
      </c>
      <c r="B8" s="24" t="s">
        <v>28</v>
      </c>
      <c r="C8" s="25"/>
    </row>
    <row r="9" spans="1:27" x14ac:dyDescent="0.3">
      <c r="A9" s="26" t="s">
        <v>149</v>
      </c>
      <c r="B9" s="27" t="s">
        <v>150</v>
      </c>
      <c r="C9" s="28"/>
    </row>
    <row r="10" spans="1:27" x14ac:dyDescent="0.3">
      <c r="A10" s="273"/>
      <c r="B10" s="274"/>
      <c r="C10" s="275"/>
    </row>
    <row r="11" spans="1:27" x14ac:dyDescent="0.3">
      <c r="A11" s="178" t="s">
        <v>151</v>
      </c>
      <c r="B11" s="179" t="s">
        <v>28</v>
      </c>
      <c r="C11" s="180" t="e">
        <f>(C5*C6*C9)/(C7*C8)</f>
        <v>#DIV/0!</v>
      </c>
    </row>
    <row r="13" spans="1:27" x14ac:dyDescent="0.3">
      <c r="A13" s="181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</row>
    <row r="15" spans="1:27" ht="22.2" customHeight="1" x14ac:dyDescent="0.3">
      <c r="A15" s="264" t="s">
        <v>152</v>
      </c>
      <c r="B15" s="265"/>
      <c r="C15" s="266"/>
    </row>
    <row r="16" spans="1:27" x14ac:dyDescent="0.3">
      <c r="A16" s="17" t="s">
        <v>1</v>
      </c>
      <c r="B16" s="18" t="s">
        <v>2</v>
      </c>
      <c r="C16" s="19" t="s">
        <v>3</v>
      </c>
    </row>
    <row r="17" spans="1:27" x14ac:dyDescent="0.3">
      <c r="A17" s="259"/>
      <c r="B17" s="280"/>
      <c r="C17" s="281"/>
    </row>
    <row r="18" spans="1:27" x14ac:dyDescent="0.3">
      <c r="A18" s="55" t="s">
        <v>148</v>
      </c>
      <c r="B18" s="56" t="s">
        <v>28</v>
      </c>
      <c r="C18" s="57">
        <v>5</v>
      </c>
      <c r="D18" s="43"/>
      <c r="E18" s="43"/>
    </row>
    <row r="19" spans="1:27" x14ac:dyDescent="0.3">
      <c r="A19" s="267" t="s">
        <v>153</v>
      </c>
      <c r="B19" s="268" t="s">
        <v>28</v>
      </c>
      <c r="C19" s="269"/>
      <c r="D19" s="43"/>
      <c r="E19" s="43"/>
    </row>
    <row r="20" spans="1:27" x14ac:dyDescent="0.3">
      <c r="A20" s="267"/>
      <c r="B20" s="268"/>
      <c r="C20" s="269"/>
      <c r="D20" s="43"/>
      <c r="E20" s="43"/>
    </row>
    <row r="21" spans="1:27" x14ac:dyDescent="0.3">
      <c r="A21" s="267" t="s">
        <v>154</v>
      </c>
      <c r="B21" s="268" t="s">
        <v>28</v>
      </c>
      <c r="C21" s="269"/>
      <c r="D21" s="43"/>
      <c r="E21" s="43"/>
    </row>
    <row r="22" spans="1:27" x14ac:dyDescent="0.3">
      <c r="A22" s="267"/>
      <c r="B22" s="268"/>
      <c r="C22" s="269"/>
      <c r="D22" s="43"/>
      <c r="E22" s="43"/>
    </row>
    <row r="23" spans="1:27" x14ac:dyDescent="0.3">
      <c r="A23" s="47" t="s">
        <v>155</v>
      </c>
      <c r="B23" s="44" t="s">
        <v>28</v>
      </c>
      <c r="C23" s="48"/>
      <c r="D23" s="43"/>
      <c r="E23" s="43"/>
    </row>
    <row r="24" spans="1:27" x14ac:dyDescent="0.3">
      <c r="A24" s="51" t="s">
        <v>156</v>
      </c>
      <c r="B24" s="52" t="s">
        <v>28</v>
      </c>
      <c r="C24" s="53"/>
      <c r="D24" s="43"/>
      <c r="E24" s="43"/>
    </row>
    <row r="25" spans="1:27" x14ac:dyDescent="0.3">
      <c r="A25" s="270"/>
      <c r="B25" s="271"/>
      <c r="C25" s="272"/>
      <c r="D25" s="43"/>
      <c r="E25" s="43"/>
    </row>
    <row r="26" spans="1:27" x14ac:dyDescent="0.3">
      <c r="A26" s="55" t="s">
        <v>157</v>
      </c>
      <c r="B26" s="56" t="s">
        <v>150</v>
      </c>
      <c r="C26" s="57">
        <f>ASIN((C23-C24)/C18)</f>
        <v>0</v>
      </c>
      <c r="D26" s="49" t="s">
        <v>158</v>
      </c>
      <c r="E26" s="50">
        <f>C26*(180/PI())</f>
        <v>0</v>
      </c>
    </row>
    <row r="27" spans="1:27" x14ac:dyDescent="0.3">
      <c r="A27" s="47" t="s">
        <v>159</v>
      </c>
      <c r="B27" s="44" t="s">
        <v>28</v>
      </c>
      <c r="C27" s="48">
        <f>(PI()-2*C26)*C24</f>
        <v>0</v>
      </c>
      <c r="D27" s="43"/>
      <c r="E27" s="43"/>
    </row>
    <row r="28" spans="1:27" x14ac:dyDescent="0.3">
      <c r="A28" s="51" t="s">
        <v>160</v>
      </c>
      <c r="B28" s="52" t="s">
        <v>28</v>
      </c>
      <c r="C28" s="53">
        <f>(PI()+2*C26)*C23</f>
        <v>0</v>
      </c>
      <c r="D28" s="43"/>
      <c r="E28" s="43"/>
    </row>
    <row r="29" spans="1:27" x14ac:dyDescent="0.3">
      <c r="A29" s="270"/>
      <c r="B29" s="271"/>
      <c r="C29" s="272"/>
      <c r="D29" s="43"/>
      <c r="E29" s="43"/>
    </row>
    <row r="30" spans="1:27" x14ac:dyDescent="0.3">
      <c r="A30" s="173" t="s">
        <v>161</v>
      </c>
      <c r="B30" s="176" t="s">
        <v>28</v>
      </c>
      <c r="C30" s="177">
        <f>C19+C21+C27+C28</f>
        <v>0</v>
      </c>
      <c r="D30" s="43"/>
      <c r="E30" s="43"/>
    </row>
    <row r="31" spans="1:27" x14ac:dyDescent="0.3">
      <c r="E31" s="1" t="s">
        <v>162</v>
      </c>
    </row>
    <row r="32" spans="1:27" x14ac:dyDescent="0.3">
      <c r="A32" s="181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</row>
    <row r="34" spans="1:27" ht="28.95" customHeight="1" x14ac:dyDescent="0.3">
      <c r="A34" s="276" t="s">
        <v>163</v>
      </c>
      <c r="B34" s="277"/>
      <c r="C34" s="278"/>
    </row>
    <row r="35" spans="1:27" ht="15.6" customHeight="1" x14ac:dyDescent="0.3">
      <c r="A35" s="17" t="s">
        <v>1</v>
      </c>
      <c r="B35" s="18" t="s">
        <v>2</v>
      </c>
      <c r="C35" s="19" t="s">
        <v>3</v>
      </c>
    </row>
    <row r="36" spans="1:27" ht="13.95" customHeight="1" x14ac:dyDescent="0.3">
      <c r="A36" s="260"/>
      <c r="B36" s="250"/>
      <c r="C36" s="279"/>
    </row>
    <row r="37" spans="1:27" x14ac:dyDescent="0.3">
      <c r="A37" s="17" t="s">
        <v>164</v>
      </c>
      <c r="B37" s="18" t="s">
        <v>28</v>
      </c>
      <c r="C37" s="19"/>
    </row>
    <row r="38" spans="1:27" x14ac:dyDescent="0.3">
      <c r="A38" s="260"/>
      <c r="B38" s="250"/>
      <c r="C38" s="279"/>
    </row>
    <row r="39" spans="1:27" ht="28.8" x14ac:dyDescent="0.3">
      <c r="A39" s="30" t="s">
        <v>165</v>
      </c>
      <c r="B39" s="21" t="s">
        <v>28</v>
      </c>
      <c r="C39" s="22">
        <f>-0.015*C37</f>
        <v>0</v>
      </c>
    </row>
    <row r="40" spans="1:27" ht="28.8" x14ac:dyDescent="0.3">
      <c r="A40" s="172" t="s">
        <v>166</v>
      </c>
      <c r="B40" s="174" t="s">
        <v>28</v>
      </c>
      <c r="C40" s="175">
        <f>0.03*C37</f>
        <v>0</v>
      </c>
    </row>
    <row r="42" spans="1:27" x14ac:dyDescent="0.3">
      <c r="A42" s="181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</row>
    <row r="44" spans="1:27" ht="25.95" customHeight="1" x14ac:dyDescent="0.3">
      <c r="A44" s="264" t="s">
        <v>167</v>
      </c>
      <c r="B44" s="265"/>
      <c r="C44" s="266"/>
    </row>
    <row r="45" spans="1:27" x14ac:dyDescent="0.3">
      <c r="A45" s="17" t="s">
        <v>1</v>
      </c>
      <c r="B45" s="18" t="s">
        <v>2</v>
      </c>
      <c r="C45" s="19" t="s">
        <v>3</v>
      </c>
    </row>
    <row r="46" spans="1:27" x14ac:dyDescent="0.3">
      <c r="A46" s="291"/>
      <c r="B46" s="292"/>
      <c r="C46" s="293"/>
    </row>
    <row r="47" spans="1:27" x14ac:dyDescent="0.3">
      <c r="A47" s="23" t="s">
        <v>155</v>
      </c>
      <c r="B47" s="24" t="s">
        <v>28</v>
      </c>
      <c r="C47" s="48">
        <f>C23</f>
        <v>0</v>
      </c>
    </row>
    <row r="48" spans="1:27" x14ac:dyDescent="0.3">
      <c r="A48" s="23" t="s">
        <v>156</v>
      </c>
      <c r="B48" s="24" t="s">
        <v>28</v>
      </c>
      <c r="C48" s="48">
        <f>C24</f>
        <v>0</v>
      </c>
    </row>
    <row r="49" spans="1:27" x14ac:dyDescent="0.3">
      <c r="A49" s="45"/>
      <c r="C49" s="46"/>
    </row>
    <row r="50" spans="1:27" x14ac:dyDescent="0.3">
      <c r="A50" s="23" t="s">
        <v>168</v>
      </c>
      <c r="B50" s="24" t="s">
        <v>91</v>
      </c>
      <c r="C50" s="25"/>
    </row>
    <row r="51" spans="1:27" x14ac:dyDescent="0.3">
      <c r="A51" s="23" t="s">
        <v>169</v>
      </c>
      <c r="B51" s="24" t="s">
        <v>91</v>
      </c>
      <c r="C51" s="25"/>
    </row>
    <row r="52" spans="1:27" x14ac:dyDescent="0.3">
      <c r="A52" s="288"/>
      <c r="B52" s="289"/>
      <c r="C52" s="290"/>
    </row>
    <row r="53" spans="1:27" x14ac:dyDescent="0.3">
      <c r="A53" s="286" t="s">
        <v>170</v>
      </c>
      <c r="B53" s="284" t="s">
        <v>19</v>
      </c>
      <c r="C53" s="282">
        <f>C51*C48</f>
        <v>0</v>
      </c>
    </row>
    <row r="54" spans="1:27" x14ac:dyDescent="0.3">
      <c r="A54" s="287"/>
      <c r="B54" s="285"/>
      <c r="C54" s="283"/>
    </row>
    <row r="55" spans="1:27" x14ac:dyDescent="0.3">
      <c r="A55" s="287" t="s">
        <v>171</v>
      </c>
      <c r="B55" s="285" t="s">
        <v>19</v>
      </c>
      <c r="C55" s="283">
        <f>C50*C47</f>
        <v>0</v>
      </c>
    </row>
    <row r="56" spans="1:27" x14ac:dyDescent="0.3">
      <c r="A56" s="287"/>
      <c r="B56" s="285"/>
      <c r="C56" s="283"/>
    </row>
    <row r="57" spans="1:27" x14ac:dyDescent="0.3">
      <c r="A57" s="182" t="s">
        <v>172</v>
      </c>
      <c r="B57" s="174" t="s">
        <v>19</v>
      </c>
      <c r="C57" s="175">
        <f>C53+C55</f>
        <v>0</v>
      </c>
    </row>
    <row r="59" spans="1:27" x14ac:dyDescent="0.3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</row>
    <row r="61" spans="1:27" ht="25.2" customHeight="1" x14ac:dyDescent="0.3"/>
    <row r="65" spans="1:27" ht="21" customHeight="1" x14ac:dyDescent="0.3">
      <c r="A65" s="264" t="s">
        <v>173</v>
      </c>
      <c r="B65" s="265"/>
      <c r="C65" s="266"/>
    </row>
    <row r="66" spans="1:27" x14ac:dyDescent="0.3">
      <c r="A66" s="17" t="s">
        <v>1</v>
      </c>
      <c r="B66" s="18" t="s">
        <v>2</v>
      </c>
      <c r="C66" s="19" t="s">
        <v>3</v>
      </c>
    </row>
    <row r="67" spans="1:27" x14ac:dyDescent="0.3">
      <c r="A67" s="273"/>
      <c r="B67" s="274"/>
      <c r="C67" s="275"/>
    </row>
    <row r="68" spans="1:27" x14ac:dyDescent="0.3">
      <c r="A68" s="20" t="s">
        <v>174</v>
      </c>
      <c r="B68" s="21" t="s">
        <v>17</v>
      </c>
      <c r="C68" s="22"/>
    </row>
    <row r="69" spans="1:27" x14ac:dyDescent="0.3">
      <c r="A69" s="26" t="s">
        <v>175</v>
      </c>
      <c r="B69" s="27" t="s">
        <v>17</v>
      </c>
      <c r="C69" s="28"/>
    </row>
    <row r="70" spans="1:27" x14ac:dyDescent="0.3">
      <c r="A70" s="273"/>
      <c r="B70" s="274"/>
      <c r="C70" s="275"/>
    </row>
    <row r="71" spans="1:27" x14ac:dyDescent="0.3">
      <c r="A71" s="178" t="s">
        <v>176</v>
      </c>
      <c r="B71" s="179" t="s">
        <v>17</v>
      </c>
      <c r="C71" s="180">
        <f>(C68+C69)/2</f>
        <v>0</v>
      </c>
    </row>
    <row r="76" spans="1:27" x14ac:dyDescent="0.3">
      <c r="A76" s="181"/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  <c r="AA76" s="181"/>
    </row>
    <row r="78" spans="1:27" ht="27" customHeight="1" x14ac:dyDescent="0.3">
      <c r="A78" s="297" t="s">
        <v>177</v>
      </c>
      <c r="B78" s="298"/>
      <c r="C78" s="299"/>
    </row>
    <row r="79" spans="1:27" x14ac:dyDescent="0.3">
      <c r="A79" s="108" t="s">
        <v>1</v>
      </c>
      <c r="B79" s="58" t="s">
        <v>2</v>
      </c>
      <c r="C79" s="109" t="s">
        <v>3</v>
      </c>
    </row>
    <row r="80" spans="1:27" x14ac:dyDescent="0.3">
      <c r="A80" s="294"/>
      <c r="B80" s="295"/>
      <c r="C80" s="296"/>
    </row>
    <row r="81" spans="1:27" x14ac:dyDescent="0.3">
      <c r="A81" s="113" t="s">
        <v>156</v>
      </c>
      <c r="B81" s="114" t="s">
        <v>28</v>
      </c>
      <c r="C81" s="115">
        <f>C48</f>
        <v>0</v>
      </c>
    </row>
    <row r="82" spans="1:27" x14ac:dyDescent="0.3">
      <c r="A82" s="110" t="s">
        <v>174</v>
      </c>
      <c r="B82" s="107" t="s">
        <v>17</v>
      </c>
      <c r="C82" s="111">
        <f>C68</f>
        <v>0</v>
      </c>
    </row>
    <row r="83" spans="1:27" x14ac:dyDescent="0.3">
      <c r="A83" s="110" t="s">
        <v>175</v>
      </c>
      <c r="B83" s="107" t="s">
        <v>17</v>
      </c>
      <c r="C83" s="111">
        <f>C69</f>
        <v>0</v>
      </c>
    </row>
    <row r="84" spans="1:27" ht="30" customHeight="1" x14ac:dyDescent="0.3">
      <c r="A84" s="110" t="s">
        <v>178</v>
      </c>
      <c r="B84" s="107"/>
      <c r="C84" s="111"/>
    </row>
    <row r="85" spans="1:27" ht="27" customHeight="1" x14ac:dyDescent="0.3">
      <c r="A85" s="112" t="s">
        <v>179</v>
      </c>
      <c r="B85" s="107" t="s">
        <v>150</v>
      </c>
      <c r="C85" s="111"/>
    </row>
    <row r="86" spans="1:27" ht="28.8" x14ac:dyDescent="0.3">
      <c r="A86" s="112" t="s">
        <v>180</v>
      </c>
      <c r="B86" s="107" t="s">
        <v>11</v>
      </c>
      <c r="C86" s="111"/>
    </row>
    <row r="87" spans="1:27" ht="30" customHeight="1" x14ac:dyDescent="0.3">
      <c r="A87" s="116" t="s">
        <v>181</v>
      </c>
      <c r="B87" s="117" t="s">
        <v>150</v>
      </c>
      <c r="C87" s="118"/>
    </row>
    <row r="88" spans="1:27" x14ac:dyDescent="0.3">
      <c r="A88" s="312"/>
      <c r="B88" s="313"/>
      <c r="C88" s="314"/>
    </row>
    <row r="89" spans="1:27" x14ac:dyDescent="0.3">
      <c r="A89" s="183" t="s">
        <v>182</v>
      </c>
      <c r="B89" s="184" t="s">
        <v>17</v>
      </c>
      <c r="C89" s="185" t="e">
        <f>(C86/2*C81)*((EXP(C84*C85)+1)/(EXP(C84*C85)-1))</f>
        <v>#DIV/0!</v>
      </c>
    </row>
    <row r="90" spans="1:27" x14ac:dyDescent="0.3">
      <c r="A90" s="186" t="s">
        <v>183</v>
      </c>
      <c r="B90" s="187" t="s">
        <v>17</v>
      </c>
      <c r="C90" s="188" t="e">
        <f>(C86/2*C81)*((EXP((C84*C85)/SIN(C87))+1)/(EXP((C84*C85)/SIN(C87))-1))</f>
        <v>#DIV/0!</v>
      </c>
    </row>
    <row r="92" spans="1:27" x14ac:dyDescent="0.3">
      <c r="A92" s="181"/>
      <c r="B92" s="181"/>
      <c r="C92" s="181"/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  <c r="AA92" s="181"/>
    </row>
    <row r="93" spans="1:27" ht="15" thickBot="1" x14ac:dyDescent="0.35"/>
    <row r="94" spans="1:27" ht="28.95" customHeight="1" thickBot="1" x14ac:dyDescent="0.35">
      <c r="A94" s="309" t="s">
        <v>184</v>
      </c>
      <c r="B94" s="310"/>
      <c r="C94" s="311"/>
    </row>
    <row r="95" spans="1:27" ht="15" thickBot="1" x14ac:dyDescent="0.35">
      <c r="A95" s="122" t="s">
        <v>1</v>
      </c>
      <c r="B95" s="18" t="s">
        <v>2</v>
      </c>
      <c r="C95" s="123" t="s">
        <v>3</v>
      </c>
    </row>
    <row r="96" spans="1:27" ht="15" thickBot="1" x14ac:dyDescent="0.35">
      <c r="A96" s="124"/>
      <c r="C96" s="125"/>
    </row>
    <row r="97" spans="1:27" x14ac:dyDescent="0.3">
      <c r="A97" s="113" t="s">
        <v>156</v>
      </c>
      <c r="B97" s="114" t="s">
        <v>28</v>
      </c>
      <c r="C97" s="115">
        <f>C81</f>
        <v>0</v>
      </c>
    </row>
    <row r="98" spans="1:27" x14ac:dyDescent="0.3">
      <c r="A98" s="110" t="s">
        <v>174</v>
      </c>
      <c r="B98" s="107" t="s">
        <v>17</v>
      </c>
      <c r="C98" s="111">
        <f>C82</f>
        <v>0</v>
      </c>
    </row>
    <row r="99" spans="1:27" x14ac:dyDescent="0.3">
      <c r="A99" s="110" t="s">
        <v>175</v>
      </c>
      <c r="B99" s="107" t="s">
        <v>17</v>
      </c>
      <c r="C99" s="111">
        <f>C83</f>
        <v>0</v>
      </c>
    </row>
    <row r="100" spans="1:27" ht="28.8" x14ac:dyDescent="0.3">
      <c r="A100" s="112" t="s">
        <v>180</v>
      </c>
      <c r="B100" s="107" t="s">
        <v>11</v>
      </c>
      <c r="C100" s="111">
        <f>C86</f>
        <v>0</v>
      </c>
    </row>
    <row r="101" spans="1:27" x14ac:dyDescent="0.3">
      <c r="A101" s="110" t="s">
        <v>178</v>
      </c>
      <c r="B101" s="107"/>
      <c r="C101" s="111">
        <f>C84</f>
        <v>0</v>
      </c>
    </row>
    <row r="102" spans="1:27" ht="28.8" x14ac:dyDescent="0.3">
      <c r="A102" s="112" t="s">
        <v>179</v>
      </c>
      <c r="B102" s="107" t="s">
        <v>150</v>
      </c>
      <c r="C102" s="111">
        <f>C85</f>
        <v>0</v>
      </c>
    </row>
    <row r="103" spans="1:27" x14ac:dyDescent="0.3">
      <c r="A103" s="126" t="s">
        <v>185</v>
      </c>
      <c r="B103" s="119" t="s">
        <v>186</v>
      </c>
      <c r="C103" s="127"/>
    </row>
    <row r="104" spans="1:27" ht="15" thickBot="1" x14ac:dyDescent="0.35">
      <c r="A104" s="128" t="s">
        <v>172</v>
      </c>
      <c r="B104" s="129" t="s">
        <v>19</v>
      </c>
      <c r="C104" s="130"/>
    </row>
    <row r="105" spans="1:27" ht="15" thickBot="1" x14ac:dyDescent="0.35">
      <c r="A105" s="124"/>
      <c r="C105" s="125"/>
    </row>
    <row r="106" spans="1:27" ht="15" thickBot="1" x14ac:dyDescent="0.35">
      <c r="A106" s="131" t="s">
        <v>187</v>
      </c>
      <c r="B106" s="132" t="s">
        <v>17</v>
      </c>
      <c r="C106" s="133"/>
    </row>
    <row r="107" spans="1:27" ht="15" thickBot="1" x14ac:dyDescent="0.35">
      <c r="A107" s="124"/>
      <c r="C107" s="125"/>
    </row>
    <row r="108" spans="1:27" ht="15" thickBot="1" x14ac:dyDescent="0.35">
      <c r="A108" s="189" t="s">
        <v>188</v>
      </c>
      <c r="B108" s="190" t="s">
        <v>8</v>
      </c>
      <c r="C108" s="191">
        <f>2*(C106-(C103*C104^2))*C104*((EXP(C84*C85)-1)/(EXP(C84*C85)+1))</f>
        <v>0</v>
      </c>
    </row>
    <row r="110" spans="1:27" x14ac:dyDescent="0.3">
      <c r="A110" s="181"/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</row>
    <row r="112" spans="1:27" ht="30" customHeight="1" x14ac:dyDescent="0.3">
      <c r="A112" s="306" t="s">
        <v>189</v>
      </c>
      <c r="B112" s="307"/>
      <c r="C112" s="308"/>
    </row>
    <row r="113" spans="1:3" x14ac:dyDescent="0.3">
      <c r="A113" s="122" t="s">
        <v>1</v>
      </c>
      <c r="B113" s="18" t="s">
        <v>2</v>
      </c>
      <c r="C113" s="123" t="s">
        <v>3</v>
      </c>
    </row>
    <row r="114" spans="1:3" x14ac:dyDescent="0.3">
      <c r="A114" s="300"/>
      <c r="B114" s="301"/>
      <c r="C114" s="302"/>
    </row>
    <row r="115" spans="1:3" x14ac:dyDescent="0.3">
      <c r="A115" s="113" t="s">
        <v>157</v>
      </c>
      <c r="B115" s="114" t="s">
        <v>190</v>
      </c>
      <c r="C115" s="115">
        <f>C26</f>
        <v>0</v>
      </c>
    </row>
    <row r="116" spans="1:3" x14ac:dyDescent="0.3">
      <c r="A116" s="126" t="s">
        <v>191</v>
      </c>
      <c r="B116" s="119" t="s">
        <v>28</v>
      </c>
      <c r="C116" s="127">
        <f>C8</f>
        <v>0</v>
      </c>
    </row>
    <row r="117" spans="1:3" x14ac:dyDescent="0.3">
      <c r="A117" s="126" t="s">
        <v>192</v>
      </c>
      <c r="B117" s="119" t="s">
        <v>28</v>
      </c>
      <c r="C117" s="127">
        <f>C116*COS(C115)</f>
        <v>0</v>
      </c>
    </row>
    <row r="118" spans="1:3" x14ac:dyDescent="0.3">
      <c r="A118" s="126" t="s">
        <v>193</v>
      </c>
      <c r="B118" s="119" t="s">
        <v>28</v>
      </c>
      <c r="C118" s="127"/>
    </row>
    <row r="119" spans="1:3" x14ac:dyDescent="0.3">
      <c r="A119" s="128" t="s">
        <v>194</v>
      </c>
      <c r="B119" s="129" t="s">
        <v>17</v>
      </c>
      <c r="C119" s="130"/>
    </row>
    <row r="120" spans="1:3" x14ac:dyDescent="0.3">
      <c r="A120" s="303"/>
      <c r="B120" s="304"/>
      <c r="C120" s="305"/>
    </row>
    <row r="121" spans="1:3" x14ac:dyDescent="0.3">
      <c r="A121" s="192" t="s">
        <v>187</v>
      </c>
      <c r="B121" s="193" t="s">
        <v>17</v>
      </c>
      <c r="C121" s="194" t="e">
        <f>(C119*C116*COS(C115))/(4*C118)</f>
        <v>#DIV/0!</v>
      </c>
    </row>
  </sheetData>
  <mergeCells count="35">
    <mergeCell ref="A114:C114"/>
    <mergeCell ref="A120:C120"/>
    <mergeCell ref="A112:C112"/>
    <mergeCell ref="A94:C94"/>
    <mergeCell ref="A88:C88"/>
    <mergeCell ref="A80:C80"/>
    <mergeCell ref="A70:C70"/>
    <mergeCell ref="A78:C78"/>
    <mergeCell ref="A67:C67"/>
    <mergeCell ref="A55:A56"/>
    <mergeCell ref="B55:B56"/>
    <mergeCell ref="C55:C56"/>
    <mergeCell ref="A65:C65"/>
    <mergeCell ref="A38:C38"/>
    <mergeCell ref="A44:C44"/>
    <mergeCell ref="C53:C54"/>
    <mergeCell ref="B53:B54"/>
    <mergeCell ref="A53:A54"/>
    <mergeCell ref="A52:C52"/>
    <mergeCell ref="A46:C46"/>
    <mergeCell ref="A29:C29"/>
    <mergeCell ref="A4:C4"/>
    <mergeCell ref="A10:C10"/>
    <mergeCell ref="A34:C34"/>
    <mergeCell ref="A36:C36"/>
    <mergeCell ref="A21:A22"/>
    <mergeCell ref="B21:B22"/>
    <mergeCell ref="C21:C22"/>
    <mergeCell ref="A17:C17"/>
    <mergeCell ref="A25:C25"/>
    <mergeCell ref="A2:C2"/>
    <mergeCell ref="A15:C15"/>
    <mergeCell ref="A19:A20"/>
    <mergeCell ref="B19:B20"/>
    <mergeCell ref="C19:C20"/>
  </mergeCells>
  <pageMargins left="0.7" right="0.7" top="0.75" bottom="0.75" header="0.3" footer="0.3"/>
  <pageSetup paperSize="9" fitToWidth="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BA9F-3B4C-4728-B137-B97A4295EF9D}">
  <dimension ref="A34:AD130"/>
  <sheetViews>
    <sheetView topLeftCell="A118" zoomScale="85" workbookViewId="0">
      <selection activeCell="M111" sqref="M111:P111"/>
    </sheetView>
  </sheetViews>
  <sheetFormatPr baseColWidth="10" defaultColWidth="9.109375" defaultRowHeight="14.4" x14ac:dyDescent="0.3"/>
  <cols>
    <col min="7" max="7" width="8.88671875" bestFit="1" customWidth="1"/>
  </cols>
  <sheetData>
    <row r="34" spans="1:30" x14ac:dyDescent="0.3">
      <c r="E34" s="315" t="s">
        <v>195</v>
      </c>
      <c r="F34" s="315"/>
      <c r="G34" s="315" t="s">
        <v>2</v>
      </c>
      <c r="H34" s="315"/>
      <c r="I34" s="162" t="s">
        <v>3</v>
      </c>
      <c r="K34" s="323" t="s">
        <v>4</v>
      </c>
      <c r="L34" s="324"/>
      <c r="M34" s="325"/>
      <c r="O34" s="315" t="s">
        <v>5</v>
      </c>
      <c r="P34" s="315"/>
    </row>
    <row r="35" spans="1:30" x14ac:dyDescent="0.3">
      <c r="E35" s="316" t="s">
        <v>196</v>
      </c>
      <c r="F35" s="316"/>
      <c r="G35" s="317"/>
      <c r="H35" s="317"/>
      <c r="I35" t="e">
        <f>N63</f>
        <v>#DIV/0!</v>
      </c>
      <c r="M35" s="42"/>
      <c r="O35" s="317" t="e">
        <f>(1/PI()*2)*SQRT(I35/I36)</f>
        <v>#DIV/0!</v>
      </c>
      <c r="P35" s="317"/>
    </row>
    <row r="36" spans="1:30" x14ac:dyDescent="0.3">
      <c r="E36" s="316" t="s">
        <v>197</v>
      </c>
      <c r="F36" s="316"/>
      <c r="G36" s="316" t="s">
        <v>198</v>
      </c>
      <c r="H36" s="316"/>
    </row>
    <row r="37" spans="1:30" x14ac:dyDescent="0.3">
      <c r="E37" s="316" t="s">
        <v>199</v>
      </c>
      <c r="F37" s="316"/>
      <c r="G37" s="316" t="s">
        <v>200</v>
      </c>
      <c r="H37" s="316"/>
    </row>
    <row r="42" spans="1:30" x14ac:dyDescent="0.3">
      <c r="G42" s="336"/>
      <c r="H42" s="336"/>
    </row>
    <row r="44" spans="1:30" x14ac:dyDescent="0.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40"/>
      <c r="AC44" s="40"/>
      <c r="AD44" s="40"/>
    </row>
    <row r="48" spans="1:30" x14ac:dyDescent="0.3">
      <c r="F48" s="2"/>
      <c r="G48" s="321" t="s">
        <v>201</v>
      </c>
      <c r="H48" s="322"/>
      <c r="I48" s="322"/>
      <c r="J48" s="322"/>
      <c r="K48" s="322"/>
      <c r="L48" s="322"/>
      <c r="M48" s="322"/>
      <c r="N48" s="322"/>
    </row>
    <row r="49" spans="1:20" x14ac:dyDescent="0.3">
      <c r="G49" s="323" t="s">
        <v>202</v>
      </c>
      <c r="H49" s="325"/>
    </row>
    <row r="50" spans="1:20" x14ac:dyDescent="0.3">
      <c r="J50" s="315" t="s">
        <v>203</v>
      </c>
      <c r="K50" s="315"/>
      <c r="L50" s="315" t="s">
        <v>271</v>
      </c>
      <c r="M50" s="315"/>
    </row>
    <row r="51" spans="1:20" x14ac:dyDescent="0.3">
      <c r="L51" s="320"/>
      <c r="M51" s="320"/>
    </row>
    <row r="52" spans="1:20" x14ac:dyDescent="0.3">
      <c r="L52" s="326" t="e">
        <f>((4*S53)-1)/((4*S53)-4)-(0.615/S53)</f>
        <v>#DIV/0!</v>
      </c>
      <c r="M52" s="327"/>
      <c r="O52" s="315" t="s">
        <v>204</v>
      </c>
      <c r="P52" s="315"/>
      <c r="Q52" s="315"/>
      <c r="R52" s="315"/>
      <c r="S52" s="318" t="s">
        <v>205</v>
      </c>
      <c r="T52" s="319"/>
    </row>
    <row r="53" spans="1:20" x14ac:dyDescent="0.3">
      <c r="L53" s="328"/>
      <c r="M53" s="329"/>
      <c r="Q53" s="163" t="s">
        <v>206</v>
      </c>
      <c r="R53" s="162" t="s">
        <v>207</v>
      </c>
      <c r="S53" s="330" t="e">
        <f>Q54/R54</f>
        <v>#DIV/0!</v>
      </c>
      <c r="T53" s="331"/>
    </row>
    <row r="54" spans="1:20" x14ac:dyDescent="0.3">
      <c r="Q54" s="164"/>
      <c r="R54" s="165"/>
    </row>
    <row r="56" spans="1:20" x14ac:dyDescent="0.3">
      <c r="A56" s="163" t="s">
        <v>208</v>
      </c>
      <c r="J56" s="315" t="s">
        <v>209</v>
      </c>
      <c r="K56" s="315"/>
      <c r="L56" s="315" t="s">
        <v>271</v>
      </c>
      <c r="M56" s="315"/>
    </row>
    <row r="57" spans="1:20" x14ac:dyDescent="0.3">
      <c r="L57" s="326" t="e">
        <f>((4*S53)+1)/((4*S53)+4)-(0.615/S53)</f>
        <v>#DIV/0!</v>
      </c>
      <c r="M57" s="327"/>
    </row>
    <row r="58" spans="1:20" x14ac:dyDescent="0.3">
      <c r="L58" s="328"/>
      <c r="M58" s="329"/>
    </row>
    <row r="61" spans="1:20" x14ac:dyDescent="0.3">
      <c r="I61" s="90"/>
      <c r="J61" s="91"/>
      <c r="K61" s="91"/>
      <c r="L61" s="91"/>
      <c r="M61" s="91"/>
      <c r="N61" s="91"/>
      <c r="O61" s="91"/>
      <c r="P61" s="92"/>
    </row>
    <row r="62" spans="1:20" x14ac:dyDescent="0.3">
      <c r="I62" s="93"/>
      <c r="J62" s="315" t="s">
        <v>210</v>
      </c>
      <c r="K62" s="315"/>
      <c r="L62" s="315"/>
      <c r="M62" s="315"/>
      <c r="N62" s="315" t="s">
        <v>271</v>
      </c>
      <c r="O62" s="315"/>
      <c r="P62" s="94"/>
    </row>
    <row r="63" spans="1:20" x14ac:dyDescent="0.3">
      <c r="I63" s="93"/>
      <c r="N63" s="332" t="e">
        <f>(S53+0.2)/(S53-1)</f>
        <v>#DIV/0!</v>
      </c>
      <c r="O63" s="332"/>
      <c r="P63" s="94"/>
    </row>
    <row r="64" spans="1:20" x14ac:dyDescent="0.3">
      <c r="I64" s="93"/>
      <c r="N64" s="332"/>
      <c r="O64" s="332"/>
      <c r="P64" s="94"/>
    </row>
    <row r="65" spans="1:28" x14ac:dyDescent="0.3">
      <c r="I65" s="93"/>
      <c r="P65" s="94"/>
    </row>
    <row r="66" spans="1:28" x14ac:dyDescent="0.3">
      <c r="I66" s="93"/>
      <c r="P66" s="94"/>
    </row>
    <row r="67" spans="1:28" x14ac:dyDescent="0.3">
      <c r="I67" s="95"/>
      <c r="J67" s="96"/>
      <c r="K67" s="96"/>
      <c r="L67" s="96"/>
      <c r="M67" s="96"/>
      <c r="N67" s="96"/>
      <c r="O67" s="96"/>
      <c r="P67" s="97"/>
    </row>
    <row r="75" spans="1:28" x14ac:dyDescent="0.3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66"/>
      <c r="AB75" s="166"/>
    </row>
    <row r="78" spans="1:28" x14ac:dyDescent="0.3">
      <c r="G78" s="315" t="s">
        <v>211</v>
      </c>
      <c r="H78" s="315"/>
      <c r="I78" s="163" t="s">
        <v>212</v>
      </c>
      <c r="J78" s="163" t="s">
        <v>213</v>
      </c>
      <c r="K78" s="163" t="s">
        <v>214</v>
      </c>
      <c r="L78" s="163" t="s">
        <v>215</v>
      </c>
    </row>
    <row r="79" spans="1:28" x14ac:dyDescent="0.3">
      <c r="G79" s="315" t="s">
        <v>216</v>
      </c>
      <c r="H79" s="315"/>
      <c r="I79" s="165">
        <v>950</v>
      </c>
      <c r="J79" s="165">
        <v>800</v>
      </c>
      <c r="K79" s="165">
        <v>650</v>
      </c>
      <c r="L79" s="165">
        <v>600</v>
      </c>
    </row>
    <row r="83" spans="1:13" x14ac:dyDescent="0.3">
      <c r="J83" s="336" t="s">
        <v>217</v>
      </c>
      <c r="K83" s="336"/>
      <c r="L83" s="336"/>
      <c r="M83" s="336"/>
    </row>
    <row r="86" spans="1:13" x14ac:dyDescent="0.3">
      <c r="I86" s="163" t="s">
        <v>218</v>
      </c>
    </row>
    <row r="87" spans="1:13" x14ac:dyDescent="0.3">
      <c r="A87" s="315" t="s">
        <v>203</v>
      </c>
      <c r="B87" s="315"/>
      <c r="C87" s="315"/>
      <c r="E87" s="315" t="s">
        <v>219</v>
      </c>
      <c r="F87" s="315"/>
      <c r="G87" s="315"/>
      <c r="H87" s="315"/>
      <c r="I87" s="165"/>
      <c r="K87" s="315" t="s">
        <v>220</v>
      </c>
      <c r="L87" s="315"/>
      <c r="M87" s="315"/>
    </row>
    <row r="88" spans="1:13" x14ac:dyDescent="0.3">
      <c r="E88" s="315" t="s">
        <v>221</v>
      </c>
      <c r="F88" s="315"/>
      <c r="G88" s="315"/>
      <c r="H88" s="315"/>
      <c r="I88" s="165"/>
      <c r="K88" s="332" t="e">
        <f>I87*((8*I89*I88)/(PI()*I90^3))</f>
        <v>#DIV/0!</v>
      </c>
      <c r="L88" s="332"/>
      <c r="M88" s="332"/>
    </row>
    <row r="89" spans="1:13" x14ac:dyDescent="0.3">
      <c r="E89" s="315" t="s">
        <v>222</v>
      </c>
      <c r="F89" s="315"/>
      <c r="G89" s="315"/>
      <c r="H89" s="315"/>
      <c r="I89" s="165"/>
    </row>
    <row r="90" spans="1:13" x14ac:dyDescent="0.3">
      <c r="E90" s="315" t="s">
        <v>223</v>
      </c>
      <c r="F90" s="315"/>
      <c r="G90" s="315"/>
      <c r="H90" s="315"/>
      <c r="I90" s="165"/>
    </row>
    <row r="94" spans="1:13" x14ac:dyDescent="0.3">
      <c r="I94" s="163" t="s">
        <v>218</v>
      </c>
    </row>
    <row r="95" spans="1:13" x14ac:dyDescent="0.3">
      <c r="A95" s="315" t="s">
        <v>224</v>
      </c>
      <c r="B95" s="315"/>
      <c r="C95" s="315"/>
      <c r="E95" s="315" t="s">
        <v>225</v>
      </c>
      <c r="F95" s="315"/>
      <c r="G95" s="315"/>
      <c r="H95" s="315"/>
      <c r="I95" s="165"/>
      <c r="K95" s="315" t="s">
        <v>226</v>
      </c>
      <c r="L95" s="315"/>
      <c r="M95" s="315"/>
    </row>
    <row r="96" spans="1:13" x14ac:dyDescent="0.3">
      <c r="E96" s="315" t="s">
        <v>272</v>
      </c>
      <c r="F96" s="315"/>
      <c r="G96" s="315"/>
      <c r="H96" s="315"/>
      <c r="I96" s="165"/>
      <c r="K96" s="332" t="e">
        <f>I100*((I95*I96*I97)/(PI()*I98*I99^2))</f>
        <v>#DIV/0!</v>
      </c>
      <c r="L96" s="332"/>
      <c r="M96" s="332"/>
    </row>
    <row r="97" spans="1:27" x14ac:dyDescent="0.3">
      <c r="E97" s="315" t="s">
        <v>228</v>
      </c>
      <c r="F97" s="315"/>
      <c r="G97" s="315"/>
      <c r="H97" s="315"/>
      <c r="I97" s="165"/>
    </row>
    <row r="98" spans="1:27" x14ac:dyDescent="0.3">
      <c r="E98" s="315" t="s">
        <v>229</v>
      </c>
      <c r="F98" s="315"/>
      <c r="G98" s="315"/>
      <c r="H98" s="315"/>
      <c r="I98" s="165"/>
    </row>
    <row r="99" spans="1:27" x14ac:dyDescent="0.3">
      <c r="E99" s="315" t="s">
        <v>221</v>
      </c>
      <c r="F99" s="315"/>
      <c r="G99" s="315"/>
      <c r="H99" s="315"/>
      <c r="I99" s="165"/>
    </row>
    <row r="100" spans="1:27" x14ac:dyDescent="0.3">
      <c r="E100" s="315" t="s">
        <v>230</v>
      </c>
      <c r="F100" s="315"/>
      <c r="G100" s="315"/>
      <c r="H100" s="315"/>
      <c r="I100" s="165"/>
    </row>
    <row r="104" spans="1:27" x14ac:dyDescent="0.3">
      <c r="A104" s="166"/>
      <c r="B104" s="16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  <c r="AA104" s="166"/>
    </row>
    <row r="106" spans="1:27" x14ac:dyDescent="0.3">
      <c r="L106" s="336" t="s">
        <v>231</v>
      </c>
      <c r="M106" s="336"/>
      <c r="N106" s="336"/>
      <c r="O106" s="336"/>
      <c r="P106" s="336"/>
      <c r="Q106" s="336"/>
    </row>
    <row r="107" spans="1:27" x14ac:dyDescent="0.3">
      <c r="L107" s="167"/>
    </row>
    <row r="108" spans="1:27" x14ac:dyDescent="0.3">
      <c r="H108" s="315" t="s">
        <v>232</v>
      </c>
      <c r="I108" s="315"/>
      <c r="J108" s="315"/>
      <c r="K108" s="315"/>
    </row>
    <row r="109" spans="1:27" x14ac:dyDescent="0.3">
      <c r="Q109" s="163" t="s">
        <v>218</v>
      </c>
      <c r="S109" s="315" t="s">
        <v>233</v>
      </c>
      <c r="T109" s="315"/>
      <c r="U109" s="315"/>
    </row>
    <row r="110" spans="1:27" x14ac:dyDescent="0.3">
      <c r="H110" s="315" t="s">
        <v>234</v>
      </c>
      <c r="I110" s="315"/>
      <c r="J110" s="315"/>
      <c r="K110" s="315"/>
      <c r="M110" s="315" t="s">
        <v>272</v>
      </c>
      <c r="N110" s="315"/>
      <c r="O110" s="315"/>
      <c r="P110" s="315"/>
      <c r="Q110" s="165"/>
      <c r="S110" s="333" t="e">
        <f>(Q110*Q113^4)/(8*Q111*Q112^3)</f>
        <v>#DIV/0!</v>
      </c>
      <c r="T110" s="334"/>
      <c r="U110" s="335"/>
    </row>
    <row r="111" spans="1:27" x14ac:dyDescent="0.3">
      <c r="A111" s="163" t="s">
        <v>235</v>
      </c>
      <c r="M111" s="315" t="s">
        <v>229</v>
      </c>
      <c r="N111" s="315"/>
      <c r="O111" s="315"/>
      <c r="P111" s="315"/>
      <c r="Q111" s="165"/>
    </row>
    <row r="112" spans="1:27" x14ac:dyDescent="0.3">
      <c r="M112" s="315" t="s">
        <v>221</v>
      </c>
      <c r="N112" s="315"/>
      <c r="O112" s="315"/>
      <c r="P112" s="315"/>
      <c r="Q112" s="165"/>
    </row>
    <row r="113" spans="8:21" x14ac:dyDescent="0.3">
      <c r="M113" s="315" t="s">
        <v>228</v>
      </c>
      <c r="N113" s="315"/>
      <c r="O113" s="315"/>
      <c r="P113" s="315"/>
      <c r="Q113" s="165"/>
    </row>
    <row r="123" spans="8:21" x14ac:dyDescent="0.3">
      <c r="H123" s="315" t="s">
        <v>236</v>
      </c>
      <c r="I123" s="315"/>
      <c r="J123" s="315"/>
      <c r="K123" s="315"/>
    </row>
    <row r="125" spans="8:21" x14ac:dyDescent="0.3">
      <c r="H125" s="315" t="s">
        <v>234</v>
      </c>
      <c r="I125" s="315"/>
      <c r="J125" s="315"/>
      <c r="K125" s="315"/>
      <c r="Q125" s="163" t="s">
        <v>218</v>
      </c>
      <c r="S125" s="315" t="s">
        <v>233</v>
      </c>
      <c r="T125" s="315"/>
      <c r="U125" s="315"/>
    </row>
    <row r="126" spans="8:21" x14ac:dyDescent="0.3">
      <c r="M126" s="315" t="s">
        <v>227</v>
      </c>
      <c r="N126" s="315"/>
      <c r="O126" s="315"/>
      <c r="P126" s="315"/>
      <c r="Q126" s="165"/>
      <c r="S126" s="333" t="e">
        <f>(Q126*Q130*Q129^4)/(8*Q127*Q128^3)</f>
        <v>#DIV/0!</v>
      </c>
      <c r="T126" s="334"/>
      <c r="U126" s="335"/>
    </row>
    <row r="127" spans="8:21" x14ac:dyDescent="0.3">
      <c r="M127" s="315" t="s">
        <v>229</v>
      </c>
      <c r="N127" s="315"/>
      <c r="O127" s="315"/>
      <c r="P127" s="315"/>
      <c r="Q127" s="165"/>
    </row>
    <row r="128" spans="8:21" x14ac:dyDescent="0.3">
      <c r="M128" s="315" t="s">
        <v>221</v>
      </c>
      <c r="N128" s="315"/>
      <c r="O128" s="315"/>
      <c r="P128" s="315"/>
      <c r="Q128" s="165"/>
    </row>
    <row r="129" spans="13:17" x14ac:dyDescent="0.3">
      <c r="M129" s="315" t="s">
        <v>228</v>
      </c>
      <c r="N129" s="315"/>
      <c r="O129" s="315"/>
      <c r="P129" s="315"/>
      <c r="Q129" s="165"/>
    </row>
    <row r="130" spans="13:17" x14ac:dyDescent="0.3">
      <c r="M130" s="315" t="s">
        <v>225</v>
      </c>
      <c r="N130" s="315"/>
      <c r="O130" s="315"/>
      <c r="P130" s="315"/>
      <c r="Q130" s="165"/>
    </row>
  </sheetData>
  <mergeCells count="64">
    <mergeCell ref="M127:P127"/>
    <mergeCell ref="M128:P128"/>
    <mergeCell ref="M129:P129"/>
    <mergeCell ref="M130:P130"/>
    <mergeCell ref="S125:U125"/>
    <mergeCell ref="S126:U126"/>
    <mergeCell ref="H125:K125"/>
    <mergeCell ref="H123:K123"/>
    <mergeCell ref="O52:R52"/>
    <mergeCell ref="G42:H42"/>
    <mergeCell ref="M126:P126"/>
    <mergeCell ref="L106:Q106"/>
    <mergeCell ref="M111:P111"/>
    <mergeCell ref="M112:P112"/>
    <mergeCell ref="M113:P113"/>
    <mergeCell ref="E97:H97"/>
    <mergeCell ref="E98:H98"/>
    <mergeCell ref="E99:H99"/>
    <mergeCell ref="E100:H100"/>
    <mergeCell ref="J83:M83"/>
    <mergeCell ref="K87:M87"/>
    <mergeCell ref="K95:M95"/>
    <mergeCell ref="S109:U109"/>
    <mergeCell ref="S110:U110"/>
    <mergeCell ref="H108:K108"/>
    <mergeCell ref="H110:K110"/>
    <mergeCell ref="M110:P110"/>
    <mergeCell ref="K88:M88"/>
    <mergeCell ref="A87:C87"/>
    <mergeCell ref="N62:O62"/>
    <mergeCell ref="N63:O64"/>
    <mergeCell ref="K96:M96"/>
    <mergeCell ref="A95:C95"/>
    <mergeCell ref="E95:H95"/>
    <mergeCell ref="E96:H96"/>
    <mergeCell ref="E88:H88"/>
    <mergeCell ref="E89:H89"/>
    <mergeCell ref="E90:H90"/>
    <mergeCell ref="E87:H87"/>
    <mergeCell ref="G79:H79"/>
    <mergeCell ref="G78:H78"/>
    <mergeCell ref="O34:P34"/>
    <mergeCell ref="O35:P35"/>
    <mergeCell ref="L50:M50"/>
    <mergeCell ref="S52:T52"/>
    <mergeCell ref="J62:M62"/>
    <mergeCell ref="L51:M51"/>
    <mergeCell ref="G48:N48"/>
    <mergeCell ref="K34:M34"/>
    <mergeCell ref="G49:H49"/>
    <mergeCell ref="J50:K50"/>
    <mergeCell ref="J56:K56"/>
    <mergeCell ref="L56:M56"/>
    <mergeCell ref="L57:M58"/>
    <mergeCell ref="S53:T53"/>
    <mergeCell ref="L52:M53"/>
    <mergeCell ref="E34:F34"/>
    <mergeCell ref="E35:F35"/>
    <mergeCell ref="E36:F36"/>
    <mergeCell ref="E37:F37"/>
    <mergeCell ref="G34:H34"/>
    <mergeCell ref="G37:H37"/>
    <mergeCell ref="G35:H35"/>
    <mergeCell ref="G36:H3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4BFD-D8F9-418C-AACB-034E9F68A57D}">
  <dimension ref="A2:D6"/>
  <sheetViews>
    <sheetView workbookViewId="0"/>
  </sheetViews>
  <sheetFormatPr baseColWidth="10" defaultColWidth="8.88671875" defaultRowHeight="14.4" x14ac:dyDescent="0.3"/>
  <sheetData>
    <row r="2" spans="1:4" x14ac:dyDescent="0.3">
      <c r="A2" s="64"/>
      <c r="B2" s="65"/>
      <c r="C2" s="64" t="s">
        <v>43</v>
      </c>
      <c r="D2" s="66" t="s">
        <v>237</v>
      </c>
    </row>
    <row r="3" spans="1:4" x14ac:dyDescent="0.3">
      <c r="A3" s="67" t="s">
        <v>238</v>
      </c>
      <c r="B3" s="41">
        <v>1</v>
      </c>
      <c r="C3" s="67">
        <f>CONVERT($B$3,$A$3,C2)</f>
        <v>9.9999999999999995E-7</v>
      </c>
      <c r="D3" s="68">
        <f>CONVERT($B$3,$A$3,D2)</f>
        <v>0.01</v>
      </c>
    </row>
    <row r="5" spans="1:4" x14ac:dyDescent="0.3">
      <c r="A5" s="64"/>
      <c r="B5" s="65"/>
      <c r="C5" s="64" t="s">
        <v>237</v>
      </c>
      <c r="D5" s="66" t="s">
        <v>238</v>
      </c>
    </row>
    <row r="6" spans="1:4" x14ac:dyDescent="0.3">
      <c r="A6" s="67" t="s">
        <v>43</v>
      </c>
      <c r="B6" s="41">
        <v>1</v>
      </c>
      <c r="C6" s="67">
        <f>CONVERT($B$6,$A$6,C5)</f>
        <v>10000</v>
      </c>
      <c r="D6" s="68">
        <f>CONVERT($B$6,$A$6,D5)</f>
        <v>1000000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48B8846C5C5842AF3276CF83D9F7B8" ma:contentTypeVersion="6" ma:contentTypeDescription="Crée un document." ma:contentTypeScope="" ma:versionID="a126e553bae590ec5785e9fe801427d4">
  <xsd:schema xmlns:xsd="http://www.w3.org/2001/XMLSchema" xmlns:xs="http://www.w3.org/2001/XMLSchema" xmlns:p="http://schemas.microsoft.com/office/2006/metadata/properties" xmlns:ns2="d0e12c57-0b07-4412-8469-a67eb728aabb" targetNamespace="http://schemas.microsoft.com/office/2006/metadata/properties" ma:root="true" ma:fieldsID="34985261b229e56cd978d64e76d1d057" ns2:_="">
    <xsd:import namespace="d0e12c57-0b07-4412-8469-a67eb728aa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e12c57-0b07-4412-8469-a67eb728aa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8C977E-A441-48F6-BF6D-13E4C973B5F6}"/>
</file>

<file path=customXml/itemProps2.xml><?xml version="1.0" encoding="utf-8"?>
<ds:datastoreItem xmlns:ds="http://schemas.openxmlformats.org/officeDocument/2006/customXml" ds:itemID="{D5BAB818-C12B-4C3D-BC63-B6C202F9F35B}"/>
</file>

<file path=customXml/itemProps3.xml><?xml version="1.0" encoding="utf-8"?>
<ds:datastoreItem xmlns:ds="http://schemas.openxmlformats.org/officeDocument/2006/customXml" ds:itemID="{9090B2BD-A8FA-4405-A8A8-4440F4AD18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Chapitre 1</vt:lpstr>
      <vt:lpstr>Chapitre 2</vt:lpstr>
      <vt:lpstr>Chapitre 3</vt:lpstr>
      <vt:lpstr>Chapitre 4</vt:lpstr>
      <vt:lpstr>Chapitre 5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mateo ferna</dc:creator>
  <cp:keywords/>
  <dc:description/>
  <cp:lastModifiedBy>charl</cp:lastModifiedBy>
  <cp:revision/>
  <dcterms:created xsi:type="dcterms:W3CDTF">2021-10-21T12:31:01Z</dcterms:created>
  <dcterms:modified xsi:type="dcterms:W3CDTF">2021-11-25T19:40:17Z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0x0101000348B8846C5C5842AF3276CF83D9F7B8</vt:lpwstr>
  </property>
</Properties>
</file>