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Erwin\MANAJEMEN\CORP FINANCE\"/>
    </mc:Choice>
  </mc:AlternateContent>
  <xr:revisionPtr revIDLastSave="0" documentId="13_ncr:1_{FA5625BE-B8FE-4EE5-8C8A-34614A6203F3}" xr6:coauthVersionLast="47" xr6:coauthVersionMax="47" xr10:uidLastSave="{00000000-0000-0000-0000-000000000000}"/>
  <bookViews>
    <workbookView xWindow="780" yWindow="780" windowWidth="13515" windowHeight="14595" xr2:uid="{21AFBD7D-65DE-4076-B4E5-69F5D54D34E5}"/>
  </bookViews>
  <sheets>
    <sheet name="Bpk Dermawan" sheetId="3" r:id="rId1"/>
    <sheet name="Bpk Dermawan 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E42" i="3"/>
  <c r="F42" i="3"/>
  <c r="G42" i="3"/>
  <c r="C42" i="3"/>
  <c r="B54" i="3"/>
  <c r="C22" i="3"/>
  <c r="D22" i="3" s="1"/>
  <c r="E22" i="3" s="1"/>
  <c r="F22" i="3" s="1"/>
  <c r="G22" i="3" s="1"/>
  <c r="C21" i="3"/>
  <c r="D21" i="3" s="1"/>
  <c r="E21" i="3" s="1"/>
  <c r="F21" i="3" s="1"/>
  <c r="G21" i="3" s="1"/>
  <c r="C20" i="3"/>
  <c r="D20" i="3" s="1"/>
  <c r="E20" i="3" s="1"/>
  <c r="F20" i="3" s="1"/>
  <c r="G20" i="3" s="1"/>
  <c r="C19" i="3"/>
  <c r="D19" i="3" s="1"/>
  <c r="E19" i="3" s="1"/>
  <c r="F19" i="3" s="1"/>
  <c r="G19" i="3" s="1"/>
  <c r="C18" i="3"/>
  <c r="D18" i="3" s="1"/>
  <c r="E18" i="3" s="1"/>
  <c r="F18" i="3" s="1"/>
  <c r="G18" i="3" s="1"/>
  <c r="C17" i="3"/>
  <c r="D17" i="3" s="1"/>
  <c r="E17" i="3" s="1"/>
  <c r="F17" i="3" s="1"/>
  <c r="G17" i="3" s="1"/>
  <c r="B42" i="3"/>
  <c r="B47" i="3" s="1"/>
  <c r="D47" i="3" s="1"/>
  <c r="F38" i="3"/>
  <c r="C29" i="3"/>
  <c r="D29" i="3" s="1"/>
  <c r="E29" i="3" s="1"/>
  <c r="F29" i="3" s="1"/>
  <c r="G29" i="3" s="1"/>
  <c r="C28" i="3"/>
  <c r="D28" i="3" s="1"/>
  <c r="E28" i="3" s="1"/>
  <c r="F28" i="3" s="1"/>
  <c r="G28" i="3" s="1"/>
  <c r="C27" i="3"/>
  <c r="D27" i="3" s="1"/>
  <c r="E27" i="3" s="1"/>
  <c r="F27" i="3" s="1"/>
  <c r="G27" i="3" s="1"/>
  <c r="C26" i="3"/>
  <c r="D26" i="3" s="1"/>
  <c r="E26" i="3" s="1"/>
  <c r="F26" i="3" s="1"/>
  <c r="G26" i="3" s="1"/>
  <c r="D25" i="3"/>
  <c r="E25" i="3" s="1"/>
  <c r="F25" i="3" s="1"/>
  <c r="G25" i="3" s="1"/>
  <c r="C25" i="3"/>
  <c r="G12" i="3"/>
  <c r="G40" i="3" s="1"/>
  <c r="F12" i="3"/>
  <c r="F40" i="3" s="1"/>
  <c r="E12" i="3"/>
  <c r="E40" i="3" s="1"/>
  <c r="D12" i="3"/>
  <c r="D40" i="3" s="1"/>
  <c r="C12" i="3"/>
  <c r="C40" i="3" s="1"/>
  <c r="G11" i="3"/>
  <c r="G39" i="3" s="1"/>
  <c r="F11" i="3"/>
  <c r="F39" i="3" s="1"/>
  <c r="E11" i="3"/>
  <c r="E39" i="3" s="1"/>
  <c r="D11" i="3"/>
  <c r="D39" i="3" s="1"/>
  <c r="C11" i="3"/>
  <c r="C39" i="3" s="1"/>
  <c r="G10" i="3"/>
  <c r="G38" i="3" s="1"/>
  <c r="F10" i="3"/>
  <c r="E10" i="3"/>
  <c r="D10" i="3"/>
  <c r="D38" i="3" s="1"/>
  <c r="C10" i="3"/>
  <c r="C38" i="3" s="1"/>
  <c r="D5" i="3"/>
  <c r="E5" i="3" s="1"/>
  <c r="C9" i="2"/>
  <c r="C37" i="2" s="1"/>
  <c r="D9" i="2"/>
  <c r="D37" i="2" s="1"/>
  <c r="E9" i="2"/>
  <c r="E37" i="2" s="1"/>
  <c r="F9" i="2"/>
  <c r="F37" i="2" s="1"/>
  <c r="G9" i="2"/>
  <c r="G37" i="2" s="1"/>
  <c r="C10" i="2"/>
  <c r="C38" i="2" s="1"/>
  <c r="D10" i="2"/>
  <c r="D38" i="2" s="1"/>
  <c r="E10" i="2"/>
  <c r="E38" i="2" s="1"/>
  <c r="F10" i="2"/>
  <c r="F38" i="2" s="1"/>
  <c r="G10" i="2"/>
  <c r="G38" i="2" s="1"/>
  <c r="C11" i="2"/>
  <c r="C39" i="2" s="1"/>
  <c r="D11" i="2"/>
  <c r="D39" i="2" s="1"/>
  <c r="E11" i="2"/>
  <c r="E39" i="2" s="1"/>
  <c r="F11" i="2"/>
  <c r="F39" i="2" s="1"/>
  <c r="G11" i="2"/>
  <c r="G39" i="2" s="1"/>
  <c r="C12" i="2"/>
  <c r="C40" i="2" s="1"/>
  <c r="D12" i="2"/>
  <c r="D40" i="2" s="1"/>
  <c r="E12" i="2"/>
  <c r="E40" i="2" s="1"/>
  <c r="F12" i="2"/>
  <c r="F40" i="2" s="1"/>
  <c r="G12" i="2"/>
  <c r="G40" i="2" s="1"/>
  <c r="E47" i="3" l="1"/>
  <c r="F5" i="3"/>
  <c r="F30" i="3"/>
  <c r="E30" i="3"/>
  <c r="E33" i="3" s="1"/>
  <c r="C30" i="3"/>
  <c r="C33" i="3" s="1"/>
  <c r="E38" i="3"/>
  <c r="D30" i="3"/>
  <c r="D33" i="3" s="1"/>
  <c r="D35" i="3" s="1"/>
  <c r="B49" i="3" s="1"/>
  <c r="D49" i="3" s="1"/>
  <c r="G30" i="3"/>
  <c r="C47" i="3"/>
  <c r="C26" i="2"/>
  <c r="D26" i="2" s="1"/>
  <c r="E26" i="2" s="1"/>
  <c r="F26" i="2" s="1"/>
  <c r="G26" i="2" s="1"/>
  <c r="C21" i="2"/>
  <c r="D21" i="2" s="1"/>
  <c r="E21" i="2" s="1"/>
  <c r="F21" i="2" s="1"/>
  <c r="G21" i="2" s="1"/>
  <c r="C20" i="2"/>
  <c r="D20" i="2" s="1"/>
  <c r="E20" i="2" s="1"/>
  <c r="C19" i="2"/>
  <c r="D19" i="2" s="1"/>
  <c r="E19" i="2" s="1"/>
  <c r="C18" i="2"/>
  <c r="D18" i="2" s="1"/>
  <c r="E18" i="2" s="1"/>
  <c r="B42" i="2"/>
  <c r="C28" i="2"/>
  <c r="D28" i="2" s="1"/>
  <c r="E28" i="2" s="1"/>
  <c r="F28" i="2" s="1"/>
  <c r="G28" i="2" s="1"/>
  <c r="C27" i="2"/>
  <c r="D27" i="2" s="1"/>
  <c r="E27" i="2" s="1"/>
  <c r="F27" i="2" s="1"/>
  <c r="G27" i="2" s="1"/>
  <c r="C25" i="2"/>
  <c r="D25" i="2" s="1"/>
  <c r="E25" i="2" s="1"/>
  <c r="F25" i="2" s="1"/>
  <c r="G25" i="2" s="1"/>
  <c r="C24" i="2"/>
  <c r="D24" i="2" s="1"/>
  <c r="E24" i="2" s="1"/>
  <c r="F24" i="2" s="1"/>
  <c r="G24" i="2" s="1"/>
  <c r="C17" i="2"/>
  <c r="D17" i="2" s="1"/>
  <c r="E17" i="2" s="1"/>
  <c r="F17" i="2" s="1"/>
  <c r="G17" i="2" s="1"/>
  <c r="C35" i="3" l="1"/>
  <c r="B48" i="3" s="1"/>
  <c r="D48" i="3" s="1"/>
  <c r="E48" i="3" s="1"/>
  <c r="E49" i="3" s="1"/>
  <c r="E35" i="3"/>
  <c r="B50" i="3" s="1"/>
  <c r="D50" i="3" s="1"/>
  <c r="F33" i="3"/>
  <c r="F34" i="3" s="1"/>
  <c r="G5" i="3"/>
  <c r="B47" i="2"/>
  <c r="D47" i="2" s="1"/>
  <c r="E47" i="2" s="1"/>
  <c r="E29" i="2"/>
  <c r="D29" i="2"/>
  <c r="C29" i="2"/>
  <c r="C32" i="2" s="1"/>
  <c r="F18" i="2"/>
  <c r="G18" i="2" s="1"/>
  <c r="F20" i="2"/>
  <c r="G20" i="2" s="1"/>
  <c r="F19" i="2"/>
  <c r="G19" i="2" s="1"/>
  <c r="D5" i="2"/>
  <c r="C48" i="3" l="1"/>
  <c r="C49" i="3" s="1"/>
  <c r="C50" i="3" s="1"/>
  <c r="E50" i="3"/>
  <c r="G33" i="3"/>
  <c r="H5" i="3"/>
  <c r="C34" i="2"/>
  <c r="C42" i="2" s="1"/>
  <c r="B48" i="2" s="1"/>
  <c r="C47" i="2"/>
  <c r="G29" i="2"/>
  <c r="D32" i="2"/>
  <c r="D34" i="2" s="1"/>
  <c r="D42" i="2" s="1"/>
  <c r="F29" i="2"/>
  <c r="E5" i="2"/>
  <c r="E32" i="2" s="1"/>
  <c r="G34" i="3" l="1"/>
  <c r="G35" i="3" s="1"/>
  <c r="B52" i="3" s="1"/>
  <c r="D52" i="3" s="1"/>
  <c r="E33" i="2"/>
  <c r="E34" i="2"/>
  <c r="E42" i="2" s="1"/>
  <c r="D48" i="2"/>
  <c r="E48" i="2" s="1"/>
  <c r="B49" i="2"/>
  <c r="D49" i="2" s="1"/>
  <c r="C48" i="2"/>
  <c r="F5" i="2"/>
  <c r="F32" i="2" s="1"/>
  <c r="F33" i="2" l="1"/>
  <c r="F34" i="2"/>
  <c r="F42" i="2" s="1"/>
  <c r="B50" i="2"/>
  <c r="C49" i="2"/>
  <c r="E49" i="2"/>
  <c r="G5" i="2"/>
  <c r="B51" i="2"/>
  <c r="D51" i="2" s="1"/>
  <c r="D50" i="2" l="1"/>
  <c r="H5" i="2"/>
  <c r="G32" i="2"/>
  <c r="C50" i="2"/>
  <c r="C51" i="2" s="1"/>
  <c r="G33" i="2" l="1"/>
  <c r="G34" i="2"/>
  <c r="G42" i="2" s="1"/>
  <c r="E50" i="2"/>
  <c r="E51" i="2" s="1"/>
  <c r="B52" i="2"/>
  <c r="H42" i="2"/>
  <c r="D52" i="2" l="1"/>
  <c r="B56" i="2" s="1"/>
  <c r="B55" i="2"/>
  <c r="C52" i="2"/>
  <c r="B57" i="2" l="1"/>
  <c r="E52" i="2"/>
  <c r="F35" i="3"/>
  <c r="H42" i="3"/>
  <c r="B51" i="3" l="1"/>
  <c r="D51" i="3" l="1"/>
  <c r="C51" i="3"/>
  <c r="C52" i="3" s="1"/>
  <c r="B55" i="3"/>
  <c r="B57" i="3" l="1"/>
  <c r="E51" i="3"/>
  <c r="E52" i="3" s="1"/>
  <c r="B56" i="3"/>
</calcChain>
</file>

<file path=xl/sharedStrings.xml><?xml version="1.0" encoding="utf-8"?>
<sst xmlns="http://schemas.openxmlformats.org/spreadsheetml/2006/main" count="111" uniqueCount="60">
  <si>
    <t>Year 0</t>
  </si>
  <si>
    <t>Year 2</t>
  </si>
  <si>
    <t>Year 3</t>
  </si>
  <si>
    <t>Year 4</t>
  </si>
  <si>
    <t>Year 5</t>
  </si>
  <si>
    <t>Sales</t>
  </si>
  <si>
    <t>Cash Out-Flows</t>
  </si>
  <si>
    <t>Manufacturing Costs Variable</t>
  </si>
  <si>
    <t>Bengkel Pak Dermawan</t>
  </si>
  <si>
    <t>Year1</t>
  </si>
  <si>
    <t>Gaji karyawan</t>
  </si>
  <si>
    <t>- Customer Service 1org @Rp. 650.000</t>
  </si>
  <si>
    <t>- Sales Counter 1org @Rp. 700.000</t>
  </si>
  <si>
    <t>- Asisten mekanik 8org @Rp. 2.000.000</t>
  </si>
  <si>
    <t>- Kepala Bengkel 1org @Rp. 850.000</t>
  </si>
  <si>
    <t>Biaya-biaya</t>
  </si>
  <si>
    <t>- Biaya Listrik @Rp. 1.000.000</t>
  </si>
  <si>
    <t>- Biaya Telepon @Rp. 200.000</t>
  </si>
  <si>
    <t>- Biaya Alat Tulis Kantor @Rp. 150.000</t>
  </si>
  <si>
    <t>- Biaya Jasa Pelayanan @Rp. 187.500</t>
  </si>
  <si>
    <t>Pajak 20%</t>
  </si>
  <si>
    <t>Discounted Payback Period</t>
  </si>
  <si>
    <t>Year-End Cash Flow</t>
  </si>
  <si>
    <t>Year</t>
  </si>
  <si>
    <t>Project A</t>
  </si>
  <si>
    <t>Kumulatif CF</t>
  </si>
  <si>
    <t>PV</t>
  </si>
  <si>
    <t>Kumulatif PV</t>
  </si>
  <si>
    <t>Paypack Period (PP)</t>
  </si>
  <si>
    <t>IRR</t>
  </si>
  <si>
    <t>NPV</t>
  </si>
  <si>
    <t>PI</t>
  </si>
  <si>
    <t>Kesimpulan</t>
  </si>
  <si>
    <t>1. Proyek Tidak Layak dijalankan karena NPV Negatif</t>
  </si>
  <si>
    <t xml:space="preserve">2. Proyek Tidak Layak dijalankan karena PP Lebih dari Umur Proyek (5 Th) </t>
  </si>
  <si>
    <t>4. Proyek Tidak Layak dijalankan karena IRR &lt; Biaya modal (12 %)</t>
  </si>
  <si>
    <t xml:space="preserve">Berdasarkan seluruh metode, dapat disimpulkan bahwa proyek tidak layak dijalankan karena tidak memenuhi kriteria </t>
  </si>
  <si>
    <t>Sewa dimuka</t>
  </si>
  <si>
    <t>Modal kerja</t>
  </si>
  <si>
    <t>- Supervisor Mekanik 5org Rp. 3.750.000</t>
  </si>
  <si>
    <t>TOTAL</t>
  </si>
  <si>
    <t>- Biaya Operasi Bengkel @Rp. 250.000</t>
  </si>
  <si>
    <t>Aktiva lain2</t>
  </si>
  <si>
    <t>Peralatan&amp;perlengkapan bengkel</t>
  </si>
  <si>
    <t>Sistem Instalasi Pipa (5jt Subsidi)</t>
  </si>
  <si>
    <t>&gt;5 tahun</t>
  </si>
  <si>
    <t>3. Proyek Tidak Layak dijalankan karena PI (0.17) &lt; 1</t>
  </si>
  <si>
    <t>Cash Inflow</t>
  </si>
  <si>
    <t>Pengembalian penyusutan setelah dikurangi pajak</t>
  </si>
  <si>
    <t>EBIT (SALES - EXPENSE)</t>
  </si>
  <si>
    <t>EAT</t>
  </si>
  <si>
    <t>Net Cash Flow (EAT + SUM(40-45))</t>
  </si>
  <si>
    <t>- By THR</t>
  </si>
  <si>
    <t>2. Proyek Tidak Terlalu menguntungkan karena PP 4,43 tahun</t>
  </si>
  <si>
    <t>3. Proyek Tidak Layak dijalankan karena PI (0.89) &lt; 1</t>
  </si>
  <si>
    <t>EBIT (SALES - COST)</t>
  </si>
  <si>
    <t>EAT (EBIT-TAX)</t>
  </si>
  <si>
    <t>Manufacturing Costs Variable (SUM 9:29)</t>
  </si>
  <si>
    <t>Sistem Instalasi Pipa</t>
  </si>
  <si>
    <t>X Pengembalian penyusutan setelah dikurangi pajak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</si>
</sst>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0" fontId="0" fillId="0" borderId="0" xfId="0" applyNumberFormat="1"/>
    <xf numFmtId="40" fontId="0" fillId="0" borderId="1" xfId="0" applyNumberFormat="1" applyBorder="1"/>
    <xf numFmtId="40" fontId="0" fillId="0" borderId="1" xfId="0" applyNumberFormat="1" applyBorder="1" applyAlignment="1">
      <alignment horizontal="center"/>
    </xf>
    <xf numFmtId="40" fontId="0" fillId="0" borderId="2" xfId="0" applyNumberFormat="1" applyBorder="1"/>
    <xf numFmtId="40" fontId="2" fillId="0" borderId="1" xfId="0" applyNumberFormat="1" applyFont="1" applyBorder="1"/>
    <xf numFmtId="40" fontId="0" fillId="0" borderId="1" xfId="0" quotePrefix="1" applyNumberFormat="1" applyBorder="1"/>
    <xf numFmtId="40" fontId="0" fillId="0" borderId="1" xfId="0" applyNumberFormat="1" applyBorder="1" applyAlignment="1">
      <alignment vertical="center"/>
    </xf>
    <xf numFmtId="40" fontId="0" fillId="0" borderId="1" xfId="0" quotePrefix="1" applyNumberFormat="1" applyBorder="1" applyAlignment="1">
      <alignment wrapText="1"/>
    </xf>
    <xf numFmtId="40" fontId="0" fillId="0" borderId="1" xfId="0" applyNumberFormat="1" applyBorder="1" applyAlignment="1">
      <alignment wrapText="1"/>
    </xf>
    <xf numFmtId="40" fontId="0" fillId="0" borderId="1" xfId="0" quotePrefix="1" applyNumberFormat="1" applyBorder="1" applyAlignment="1">
      <alignment horizontal="left" vertical="center" wrapText="1"/>
    </xf>
    <xf numFmtId="40" fontId="2" fillId="0" borderId="1" xfId="0" applyNumberFormat="1" applyFont="1" applyBorder="1" applyAlignment="1">
      <alignment vertical="center"/>
    </xf>
    <xf numFmtId="40" fontId="0" fillId="2" borderId="1" xfId="0" applyNumberFormat="1" applyFill="1" applyBorder="1"/>
    <xf numFmtId="40" fontId="0" fillId="3" borderId="1" xfId="0" applyNumberFormat="1" applyFill="1" applyBorder="1"/>
    <xf numFmtId="40" fontId="2" fillId="2" borderId="1" xfId="0" applyNumberFormat="1" applyFont="1" applyFill="1" applyBorder="1"/>
    <xf numFmtId="38" fontId="0" fillId="0" borderId="1" xfId="0" applyNumberFormat="1" applyBorder="1" applyAlignment="1">
      <alignment horizontal="center"/>
    </xf>
    <xf numFmtId="40" fontId="2" fillId="6" borderId="1" xfId="0" applyNumberFormat="1" applyFont="1" applyFill="1" applyBorder="1"/>
    <xf numFmtId="0" fontId="2" fillId="0" borderId="0" xfId="0" applyFont="1"/>
    <xf numFmtId="40" fontId="0" fillId="0" borderId="1" xfId="0" applyNumberFormat="1" applyBorder="1" applyAlignment="1">
      <alignment horizontal="left"/>
    </xf>
    <xf numFmtId="40" fontId="2" fillId="0" borderId="1" xfId="0" applyNumberFormat="1" applyFont="1" applyBorder="1" applyAlignment="1">
      <alignment horizontal="left" wrapText="1"/>
    </xf>
    <xf numFmtId="40" fontId="0" fillId="4" borderId="1" xfId="0" applyNumberFormat="1" applyFill="1" applyBorder="1" applyAlignment="1">
      <alignment horizontal="center"/>
    </xf>
    <xf numFmtId="40" fontId="0" fillId="5" borderId="1" xfId="0" applyNumberFormat="1" applyFill="1" applyBorder="1" applyAlignment="1">
      <alignment horizontal="center"/>
    </xf>
    <xf numFmtId="40" fontId="0" fillId="3" borderId="1" xfId="0" applyNumberFormat="1" applyFill="1" applyBorder="1" applyAlignment="1">
      <alignment horizontal="center"/>
    </xf>
    <xf numFmtId="40" fontId="2" fillId="0" borderId="1" xfId="0" applyNumberFormat="1" applyFont="1" applyBorder="1" applyAlignment="1">
      <alignment horizontal="center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D3E1-8BE2-4BBB-B98D-DED6D01A27CD}">
  <dimension ref="A1:I60"/>
  <sheetViews>
    <sheetView tabSelected="1" topLeftCell="A29" zoomScaleNormal="100" workbookViewId="0">
      <selection activeCell="B55" sqref="B55"/>
    </sheetView>
  </sheetViews>
  <sheetFormatPr defaultRowHeight="15" x14ac:dyDescent="0.25"/>
  <cols>
    <col min="1" max="1" width="32.85546875" style="1" bestFit="1" customWidth="1"/>
    <col min="2" max="2" width="17.42578125" style="1" customWidth="1"/>
    <col min="3" max="3" width="16.7109375" style="1" customWidth="1"/>
    <col min="4" max="4" width="15.42578125" style="1" customWidth="1"/>
    <col min="5" max="5" width="16.140625" style="1" customWidth="1"/>
    <col min="6" max="6" width="15.42578125" style="1" customWidth="1"/>
    <col min="7" max="7" width="15.28515625" style="1" bestFit="1" customWidth="1"/>
    <col min="8" max="8" width="16.140625" style="1" bestFit="1" customWidth="1"/>
    <col min="9" max="16384" width="9.140625" style="1"/>
  </cols>
  <sheetData>
    <row r="1" spans="1:8" x14ac:dyDescent="0.25">
      <c r="A1" s="1" t="s">
        <v>8</v>
      </c>
    </row>
    <row r="2" spans="1:8" x14ac:dyDescent="0.25">
      <c r="A2" s="13"/>
      <c r="B2" s="13" t="s">
        <v>0</v>
      </c>
      <c r="C2" s="13" t="s">
        <v>9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40</v>
      </c>
    </row>
    <row r="3" spans="1:8" x14ac:dyDescent="0.25">
      <c r="A3" s="2"/>
      <c r="B3" s="2"/>
      <c r="C3" s="2"/>
      <c r="D3" s="2"/>
      <c r="E3" s="2"/>
      <c r="F3" s="2"/>
      <c r="G3" s="2"/>
      <c r="H3" s="12"/>
    </row>
    <row r="4" spans="1:8" x14ac:dyDescent="0.25">
      <c r="A4" s="20" t="s">
        <v>47</v>
      </c>
      <c r="B4" s="20"/>
      <c r="C4" s="20"/>
      <c r="D4" s="20"/>
      <c r="E4" s="20"/>
      <c r="F4" s="20"/>
      <c r="G4" s="20"/>
      <c r="H4" s="12"/>
    </row>
    <row r="5" spans="1:8" x14ac:dyDescent="0.25">
      <c r="A5" s="5" t="s">
        <v>5</v>
      </c>
      <c r="B5" s="2"/>
      <c r="C5" s="5">
        <v>91500000</v>
      </c>
      <c r="D5" s="5">
        <f>C5+(C5*50%)</f>
        <v>137250000</v>
      </c>
      <c r="E5" s="5">
        <f t="shared" ref="E5:G5" si="0">D5+(D5*50%)</f>
        <v>205875000</v>
      </c>
      <c r="F5" s="5">
        <f t="shared" si="0"/>
        <v>308812500</v>
      </c>
      <c r="G5" s="5">
        <f t="shared" si="0"/>
        <v>463218750</v>
      </c>
      <c r="H5" s="14">
        <f>SUM(C5:G5)</f>
        <v>1206656250</v>
      </c>
    </row>
    <row r="6" spans="1:8" x14ac:dyDescent="0.25">
      <c r="A6" s="2"/>
      <c r="B6" s="2"/>
      <c r="C6" s="2"/>
      <c r="D6" s="2"/>
      <c r="E6" s="2"/>
      <c r="F6" s="2"/>
      <c r="G6" s="2"/>
      <c r="H6" s="12"/>
    </row>
    <row r="7" spans="1:8" x14ac:dyDescent="0.25">
      <c r="A7" s="21" t="s">
        <v>6</v>
      </c>
      <c r="B7" s="21"/>
      <c r="C7" s="21"/>
      <c r="D7" s="21"/>
      <c r="E7" s="21"/>
      <c r="F7" s="21"/>
      <c r="G7" s="21"/>
      <c r="H7" s="12"/>
    </row>
    <row r="8" spans="1:8" x14ac:dyDescent="0.25">
      <c r="A8" s="3"/>
      <c r="B8" s="3"/>
      <c r="C8" s="3"/>
      <c r="D8" s="3"/>
      <c r="E8" s="3"/>
      <c r="F8" s="3"/>
      <c r="G8" s="3"/>
      <c r="H8" s="12"/>
    </row>
    <row r="9" spans="1:8" x14ac:dyDescent="0.25">
      <c r="A9" s="2" t="s">
        <v>37</v>
      </c>
      <c r="B9" s="2">
        <v>-150000000</v>
      </c>
      <c r="C9" s="3"/>
      <c r="D9" s="3"/>
      <c r="E9" s="3"/>
      <c r="F9" s="3"/>
      <c r="G9" s="3"/>
      <c r="H9" s="12"/>
    </row>
    <row r="10" spans="1:8" x14ac:dyDescent="0.25">
      <c r="A10" t="s">
        <v>58</v>
      </c>
      <c r="B10" s="2">
        <v>-6000000</v>
      </c>
      <c r="C10" s="3">
        <f t="shared" ref="C10:G12" si="1">20%*$B10</f>
        <v>-1200000</v>
      </c>
      <c r="D10" s="3">
        <f t="shared" si="1"/>
        <v>-1200000</v>
      </c>
      <c r="E10" s="3">
        <f t="shared" si="1"/>
        <v>-1200000</v>
      </c>
      <c r="F10" s="3">
        <f t="shared" si="1"/>
        <v>-1200000</v>
      </c>
      <c r="G10" s="3">
        <f t="shared" si="1"/>
        <v>-1200000</v>
      </c>
      <c r="H10" s="12"/>
    </row>
    <row r="11" spans="1:8" x14ac:dyDescent="0.25">
      <c r="A11" s="6" t="s">
        <v>43</v>
      </c>
      <c r="B11" s="7">
        <v>-52880000</v>
      </c>
      <c r="C11" s="3">
        <f t="shared" si="1"/>
        <v>-10576000</v>
      </c>
      <c r="D11" s="3">
        <f t="shared" si="1"/>
        <v>-10576000</v>
      </c>
      <c r="E11" s="3">
        <f t="shared" si="1"/>
        <v>-10576000</v>
      </c>
      <c r="F11" s="3">
        <f t="shared" si="1"/>
        <v>-10576000</v>
      </c>
      <c r="G11" s="3">
        <f t="shared" si="1"/>
        <v>-10576000</v>
      </c>
      <c r="H11" s="12"/>
    </row>
    <row r="12" spans="1:8" x14ac:dyDescent="0.25">
      <c r="A12" s="6" t="s">
        <v>42</v>
      </c>
      <c r="B12" s="2">
        <v>-11620000</v>
      </c>
      <c r="C12" s="3">
        <f t="shared" si="1"/>
        <v>-2324000</v>
      </c>
      <c r="D12" s="3">
        <f t="shared" si="1"/>
        <v>-2324000</v>
      </c>
      <c r="E12" s="3">
        <f t="shared" si="1"/>
        <v>-2324000</v>
      </c>
      <c r="F12" s="3">
        <f t="shared" si="1"/>
        <v>-2324000</v>
      </c>
      <c r="G12" s="3">
        <f t="shared" si="1"/>
        <v>-2324000</v>
      </c>
      <c r="H12" s="12"/>
    </row>
    <row r="13" spans="1:8" x14ac:dyDescent="0.25">
      <c r="A13" s="6"/>
      <c r="B13" s="2"/>
      <c r="C13" s="3"/>
      <c r="D13" s="3"/>
      <c r="E13" s="3"/>
      <c r="F13" s="3"/>
      <c r="G13" s="3"/>
      <c r="H13" s="12"/>
    </row>
    <row r="14" spans="1:8" x14ac:dyDescent="0.25">
      <c r="A14" s="6" t="s">
        <v>38</v>
      </c>
      <c r="B14" s="2">
        <v>-20000000</v>
      </c>
      <c r="C14" s="3"/>
      <c r="D14" s="3"/>
      <c r="E14" s="3"/>
      <c r="F14" s="3"/>
      <c r="G14" s="3"/>
      <c r="H14" s="12"/>
    </row>
    <row r="15" spans="1:8" x14ac:dyDescent="0.25">
      <c r="A15" s="3"/>
      <c r="B15" s="3"/>
      <c r="C15" s="3"/>
      <c r="D15" s="3"/>
      <c r="E15" s="3"/>
      <c r="F15" s="3"/>
      <c r="G15" s="3"/>
      <c r="H15" s="12"/>
    </row>
    <row r="16" spans="1:8" x14ac:dyDescent="0.25">
      <c r="A16" s="2" t="s">
        <v>10</v>
      </c>
      <c r="B16" s="2"/>
      <c r="C16" s="2"/>
      <c r="D16" s="2"/>
      <c r="E16" s="2"/>
      <c r="F16" s="2"/>
      <c r="G16" s="2"/>
      <c r="H16" s="12"/>
    </row>
    <row r="17" spans="1:8" ht="30" x14ac:dyDescent="0.25">
      <c r="A17" s="8" t="s">
        <v>39</v>
      </c>
      <c r="B17" s="2"/>
      <c r="C17" s="2">
        <f>-(3750000*12)</f>
        <v>-45000000</v>
      </c>
      <c r="D17" s="2">
        <f>C17*1.1</f>
        <v>-49500000.000000007</v>
      </c>
      <c r="E17" s="2">
        <f t="shared" ref="E17:G22" si="2">D17*1.1</f>
        <v>-54450000.000000015</v>
      </c>
      <c r="F17" s="2">
        <f t="shared" si="2"/>
        <v>-59895000.000000022</v>
      </c>
      <c r="G17" s="2">
        <f t="shared" si="2"/>
        <v>-65884500.00000003</v>
      </c>
      <c r="H17" s="12"/>
    </row>
    <row r="18" spans="1:8" ht="30" x14ac:dyDescent="0.25">
      <c r="A18" s="8" t="s">
        <v>11</v>
      </c>
      <c r="B18" s="2"/>
      <c r="C18" s="2">
        <f>-(650000*12)</f>
        <v>-7800000</v>
      </c>
      <c r="D18" s="2">
        <f t="shared" ref="D18:E22" si="3">C18*1.1</f>
        <v>-8580000</v>
      </c>
      <c r="E18" s="2">
        <f t="shared" si="3"/>
        <v>-9438000</v>
      </c>
      <c r="F18" s="2">
        <f t="shared" si="2"/>
        <v>-10381800</v>
      </c>
      <c r="G18" s="2">
        <f t="shared" si="2"/>
        <v>-11419980</v>
      </c>
      <c r="H18" s="12"/>
    </row>
    <row r="19" spans="1:8" ht="30" x14ac:dyDescent="0.25">
      <c r="A19" s="8" t="s">
        <v>12</v>
      </c>
      <c r="B19" s="2"/>
      <c r="C19" s="2">
        <f>-(700000*12)</f>
        <v>-8400000</v>
      </c>
      <c r="D19" s="2">
        <f t="shared" si="3"/>
        <v>-9240000</v>
      </c>
      <c r="E19" s="2">
        <f t="shared" si="3"/>
        <v>-10164000</v>
      </c>
      <c r="F19" s="2">
        <f t="shared" si="2"/>
        <v>-11180400</v>
      </c>
      <c r="G19" s="2">
        <f t="shared" si="2"/>
        <v>-12298440.000000002</v>
      </c>
      <c r="H19" s="12"/>
    </row>
    <row r="20" spans="1:8" ht="30" x14ac:dyDescent="0.25">
      <c r="A20" s="8" t="s">
        <v>14</v>
      </c>
      <c r="B20" s="2"/>
      <c r="C20" s="2">
        <f>-(850000*12)</f>
        <v>-10200000</v>
      </c>
      <c r="D20" s="2">
        <f t="shared" si="3"/>
        <v>-11220000</v>
      </c>
      <c r="E20" s="2">
        <f t="shared" si="3"/>
        <v>-12342000.000000002</v>
      </c>
      <c r="F20" s="2">
        <f t="shared" si="2"/>
        <v>-13576200.000000004</v>
      </c>
      <c r="G20" s="2">
        <f t="shared" si="2"/>
        <v>-14933820.000000006</v>
      </c>
      <c r="H20" s="12"/>
    </row>
    <row r="21" spans="1:8" ht="30" x14ac:dyDescent="0.25">
      <c r="A21" s="8" t="s">
        <v>13</v>
      </c>
      <c r="B21" s="2"/>
      <c r="C21" s="2">
        <f>-(2000000*12)</f>
        <v>-24000000</v>
      </c>
      <c r="D21" s="2">
        <f t="shared" si="3"/>
        <v>-26400000.000000004</v>
      </c>
      <c r="E21" s="2">
        <f t="shared" si="3"/>
        <v>-29040000.000000007</v>
      </c>
      <c r="F21" s="2">
        <f t="shared" si="2"/>
        <v>-31944000.000000011</v>
      </c>
      <c r="G21" s="2">
        <f t="shared" si="2"/>
        <v>-35138400.000000015</v>
      </c>
      <c r="H21" s="12"/>
    </row>
    <row r="22" spans="1:8" x14ac:dyDescent="0.25">
      <c r="A22" s="8" t="s">
        <v>52</v>
      </c>
      <c r="B22" s="2"/>
      <c r="C22" s="2">
        <f>-(3750000+650000+700000+850000+2000000)</f>
        <v>-7950000</v>
      </c>
      <c r="D22" s="2">
        <f t="shared" si="3"/>
        <v>-8745000</v>
      </c>
      <c r="E22" s="2">
        <f t="shared" ref="E22" si="4">D22*1.1</f>
        <v>-9619500</v>
      </c>
      <c r="F22" s="2">
        <f t="shared" si="2"/>
        <v>-10581450</v>
      </c>
      <c r="G22" s="2">
        <f t="shared" si="2"/>
        <v>-11639595.000000002</v>
      </c>
      <c r="H22" s="12"/>
    </row>
    <row r="23" spans="1:8" x14ac:dyDescent="0.25">
      <c r="A23" s="2"/>
      <c r="B23" s="2"/>
      <c r="C23" s="2"/>
      <c r="D23" s="2"/>
      <c r="E23" s="2"/>
      <c r="F23" s="2"/>
      <c r="G23" s="2"/>
      <c r="H23" s="12"/>
    </row>
    <row r="24" spans="1:8" x14ac:dyDescent="0.25">
      <c r="A24" s="9" t="s">
        <v>15</v>
      </c>
      <c r="B24" s="2"/>
      <c r="C24" s="2"/>
      <c r="D24" s="2"/>
      <c r="E24" s="2"/>
      <c r="F24" s="2"/>
      <c r="G24" s="2"/>
      <c r="H24" s="12"/>
    </row>
    <row r="25" spans="1:8" x14ac:dyDescent="0.25">
      <c r="A25" s="6" t="s">
        <v>16</v>
      </c>
      <c r="B25" s="2"/>
      <c r="C25" s="2">
        <f>-(1000000*12)</f>
        <v>-12000000</v>
      </c>
      <c r="D25" s="2">
        <f t="shared" ref="D25:G29" si="5">C25*1.1</f>
        <v>-13200000.000000002</v>
      </c>
      <c r="E25" s="2">
        <f t="shared" si="5"/>
        <v>-14520000.000000004</v>
      </c>
      <c r="F25" s="2">
        <f t="shared" si="5"/>
        <v>-15972000.000000006</v>
      </c>
      <c r="G25" s="2">
        <f t="shared" si="5"/>
        <v>-17569200.000000007</v>
      </c>
      <c r="H25" s="12"/>
    </row>
    <row r="26" spans="1:8" x14ac:dyDescent="0.25">
      <c r="A26" s="6" t="s">
        <v>17</v>
      </c>
      <c r="B26" s="2"/>
      <c r="C26" s="2">
        <f>-(200000*12)</f>
        <v>-2400000</v>
      </c>
      <c r="D26" s="2">
        <f t="shared" si="5"/>
        <v>-2640000</v>
      </c>
      <c r="E26" s="2">
        <f t="shared" si="5"/>
        <v>-2904000.0000000005</v>
      </c>
      <c r="F26" s="2">
        <f t="shared" si="5"/>
        <v>-3194400.0000000009</v>
      </c>
      <c r="G26" s="2">
        <f t="shared" si="5"/>
        <v>-3513840.0000000014</v>
      </c>
      <c r="H26" s="12"/>
    </row>
    <row r="27" spans="1:8" ht="30" x14ac:dyDescent="0.25">
      <c r="A27" s="10" t="s">
        <v>41</v>
      </c>
      <c r="B27" s="2"/>
      <c r="C27" s="2">
        <f>-(250000*12)</f>
        <v>-3000000</v>
      </c>
      <c r="D27" s="2">
        <f t="shared" si="5"/>
        <v>-3300000.0000000005</v>
      </c>
      <c r="E27" s="2">
        <f t="shared" si="5"/>
        <v>-3630000.0000000009</v>
      </c>
      <c r="F27" s="2">
        <f t="shared" si="5"/>
        <v>-3993000.0000000014</v>
      </c>
      <c r="G27" s="2">
        <f t="shared" si="5"/>
        <v>-4392300.0000000019</v>
      </c>
      <c r="H27" s="12"/>
    </row>
    <row r="28" spans="1:8" ht="30" x14ac:dyDescent="0.25">
      <c r="A28" s="8" t="s">
        <v>18</v>
      </c>
      <c r="B28" s="2"/>
      <c r="C28" s="2">
        <f>-(150000*12)</f>
        <v>-1800000</v>
      </c>
      <c r="D28" s="2">
        <f t="shared" si="5"/>
        <v>-1980000.0000000002</v>
      </c>
      <c r="E28" s="2">
        <f t="shared" si="5"/>
        <v>-2178000.0000000005</v>
      </c>
      <c r="F28" s="2">
        <f t="shared" si="5"/>
        <v>-2395800.0000000009</v>
      </c>
      <c r="G28" s="2">
        <f t="shared" si="5"/>
        <v>-2635380.0000000014</v>
      </c>
      <c r="H28" s="12"/>
    </row>
    <row r="29" spans="1:8" ht="30" x14ac:dyDescent="0.25">
      <c r="A29" s="8" t="s">
        <v>19</v>
      </c>
      <c r="B29" s="2"/>
      <c r="C29" s="2">
        <f>-(187500*12)</f>
        <v>-2250000</v>
      </c>
      <c r="D29" s="2">
        <f t="shared" si="5"/>
        <v>-2475000</v>
      </c>
      <c r="E29" s="2">
        <f t="shared" si="5"/>
        <v>-2722500</v>
      </c>
      <c r="F29" s="2">
        <f t="shared" si="5"/>
        <v>-2994750.0000000005</v>
      </c>
      <c r="G29" s="2">
        <f t="shared" si="5"/>
        <v>-3294225.0000000009</v>
      </c>
      <c r="H29" s="12"/>
    </row>
    <row r="30" spans="1:8" x14ac:dyDescent="0.25">
      <c r="A30" s="17" t="s">
        <v>57</v>
      </c>
      <c r="B30" s="2"/>
      <c r="C30" s="5">
        <f>SUM(C9:C29)</f>
        <v>-138900000</v>
      </c>
      <c r="D30" s="5">
        <f>SUM(D9:D29)</f>
        <v>-151380000</v>
      </c>
      <c r="E30" s="5">
        <f>SUM(E9:E29)</f>
        <v>-165108000.00000003</v>
      </c>
      <c r="F30" s="5">
        <f>SUM(F9:F29)</f>
        <v>-180208800.00000003</v>
      </c>
      <c r="G30" s="5">
        <f>SUM(G9:G29)</f>
        <v>-196819680.00000006</v>
      </c>
      <c r="H30" s="12"/>
    </row>
    <row r="31" spans="1:8" x14ac:dyDescent="0.25">
      <c r="A31" s="11"/>
      <c r="B31" s="2"/>
      <c r="C31" s="2"/>
      <c r="D31" s="2"/>
      <c r="E31" s="2"/>
      <c r="F31" s="2"/>
      <c r="G31" s="2"/>
      <c r="H31" s="12"/>
    </row>
    <row r="32" spans="1:8" x14ac:dyDescent="0.25">
      <c r="A32" s="5"/>
      <c r="B32" s="2"/>
      <c r="C32" s="5"/>
      <c r="D32" s="5"/>
      <c r="E32" s="5"/>
      <c r="F32" s="5"/>
      <c r="G32" s="5"/>
      <c r="H32" s="14"/>
    </row>
    <row r="33" spans="1:8" x14ac:dyDescent="0.25">
      <c r="A33" s="17" t="s">
        <v>55</v>
      </c>
      <c r="B33" s="2"/>
      <c r="C33" s="5">
        <f>C5+C30</f>
        <v>-47400000</v>
      </c>
      <c r="D33" s="5">
        <f>D5+D30</f>
        <v>-14130000</v>
      </c>
      <c r="E33" s="5">
        <f>E5+E30</f>
        <v>40766999.99999997</v>
      </c>
      <c r="F33" s="5">
        <f>F5+F30</f>
        <v>128603699.99999997</v>
      </c>
      <c r="G33" s="5">
        <f>G5+G30</f>
        <v>266399069.99999994</v>
      </c>
      <c r="H33" s="14"/>
    </row>
    <row r="34" spans="1:8" x14ac:dyDescent="0.25">
      <c r="A34" s="2" t="s">
        <v>20</v>
      </c>
      <c r="B34" s="2"/>
      <c r="C34" s="2"/>
      <c r="D34" s="2"/>
      <c r="E34" s="2"/>
      <c r="F34" s="2">
        <f>-20%*(C33+D33+E33+F33)</f>
        <v>-21568139.999999989</v>
      </c>
      <c r="G34" s="2">
        <f t="shared" ref="G34" si="6">-20%*G33</f>
        <v>-53279813.999999993</v>
      </c>
      <c r="H34" s="14"/>
    </row>
    <row r="35" spans="1:8" x14ac:dyDescent="0.25">
      <c r="A35" s="17" t="s">
        <v>56</v>
      </c>
      <c r="B35" s="2"/>
      <c r="C35" s="5">
        <f>C33+C34</f>
        <v>-47400000</v>
      </c>
      <c r="D35" s="5">
        <f t="shared" ref="D35:G35" si="7">D33+D34</f>
        <v>-14130000</v>
      </c>
      <c r="E35" s="5">
        <f t="shared" si="7"/>
        <v>40766999.99999997</v>
      </c>
      <c r="F35" s="5">
        <f t="shared" si="7"/>
        <v>107035559.99999999</v>
      </c>
      <c r="G35" s="5">
        <f t="shared" si="7"/>
        <v>213119255.99999994</v>
      </c>
      <c r="H35" s="14"/>
    </row>
    <row r="36" spans="1:8" x14ac:dyDescent="0.25">
      <c r="A36" s="2"/>
      <c r="B36" s="2"/>
      <c r="C36" s="2"/>
      <c r="D36" s="2"/>
      <c r="E36" s="2"/>
      <c r="F36" s="2"/>
      <c r="G36" s="2"/>
      <c r="H36" s="14"/>
    </row>
    <row r="37" spans="1:8" x14ac:dyDescent="0.25">
      <c r="A37" s="2" t="s">
        <v>59</v>
      </c>
      <c r="B37" s="2"/>
      <c r="C37" s="2"/>
      <c r="D37" s="2"/>
      <c r="E37" s="2"/>
      <c r="F37" s="2"/>
      <c r="G37" s="2"/>
      <c r="H37" s="12"/>
    </row>
    <row r="38" spans="1:8" x14ac:dyDescent="0.25">
      <c r="A38" t="s">
        <v>58</v>
      </c>
      <c r="B38" s="2"/>
      <c r="C38" s="2">
        <f t="shared" ref="C38:G40" si="8">-C10</f>
        <v>1200000</v>
      </c>
      <c r="D38" s="2">
        <f t="shared" si="8"/>
        <v>1200000</v>
      </c>
      <c r="E38" s="2">
        <f t="shared" si="8"/>
        <v>1200000</v>
      </c>
      <c r="F38" s="2">
        <f t="shared" si="8"/>
        <v>1200000</v>
      </c>
      <c r="G38" s="2">
        <f t="shared" si="8"/>
        <v>1200000</v>
      </c>
      <c r="H38" s="12"/>
    </row>
    <row r="39" spans="1:8" x14ac:dyDescent="0.25">
      <c r="A39" s="6" t="s">
        <v>43</v>
      </c>
      <c r="B39" s="2"/>
      <c r="C39" s="2">
        <f t="shared" si="8"/>
        <v>10576000</v>
      </c>
      <c r="D39" s="2">
        <f t="shared" si="8"/>
        <v>10576000</v>
      </c>
      <c r="E39" s="2">
        <f t="shared" si="8"/>
        <v>10576000</v>
      </c>
      <c r="F39" s="2">
        <f t="shared" si="8"/>
        <v>10576000</v>
      </c>
      <c r="G39" s="2">
        <f t="shared" si="8"/>
        <v>10576000</v>
      </c>
      <c r="H39" s="12"/>
    </row>
    <row r="40" spans="1:8" x14ac:dyDescent="0.25">
      <c r="A40" s="6" t="s">
        <v>42</v>
      </c>
      <c r="B40" s="2"/>
      <c r="C40" s="2">
        <f t="shared" si="8"/>
        <v>2324000</v>
      </c>
      <c r="D40" s="2">
        <f t="shared" si="8"/>
        <v>2324000</v>
      </c>
      <c r="E40" s="2">
        <f t="shared" si="8"/>
        <v>2324000</v>
      </c>
      <c r="F40" s="2">
        <f t="shared" si="8"/>
        <v>2324000</v>
      </c>
      <c r="G40" s="2">
        <f t="shared" si="8"/>
        <v>2324000</v>
      </c>
      <c r="H40" s="12"/>
    </row>
    <row r="41" spans="1:8" x14ac:dyDescent="0.25">
      <c r="A41" s="6"/>
      <c r="B41" s="2"/>
      <c r="C41" s="2"/>
      <c r="D41" s="2"/>
      <c r="E41" s="2"/>
      <c r="F41" s="2"/>
      <c r="G41" s="2"/>
      <c r="H41" s="12"/>
    </row>
    <row r="42" spans="1:8" x14ac:dyDescent="0.25">
      <c r="A42" s="16" t="s">
        <v>51</v>
      </c>
      <c r="B42" s="16">
        <f>SUM(B9:B14)</f>
        <v>-240500000</v>
      </c>
      <c r="C42" s="16">
        <f>C35</f>
        <v>-47400000</v>
      </c>
      <c r="D42" s="16">
        <f t="shared" ref="D42:G42" si="9">D35</f>
        <v>-14130000</v>
      </c>
      <c r="E42" s="16">
        <f t="shared" si="9"/>
        <v>40766999.99999997</v>
      </c>
      <c r="F42" s="16">
        <f t="shared" si="9"/>
        <v>107035559.99999999</v>
      </c>
      <c r="G42" s="16">
        <f t="shared" si="9"/>
        <v>213119255.99999994</v>
      </c>
      <c r="H42" s="14">
        <f>SUM(B42:G42)</f>
        <v>58891815.999999881</v>
      </c>
    </row>
    <row r="44" spans="1:8" x14ac:dyDescent="0.25">
      <c r="A44" s="22" t="s">
        <v>21</v>
      </c>
      <c r="B44" s="22"/>
      <c r="C44" s="22"/>
      <c r="D44" s="22"/>
      <c r="E44" s="22"/>
    </row>
    <row r="45" spans="1:8" x14ac:dyDescent="0.25">
      <c r="A45" s="2" t="s">
        <v>22</v>
      </c>
      <c r="B45" s="2">
        <v>0.12</v>
      </c>
      <c r="E45" s="4"/>
    </row>
    <row r="46" spans="1:8" x14ac:dyDescent="0.25">
      <c r="A46" s="2" t="s">
        <v>23</v>
      </c>
      <c r="B46" s="2" t="s">
        <v>24</v>
      </c>
      <c r="C46" s="2" t="s">
        <v>25</v>
      </c>
      <c r="D46" s="2" t="s">
        <v>26</v>
      </c>
      <c r="E46" s="2" t="s">
        <v>27</v>
      </c>
    </row>
    <row r="47" spans="1:8" x14ac:dyDescent="0.25">
      <c r="A47" s="15">
        <v>0</v>
      </c>
      <c r="B47" s="2">
        <f>B42</f>
        <v>-240500000</v>
      </c>
      <c r="C47" s="2">
        <f>B47</f>
        <v>-240500000</v>
      </c>
      <c r="D47" s="2">
        <f t="shared" ref="D47" si="10">B47/((1+$B$17)^A47)</f>
        <v>-240500000</v>
      </c>
      <c r="E47" s="2">
        <f>D47</f>
        <v>-240500000</v>
      </c>
    </row>
    <row r="48" spans="1:8" x14ac:dyDescent="0.25">
      <c r="A48" s="15">
        <v>1</v>
      </c>
      <c r="B48" s="2">
        <f>C42</f>
        <v>-47400000</v>
      </c>
      <c r="C48" s="2">
        <f>C47+B48</f>
        <v>-287900000</v>
      </c>
      <c r="D48" s="2">
        <f>B48/((1+$B$45)^A48)</f>
        <v>-42321428.571428567</v>
      </c>
      <c r="E48" s="2">
        <f>E47+D48</f>
        <v>-282821428.57142854</v>
      </c>
    </row>
    <row r="49" spans="1:9" x14ac:dyDescent="0.25">
      <c r="A49" s="15">
        <v>2</v>
      </c>
      <c r="B49" s="2">
        <f>D42</f>
        <v>-14130000</v>
      </c>
      <c r="C49" s="2">
        <f>C48+B49</f>
        <v>-302030000</v>
      </c>
      <c r="D49" s="2">
        <f t="shared" ref="D49:D52" si="11">B49/((1+$B$45)^A49)</f>
        <v>-11264349.489795918</v>
      </c>
      <c r="E49" s="2">
        <f>E48+D49</f>
        <v>-294085778.06122446</v>
      </c>
    </row>
    <row r="50" spans="1:9" x14ac:dyDescent="0.25">
      <c r="A50" s="15">
        <v>3</v>
      </c>
      <c r="B50" s="2">
        <f>E42</f>
        <v>40766999.99999997</v>
      </c>
      <c r="C50" s="2">
        <f>C49+B50</f>
        <v>-261263000.00000003</v>
      </c>
      <c r="D50" s="2">
        <f t="shared" si="11"/>
        <v>29017145.362609301</v>
      </c>
      <c r="E50" s="2">
        <f>E49+D50</f>
        <v>-265068632.69861516</v>
      </c>
    </row>
    <row r="51" spans="1:9" x14ac:dyDescent="0.25">
      <c r="A51" s="15">
        <v>4</v>
      </c>
      <c r="B51" s="2">
        <f>F42</f>
        <v>107035559.99999999</v>
      </c>
      <c r="C51" s="2">
        <f>C50+B51</f>
        <v>-154227440.00000006</v>
      </c>
      <c r="D51" s="2">
        <f t="shared" si="11"/>
        <v>68023033.412184998</v>
      </c>
      <c r="E51" s="2">
        <f>E50+D51</f>
        <v>-197045599.28643018</v>
      </c>
    </row>
    <row r="52" spans="1:9" x14ac:dyDescent="0.25">
      <c r="A52" s="15">
        <v>5</v>
      </c>
      <c r="B52" s="2">
        <f>G42</f>
        <v>213119255.99999994</v>
      </c>
      <c r="C52" s="2">
        <f>C51+B52</f>
        <v>58891815.999999881</v>
      </c>
      <c r="D52" s="2">
        <f t="shared" si="11"/>
        <v>120929589.32516718</v>
      </c>
      <c r="E52" s="2">
        <f>E51+D52</f>
        <v>-76116009.961263001</v>
      </c>
    </row>
    <row r="54" spans="1:9" x14ac:dyDescent="0.25">
      <c r="A54" s="13" t="s">
        <v>28</v>
      </c>
      <c r="B54" s="2">
        <f>4+((ABS(B42)-SUM(C42:F42))/(SUM(C42:G42)-SUM(C42:F42)))</f>
        <v>4.7236673161058711</v>
      </c>
      <c r="D54" s="23" t="s">
        <v>32</v>
      </c>
      <c r="E54" s="23"/>
      <c r="F54" s="23"/>
      <c r="G54" s="23"/>
      <c r="H54" s="23"/>
      <c r="I54" s="23"/>
    </row>
    <row r="55" spans="1:9" x14ac:dyDescent="0.25">
      <c r="A55" s="13" t="s">
        <v>29</v>
      </c>
      <c r="B55" s="24">
        <f>IRR(B47:B52)</f>
        <v>4.3086978912068696E-2</v>
      </c>
      <c r="D55" s="18" t="s">
        <v>33</v>
      </c>
      <c r="E55" s="18"/>
      <c r="F55" s="18"/>
      <c r="G55" s="18"/>
      <c r="H55" s="18"/>
      <c r="I55" s="18"/>
    </row>
    <row r="56" spans="1:9" x14ac:dyDescent="0.25">
      <c r="A56" s="13" t="s">
        <v>30</v>
      </c>
      <c r="B56" s="2">
        <f>SUM(D47:D52)</f>
        <v>-76116009.961263001</v>
      </c>
      <c r="D56" s="18" t="s">
        <v>53</v>
      </c>
      <c r="E56" s="18"/>
      <c r="F56" s="18"/>
      <c r="G56" s="18"/>
      <c r="H56" s="18"/>
      <c r="I56" s="18"/>
    </row>
    <row r="57" spans="1:9" x14ac:dyDescent="0.25">
      <c r="A57" s="13" t="s">
        <v>31</v>
      </c>
      <c r="B57" s="2">
        <f>SUM(D48:D52)/-D47</f>
        <v>0.68350931409038251</v>
      </c>
      <c r="D57" s="18" t="s">
        <v>54</v>
      </c>
      <c r="E57" s="18"/>
      <c r="F57" s="18"/>
      <c r="G57" s="18"/>
      <c r="H57" s="18"/>
      <c r="I57" s="18"/>
    </row>
    <row r="58" spans="1:9" x14ac:dyDescent="0.25">
      <c r="D58" s="18" t="s">
        <v>35</v>
      </c>
      <c r="E58" s="18"/>
      <c r="F58" s="18"/>
      <c r="G58" s="18"/>
      <c r="H58" s="18"/>
      <c r="I58" s="18"/>
    </row>
    <row r="59" spans="1:9" x14ac:dyDescent="0.25">
      <c r="D59" s="19" t="s">
        <v>36</v>
      </c>
      <c r="E59" s="19"/>
      <c r="F59" s="19"/>
      <c r="G59" s="19"/>
      <c r="H59" s="19"/>
      <c r="I59" s="19"/>
    </row>
    <row r="60" spans="1:9" x14ac:dyDescent="0.25">
      <c r="D60" s="19"/>
      <c r="E60" s="19"/>
      <c r="F60" s="19"/>
      <c r="G60" s="19"/>
      <c r="H60" s="19"/>
      <c r="I60" s="19"/>
    </row>
  </sheetData>
  <mergeCells count="9">
    <mergeCell ref="D57:I57"/>
    <mergeCell ref="D58:I58"/>
    <mergeCell ref="D59:I60"/>
    <mergeCell ref="A4:G4"/>
    <mergeCell ref="A7:G7"/>
    <mergeCell ref="A44:E44"/>
    <mergeCell ref="D54:I54"/>
    <mergeCell ref="D55:I55"/>
    <mergeCell ref="D56:I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71DC-FC93-4C9F-A74F-AC6865466F7F}">
  <dimension ref="A1:I60"/>
  <sheetViews>
    <sheetView topLeftCell="A7" zoomScale="85" zoomScaleNormal="85" workbookViewId="0">
      <selection activeCell="A38" sqref="A38:XFD38"/>
    </sheetView>
  </sheetViews>
  <sheetFormatPr defaultRowHeight="15" x14ac:dyDescent="0.25"/>
  <cols>
    <col min="1" max="1" width="32.85546875" style="1" bestFit="1" customWidth="1"/>
    <col min="2" max="2" width="17.42578125" style="1" customWidth="1"/>
    <col min="3" max="3" width="16.7109375" style="1" customWidth="1"/>
    <col min="4" max="4" width="15.42578125" style="1" customWidth="1"/>
    <col min="5" max="5" width="16.140625" style="1" customWidth="1"/>
    <col min="6" max="6" width="15.42578125" style="1" customWidth="1"/>
    <col min="7" max="7" width="15.28515625" style="1" bestFit="1" customWidth="1"/>
    <col min="8" max="8" width="16.140625" style="1" bestFit="1" customWidth="1"/>
    <col min="9" max="16384" width="9.140625" style="1"/>
  </cols>
  <sheetData>
    <row r="1" spans="1:8" x14ac:dyDescent="0.25">
      <c r="A1" s="1" t="s">
        <v>8</v>
      </c>
    </row>
    <row r="2" spans="1:8" x14ac:dyDescent="0.25">
      <c r="A2" s="13"/>
      <c r="B2" s="13" t="s">
        <v>0</v>
      </c>
      <c r="C2" s="13" t="s">
        <v>9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40</v>
      </c>
    </row>
    <row r="3" spans="1:8" x14ac:dyDescent="0.25">
      <c r="A3" s="2"/>
      <c r="B3" s="2"/>
      <c r="C3" s="2"/>
      <c r="D3" s="2"/>
      <c r="E3" s="2"/>
      <c r="F3" s="2"/>
      <c r="G3" s="2"/>
      <c r="H3" s="12"/>
    </row>
    <row r="4" spans="1:8" x14ac:dyDescent="0.25">
      <c r="A4" s="20" t="s">
        <v>47</v>
      </c>
      <c r="B4" s="20"/>
      <c r="C4" s="20"/>
      <c r="D4" s="20"/>
      <c r="E4" s="20"/>
      <c r="F4" s="20"/>
      <c r="G4" s="20"/>
      <c r="H4" s="12"/>
    </row>
    <row r="5" spans="1:8" x14ac:dyDescent="0.25">
      <c r="A5" s="5" t="s">
        <v>5</v>
      </c>
      <c r="B5" s="2"/>
      <c r="C5" s="5">
        <v>91500000</v>
      </c>
      <c r="D5" s="5">
        <f>C5+(C5*50%)</f>
        <v>137250000</v>
      </c>
      <c r="E5" s="5">
        <f t="shared" ref="E5:G5" si="0">D5+(D5*50%)</f>
        <v>205875000</v>
      </c>
      <c r="F5" s="5">
        <f t="shared" si="0"/>
        <v>308812500</v>
      </c>
      <c r="G5" s="5">
        <f t="shared" si="0"/>
        <v>463218750</v>
      </c>
      <c r="H5" s="14">
        <f>SUM(C5:G5)</f>
        <v>1206656250</v>
      </c>
    </row>
    <row r="6" spans="1:8" x14ac:dyDescent="0.25">
      <c r="A6" s="2"/>
      <c r="B6" s="2"/>
      <c r="C6" s="2"/>
      <c r="D6" s="2"/>
      <c r="E6" s="2"/>
      <c r="F6" s="2"/>
      <c r="G6" s="2"/>
      <c r="H6" s="12"/>
    </row>
    <row r="7" spans="1:8" x14ac:dyDescent="0.25">
      <c r="A7" s="21" t="s">
        <v>6</v>
      </c>
      <c r="B7" s="21"/>
      <c r="C7" s="21"/>
      <c r="D7" s="21"/>
      <c r="E7" s="21"/>
      <c r="F7" s="21"/>
      <c r="G7" s="21"/>
      <c r="H7" s="12"/>
    </row>
    <row r="8" spans="1:8" x14ac:dyDescent="0.25">
      <c r="A8" s="3"/>
      <c r="B8" s="3"/>
      <c r="C8" s="3"/>
      <c r="D8" s="3"/>
      <c r="E8" s="3"/>
      <c r="F8" s="3"/>
      <c r="G8" s="3"/>
      <c r="H8" s="12"/>
    </row>
    <row r="9" spans="1:8" x14ac:dyDescent="0.25">
      <c r="A9" s="2" t="s">
        <v>37</v>
      </c>
      <c r="B9" s="2">
        <v>-150000000</v>
      </c>
      <c r="C9" s="3">
        <f>$B9/5</f>
        <v>-30000000</v>
      </c>
      <c r="D9" s="3">
        <f t="shared" ref="D9:G9" si="1">$B9/5</f>
        <v>-30000000</v>
      </c>
      <c r="E9" s="3">
        <f t="shared" si="1"/>
        <v>-30000000</v>
      </c>
      <c r="F9" s="3">
        <f t="shared" si="1"/>
        <v>-30000000</v>
      </c>
      <c r="G9" s="3">
        <f t="shared" si="1"/>
        <v>-30000000</v>
      </c>
      <c r="H9" s="12"/>
    </row>
    <row r="10" spans="1:8" x14ac:dyDescent="0.25">
      <c r="A10" s="6" t="s">
        <v>44</v>
      </c>
      <c r="B10" s="2">
        <v>-6000000</v>
      </c>
      <c r="C10" s="3">
        <f t="shared" ref="C10:G12" si="2">20%*$B10</f>
        <v>-1200000</v>
      </c>
      <c r="D10" s="3">
        <f t="shared" si="2"/>
        <v>-1200000</v>
      </c>
      <c r="E10" s="3">
        <f t="shared" si="2"/>
        <v>-1200000</v>
      </c>
      <c r="F10" s="3">
        <f t="shared" si="2"/>
        <v>-1200000</v>
      </c>
      <c r="G10" s="3">
        <f t="shared" si="2"/>
        <v>-1200000</v>
      </c>
      <c r="H10" s="12"/>
    </row>
    <row r="11" spans="1:8" x14ac:dyDescent="0.25">
      <c r="A11" s="6" t="s">
        <v>43</v>
      </c>
      <c r="B11" s="7">
        <v>-52880000</v>
      </c>
      <c r="C11" s="3">
        <f t="shared" si="2"/>
        <v>-10576000</v>
      </c>
      <c r="D11" s="3">
        <f t="shared" si="2"/>
        <v>-10576000</v>
      </c>
      <c r="E11" s="3">
        <f t="shared" si="2"/>
        <v>-10576000</v>
      </c>
      <c r="F11" s="3">
        <f t="shared" si="2"/>
        <v>-10576000</v>
      </c>
      <c r="G11" s="3">
        <f t="shared" si="2"/>
        <v>-10576000</v>
      </c>
      <c r="H11" s="12"/>
    </row>
    <row r="12" spans="1:8" x14ac:dyDescent="0.25">
      <c r="A12" s="6" t="s">
        <v>42</v>
      </c>
      <c r="B12" s="2">
        <v>-11620000</v>
      </c>
      <c r="C12" s="3">
        <f t="shared" si="2"/>
        <v>-2324000</v>
      </c>
      <c r="D12" s="3">
        <f t="shared" si="2"/>
        <v>-2324000</v>
      </c>
      <c r="E12" s="3">
        <f t="shared" si="2"/>
        <v>-2324000</v>
      </c>
      <c r="F12" s="3">
        <f t="shared" si="2"/>
        <v>-2324000</v>
      </c>
      <c r="G12" s="3">
        <f t="shared" si="2"/>
        <v>-2324000</v>
      </c>
      <c r="H12" s="12"/>
    </row>
    <row r="13" spans="1:8" x14ac:dyDescent="0.25">
      <c r="A13" s="6"/>
      <c r="B13" s="2"/>
      <c r="C13" s="3"/>
      <c r="D13" s="3"/>
      <c r="E13" s="3"/>
      <c r="F13" s="3"/>
      <c r="G13" s="3"/>
      <c r="H13" s="12"/>
    </row>
    <row r="14" spans="1:8" x14ac:dyDescent="0.25">
      <c r="A14" s="6" t="s">
        <v>38</v>
      </c>
      <c r="B14" s="2">
        <v>-20000000</v>
      </c>
      <c r="C14" s="3"/>
      <c r="D14" s="3"/>
      <c r="E14" s="3"/>
      <c r="F14" s="3"/>
      <c r="G14" s="3"/>
      <c r="H14" s="12"/>
    </row>
    <row r="15" spans="1:8" x14ac:dyDescent="0.25">
      <c r="A15" s="3"/>
      <c r="B15" s="3"/>
      <c r="C15" s="3"/>
      <c r="D15" s="3"/>
      <c r="E15" s="3"/>
      <c r="F15" s="3"/>
      <c r="G15" s="3"/>
      <c r="H15" s="12"/>
    </row>
    <row r="16" spans="1:8" x14ac:dyDescent="0.25">
      <c r="A16" s="2" t="s">
        <v>10</v>
      </c>
      <c r="B16" s="2"/>
      <c r="C16" s="2"/>
      <c r="D16" s="2"/>
      <c r="E16" s="2"/>
      <c r="F16" s="2"/>
      <c r="G16" s="2"/>
      <c r="H16" s="12"/>
    </row>
    <row r="17" spans="1:8" ht="30" x14ac:dyDescent="0.25">
      <c r="A17" s="8" t="s">
        <v>39</v>
      </c>
      <c r="B17" s="2"/>
      <c r="C17" s="2">
        <f>-(3750000*13)</f>
        <v>-48750000</v>
      </c>
      <c r="D17" s="2">
        <f>C17*1.1</f>
        <v>-53625000.000000007</v>
      </c>
      <c r="E17" s="2">
        <f t="shared" ref="E17:G17" si="3">D17*1.1</f>
        <v>-58987500.000000015</v>
      </c>
      <c r="F17" s="2">
        <f t="shared" si="3"/>
        <v>-64886250.000000022</v>
      </c>
      <c r="G17" s="2">
        <f t="shared" si="3"/>
        <v>-71374875.00000003</v>
      </c>
      <c r="H17" s="12"/>
    </row>
    <row r="18" spans="1:8" ht="30" x14ac:dyDescent="0.25">
      <c r="A18" s="8" t="s">
        <v>11</v>
      </c>
      <c r="B18" s="2"/>
      <c r="C18" s="2">
        <f>-(650000*13)</f>
        <v>-8450000</v>
      </c>
      <c r="D18" s="2">
        <f t="shared" ref="D18:E21" si="4">C18*1.1</f>
        <v>-9295000</v>
      </c>
      <c r="E18" s="2">
        <f t="shared" si="4"/>
        <v>-10224500</v>
      </c>
      <c r="F18" s="2">
        <f t="shared" ref="F18:G21" si="5">E18*1.1</f>
        <v>-11246950</v>
      </c>
      <c r="G18" s="2">
        <f t="shared" si="5"/>
        <v>-12371645.000000002</v>
      </c>
      <c r="H18" s="12"/>
    </row>
    <row r="19" spans="1:8" ht="30" x14ac:dyDescent="0.25">
      <c r="A19" s="8" t="s">
        <v>12</v>
      </c>
      <c r="B19" s="2"/>
      <c r="C19" s="2">
        <f>-(700000*13)</f>
        <v>-9100000</v>
      </c>
      <c r="D19" s="2">
        <f t="shared" si="4"/>
        <v>-10010000</v>
      </c>
      <c r="E19" s="2">
        <f t="shared" si="4"/>
        <v>-11011000</v>
      </c>
      <c r="F19" s="2">
        <f t="shared" si="5"/>
        <v>-12112100.000000002</v>
      </c>
      <c r="G19" s="2">
        <f t="shared" si="5"/>
        <v>-13323310.000000004</v>
      </c>
      <c r="H19" s="12"/>
    </row>
    <row r="20" spans="1:8" ht="30" x14ac:dyDescent="0.25">
      <c r="A20" s="8" t="s">
        <v>14</v>
      </c>
      <c r="B20" s="2"/>
      <c r="C20" s="2">
        <f>-(850000*13)</f>
        <v>-11050000</v>
      </c>
      <c r="D20" s="2">
        <f t="shared" si="4"/>
        <v>-12155000.000000002</v>
      </c>
      <c r="E20" s="2">
        <f t="shared" si="4"/>
        <v>-13370500.000000004</v>
      </c>
      <c r="F20" s="2">
        <f t="shared" si="5"/>
        <v>-14707550.000000006</v>
      </c>
      <c r="G20" s="2">
        <f t="shared" si="5"/>
        <v>-16178305.000000007</v>
      </c>
      <c r="H20" s="12"/>
    </row>
    <row r="21" spans="1:8" ht="30" x14ac:dyDescent="0.25">
      <c r="A21" s="8" t="s">
        <v>13</v>
      </c>
      <c r="B21" s="2"/>
      <c r="C21" s="2">
        <f>-(2000000*13)</f>
        <v>-26000000</v>
      </c>
      <c r="D21" s="2">
        <f t="shared" si="4"/>
        <v>-28600000.000000004</v>
      </c>
      <c r="E21" s="2">
        <f t="shared" si="4"/>
        <v>-31460000.000000007</v>
      </c>
      <c r="F21" s="2">
        <f t="shared" si="5"/>
        <v>-34606000.000000007</v>
      </c>
      <c r="G21" s="2">
        <f t="shared" si="5"/>
        <v>-38066600.000000015</v>
      </c>
      <c r="H21" s="12"/>
    </row>
    <row r="22" spans="1:8" x14ac:dyDescent="0.25">
      <c r="A22" s="2"/>
      <c r="B22" s="2"/>
      <c r="C22" s="2"/>
      <c r="D22" s="2"/>
      <c r="E22" s="2"/>
      <c r="F22" s="2"/>
      <c r="G22" s="2"/>
      <c r="H22" s="12"/>
    </row>
    <row r="23" spans="1:8" x14ac:dyDescent="0.25">
      <c r="A23" s="9" t="s">
        <v>15</v>
      </c>
      <c r="B23" s="2"/>
      <c r="C23" s="2"/>
      <c r="D23" s="2"/>
      <c r="E23" s="2"/>
      <c r="F23" s="2"/>
      <c r="G23" s="2"/>
      <c r="H23" s="12"/>
    </row>
    <row r="24" spans="1:8" x14ac:dyDescent="0.25">
      <c r="A24" s="6" t="s">
        <v>16</v>
      </c>
      <c r="B24" s="2"/>
      <c r="C24" s="2">
        <f>-(1000000*12)</f>
        <v>-12000000</v>
      </c>
      <c r="D24" s="2">
        <f t="shared" ref="D24:E28" si="6">C24*1.1</f>
        <v>-13200000.000000002</v>
      </c>
      <c r="E24" s="2">
        <f t="shared" si="6"/>
        <v>-14520000.000000004</v>
      </c>
      <c r="F24" s="2">
        <f t="shared" ref="F24:G24" si="7">E24*1.1</f>
        <v>-15972000.000000006</v>
      </c>
      <c r="G24" s="2">
        <f t="shared" si="7"/>
        <v>-17569200.000000007</v>
      </c>
      <c r="H24" s="12"/>
    </row>
    <row r="25" spans="1:8" x14ac:dyDescent="0.25">
      <c r="A25" s="6" t="s">
        <v>17</v>
      </c>
      <c r="B25" s="2"/>
      <c r="C25" s="2">
        <f>-(200000*12)</f>
        <v>-2400000</v>
      </c>
      <c r="D25" s="2">
        <f t="shared" si="6"/>
        <v>-2640000</v>
      </c>
      <c r="E25" s="2">
        <f t="shared" si="6"/>
        <v>-2904000.0000000005</v>
      </c>
      <c r="F25" s="2">
        <f t="shared" ref="F25:G25" si="8">E25*1.1</f>
        <v>-3194400.0000000009</v>
      </c>
      <c r="G25" s="2">
        <f t="shared" si="8"/>
        <v>-3513840.0000000014</v>
      </c>
      <c r="H25" s="12"/>
    </row>
    <row r="26" spans="1:8" ht="30" x14ac:dyDescent="0.25">
      <c r="A26" s="10" t="s">
        <v>41</v>
      </c>
      <c r="B26" s="2"/>
      <c r="C26" s="2">
        <f>-(250000*12)</f>
        <v>-3000000</v>
      </c>
      <c r="D26" s="2">
        <f t="shared" si="6"/>
        <v>-3300000.0000000005</v>
      </c>
      <c r="E26" s="2">
        <f t="shared" si="6"/>
        <v>-3630000.0000000009</v>
      </c>
      <c r="F26" s="2">
        <f t="shared" ref="F26:G26" si="9">E26*1.1</f>
        <v>-3993000.0000000014</v>
      </c>
      <c r="G26" s="2">
        <f t="shared" si="9"/>
        <v>-4392300.0000000019</v>
      </c>
      <c r="H26" s="12"/>
    </row>
    <row r="27" spans="1:8" ht="30" x14ac:dyDescent="0.25">
      <c r="A27" s="8" t="s">
        <v>18</v>
      </c>
      <c r="B27" s="2"/>
      <c r="C27" s="2">
        <f>-(150000*12)</f>
        <v>-1800000</v>
      </c>
      <c r="D27" s="2">
        <f t="shared" si="6"/>
        <v>-1980000.0000000002</v>
      </c>
      <c r="E27" s="2">
        <f t="shared" si="6"/>
        <v>-2178000.0000000005</v>
      </c>
      <c r="F27" s="2">
        <f t="shared" ref="F27:G27" si="10">E27*1.1</f>
        <v>-2395800.0000000009</v>
      </c>
      <c r="G27" s="2">
        <f t="shared" si="10"/>
        <v>-2635380.0000000014</v>
      </c>
      <c r="H27" s="12"/>
    </row>
    <row r="28" spans="1:8" ht="30" x14ac:dyDescent="0.25">
      <c r="A28" s="8" t="s">
        <v>19</v>
      </c>
      <c r="B28" s="2"/>
      <c r="C28" s="2">
        <f>-(187500*12)</f>
        <v>-2250000</v>
      </c>
      <c r="D28" s="2">
        <f t="shared" si="6"/>
        <v>-2475000</v>
      </c>
      <c r="E28" s="2">
        <f t="shared" si="6"/>
        <v>-2722500</v>
      </c>
      <c r="F28" s="2">
        <f t="shared" ref="F28:G28" si="11">E28*1.1</f>
        <v>-2994750.0000000005</v>
      </c>
      <c r="G28" s="2">
        <f t="shared" si="11"/>
        <v>-3294225.0000000009</v>
      </c>
      <c r="H28" s="12"/>
    </row>
    <row r="29" spans="1:8" x14ac:dyDescent="0.25">
      <c r="A29" s="11" t="s">
        <v>7</v>
      </c>
      <c r="B29" s="2"/>
      <c r="C29" s="5">
        <f>SUM(C9:C28)</f>
        <v>-168900000</v>
      </c>
      <c r="D29" s="5">
        <f>SUM(D9:D28)</f>
        <v>-181380000</v>
      </c>
      <c r="E29" s="5">
        <f>SUM(E9:E28)</f>
        <v>-195108000.00000003</v>
      </c>
      <c r="F29" s="5">
        <f>SUM(F9:F28)</f>
        <v>-210208800.00000003</v>
      </c>
      <c r="G29" s="5">
        <f>SUM(G9:G28)</f>
        <v>-226819680.00000006</v>
      </c>
      <c r="H29" s="12"/>
    </row>
    <row r="30" spans="1:8" x14ac:dyDescent="0.25">
      <c r="A30" s="11"/>
      <c r="B30" s="2"/>
      <c r="C30" s="2"/>
      <c r="D30" s="2"/>
      <c r="E30" s="2"/>
      <c r="F30" s="2"/>
      <c r="G30" s="2"/>
      <c r="H30" s="12"/>
    </row>
    <row r="31" spans="1:8" x14ac:dyDescent="0.25">
      <c r="A31" s="5"/>
      <c r="B31" s="2"/>
      <c r="C31" s="5"/>
      <c r="D31" s="5"/>
      <c r="E31" s="5"/>
      <c r="F31" s="5"/>
      <c r="G31" s="5"/>
      <c r="H31" s="14"/>
    </row>
    <row r="32" spans="1:8" x14ac:dyDescent="0.25">
      <c r="A32" s="11" t="s">
        <v>49</v>
      </c>
      <c r="B32" s="2"/>
      <c r="C32" s="5">
        <f>C5+C29</f>
        <v>-77400000</v>
      </c>
      <c r="D32" s="5">
        <f>D5+D29</f>
        <v>-44130000</v>
      </c>
      <c r="E32" s="5">
        <f>E5+E29</f>
        <v>10766999.99999997</v>
      </c>
      <c r="F32" s="5">
        <f>F5+F29</f>
        <v>98603699.99999997</v>
      </c>
      <c r="G32" s="5">
        <f>G5+G29</f>
        <v>236399069.99999994</v>
      </c>
      <c r="H32" s="14"/>
    </row>
    <row r="33" spans="1:8" x14ac:dyDescent="0.25">
      <c r="A33" s="2" t="s">
        <v>20</v>
      </c>
      <c r="B33" s="2"/>
      <c r="C33" s="2"/>
      <c r="D33" s="2"/>
      <c r="E33" s="2">
        <f>-20%*E32</f>
        <v>-2153399.9999999939</v>
      </c>
      <c r="F33" s="2">
        <f>-20%*F32</f>
        <v>-19720739.999999996</v>
      </c>
      <c r="G33" s="2">
        <f t="shared" ref="G33" si="12">-20%*G32</f>
        <v>-47279813.999999993</v>
      </c>
      <c r="H33" s="14"/>
    </row>
    <row r="34" spans="1:8" x14ac:dyDescent="0.25">
      <c r="A34" s="5" t="s">
        <v>50</v>
      </c>
      <c r="B34" s="2"/>
      <c r="C34" s="5">
        <f>C32+C33</f>
        <v>-77400000</v>
      </c>
      <c r="D34" s="5">
        <f t="shared" ref="D34:G34" si="13">D32+D33</f>
        <v>-44130000</v>
      </c>
      <c r="E34" s="5">
        <f t="shared" si="13"/>
        <v>8613599.9999999758</v>
      </c>
      <c r="F34" s="5">
        <f t="shared" si="13"/>
        <v>78882959.99999997</v>
      </c>
      <c r="G34" s="5">
        <f t="shared" si="13"/>
        <v>189119255.99999994</v>
      </c>
      <c r="H34" s="14"/>
    </row>
    <row r="35" spans="1:8" x14ac:dyDescent="0.25">
      <c r="A35" s="2"/>
      <c r="B35" s="2"/>
      <c r="C35" s="2"/>
      <c r="D35" s="2"/>
      <c r="E35" s="2"/>
      <c r="F35" s="2"/>
      <c r="G35" s="2"/>
      <c r="H35" s="14"/>
    </row>
    <row r="36" spans="1:8" x14ac:dyDescent="0.25">
      <c r="A36" s="2" t="s">
        <v>48</v>
      </c>
      <c r="B36" s="2"/>
      <c r="C36" s="2"/>
      <c r="D36" s="2"/>
      <c r="E36" s="2"/>
      <c r="F36" s="2"/>
      <c r="G36" s="2"/>
      <c r="H36" s="12"/>
    </row>
    <row r="37" spans="1:8" x14ac:dyDescent="0.25">
      <c r="A37" s="2" t="s">
        <v>37</v>
      </c>
      <c r="B37" s="2"/>
      <c r="C37" s="2">
        <f t="shared" ref="C37:G40" si="14">-C9</f>
        <v>30000000</v>
      </c>
      <c r="D37" s="2">
        <f t="shared" si="14"/>
        <v>30000000</v>
      </c>
      <c r="E37" s="2">
        <f t="shared" si="14"/>
        <v>30000000</v>
      </c>
      <c r="F37" s="2">
        <f t="shared" si="14"/>
        <v>30000000</v>
      </c>
      <c r="G37" s="2">
        <f t="shared" si="14"/>
        <v>30000000</v>
      </c>
      <c r="H37" s="12"/>
    </row>
    <row r="38" spans="1:8" x14ac:dyDescent="0.25">
      <c r="A38" s="6" t="s">
        <v>44</v>
      </c>
      <c r="B38" s="2"/>
      <c r="C38" s="2">
        <f t="shared" si="14"/>
        <v>1200000</v>
      </c>
      <c r="D38" s="2">
        <f t="shared" si="14"/>
        <v>1200000</v>
      </c>
      <c r="E38" s="2">
        <f t="shared" si="14"/>
        <v>1200000</v>
      </c>
      <c r="F38" s="2">
        <f t="shared" si="14"/>
        <v>1200000</v>
      </c>
      <c r="G38" s="2">
        <f t="shared" si="14"/>
        <v>1200000</v>
      </c>
      <c r="H38" s="12"/>
    </row>
    <row r="39" spans="1:8" x14ac:dyDescent="0.25">
      <c r="A39" s="6" t="s">
        <v>43</v>
      </c>
      <c r="B39" s="2"/>
      <c r="C39" s="2">
        <f t="shared" si="14"/>
        <v>10576000</v>
      </c>
      <c r="D39" s="2">
        <f t="shared" si="14"/>
        <v>10576000</v>
      </c>
      <c r="E39" s="2">
        <f t="shared" si="14"/>
        <v>10576000</v>
      </c>
      <c r="F39" s="2">
        <f t="shared" si="14"/>
        <v>10576000</v>
      </c>
      <c r="G39" s="2">
        <f t="shared" si="14"/>
        <v>10576000</v>
      </c>
      <c r="H39" s="12"/>
    </row>
    <row r="40" spans="1:8" x14ac:dyDescent="0.25">
      <c r="A40" s="6" t="s">
        <v>42</v>
      </c>
      <c r="B40" s="2"/>
      <c r="C40" s="2">
        <f t="shared" si="14"/>
        <v>2324000</v>
      </c>
      <c r="D40" s="2">
        <f t="shared" si="14"/>
        <v>2324000</v>
      </c>
      <c r="E40" s="2">
        <f t="shared" si="14"/>
        <v>2324000</v>
      </c>
      <c r="F40" s="2">
        <f t="shared" si="14"/>
        <v>2324000</v>
      </c>
      <c r="G40" s="2">
        <f t="shared" si="14"/>
        <v>2324000</v>
      </c>
      <c r="H40" s="12"/>
    </row>
    <row r="41" spans="1:8" x14ac:dyDescent="0.25">
      <c r="A41" s="6"/>
      <c r="B41" s="2"/>
      <c r="C41" s="2"/>
      <c r="D41" s="2"/>
      <c r="E41" s="2"/>
      <c r="F41" s="2"/>
      <c r="G41" s="2"/>
      <c r="H41" s="12"/>
    </row>
    <row r="42" spans="1:8" x14ac:dyDescent="0.25">
      <c r="A42" s="16" t="s">
        <v>51</v>
      </c>
      <c r="B42" s="16">
        <f>SUM(B9:B14)</f>
        <v>-240500000</v>
      </c>
      <c r="C42" s="16">
        <f>C34+SUM(C37:C40)</f>
        <v>-33300000</v>
      </c>
      <c r="D42" s="16">
        <f>D34+SUM(D37:D40)</f>
        <v>-30000</v>
      </c>
      <c r="E42" s="16">
        <f>E34+SUM(E37:E40)</f>
        <v>52713599.999999978</v>
      </c>
      <c r="F42" s="16">
        <f>F34+SUM(F37:F40)</f>
        <v>122982959.99999997</v>
      </c>
      <c r="G42" s="16">
        <f>G34+SUM(G37:G40)</f>
        <v>233219255.99999994</v>
      </c>
      <c r="H42" s="14">
        <f>SUM(B42:G42)</f>
        <v>135085815.99999988</v>
      </c>
    </row>
    <row r="44" spans="1:8" x14ac:dyDescent="0.25">
      <c r="A44" s="22" t="s">
        <v>21</v>
      </c>
      <c r="B44" s="22"/>
      <c r="C44" s="22"/>
      <c r="D44" s="22"/>
      <c r="E44" s="22"/>
    </row>
    <row r="45" spans="1:8" x14ac:dyDescent="0.25">
      <c r="A45" s="2" t="s">
        <v>22</v>
      </c>
      <c r="B45" s="2">
        <v>0.12</v>
      </c>
      <c r="E45" s="4"/>
    </row>
    <row r="46" spans="1:8" x14ac:dyDescent="0.25">
      <c r="A46" s="2" t="s">
        <v>23</v>
      </c>
      <c r="B46" s="2" t="s">
        <v>24</v>
      </c>
      <c r="C46" s="2" t="s">
        <v>25</v>
      </c>
      <c r="D46" s="2" t="s">
        <v>26</v>
      </c>
      <c r="E46" s="2" t="s">
        <v>27</v>
      </c>
    </row>
    <row r="47" spans="1:8" x14ac:dyDescent="0.25">
      <c r="A47" s="15">
        <v>0</v>
      </c>
      <c r="B47" s="2">
        <f>B42</f>
        <v>-240500000</v>
      </c>
      <c r="C47" s="2">
        <f>B47</f>
        <v>-240500000</v>
      </c>
      <c r="D47" s="2">
        <f t="shared" ref="D47" si="15">B47/((1+$B$17)^A47)</f>
        <v>-240500000</v>
      </c>
      <c r="E47" s="2">
        <f>D47</f>
        <v>-240500000</v>
      </c>
    </row>
    <row r="48" spans="1:8" x14ac:dyDescent="0.25">
      <c r="A48" s="15">
        <v>1</v>
      </c>
      <c r="B48" s="2">
        <f>C42</f>
        <v>-33300000</v>
      </c>
      <c r="C48" s="2">
        <f>C47+B48</f>
        <v>-273800000</v>
      </c>
      <c r="D48" s="2">
        <f>B48/((1+$B$45)^A48)</f>
        <v>-29732142.857142854</v>
      </c>
      <c r="E48" s="2">
        <f>E47+D48</f>
        <v>-270232142.85714287</v>
      </c>
    </row>
    <row r="49" spans="1:9" x14ac:dyDescent="0.25">
      <c r="A49" s="15">
        <v>2</v>
      </c>
      <c r="B49" s="2">
        <f>D42</f>
        <v>-30000</v>
      </c>
      <c r="C49" s="2">
        <f>C48+B49</f>
        <v>-273830000</v>
      </c>
      <c r="D49" s="2">
        <f t="shared" ref="D49:D52" si="16">B49/((1+$B$45)^A49)</f>
        <v>-23915.81632653061</v>
      </c>
      <c r="E49" s="2">
        <f>E48+D49</f>
        <v>-270256058.67346942</v>
      </c>
    </row>
    <row r="50" spans="1:9" x14ac:dyDescent="0.25">
      <c r="A50" s="15">
        <v>3</v>
      </c>
      <c r="B50" s="2">
        <f>E42</f>
        <v>52713599.999999978</v>
      </c>
      <c r="C50" s="2">
        <f>C49+B50</f>
        <v>-221116400.00000003</v>
      </c>
      <c r="D50" s="2">
        <f t="shared" si="16"/>
        <v>37520499.271136999</v>
      </c>
      <c r="E50" s="2">
        <f>E49+D50</f>
        <v>-232735559.40233243</v>
      </c>
    </row>
    <row r="51" spans="1:9" x14ac:dyDescent="0.25">
      <c r="A51" s="15">
        <v>4</v>
      </c>
      <c r="B51" s="2">
        <f>F42</f>
        <v>122982959.99999997</v>
      </c>
      <c r="C51" s="2">
        <f>C50+B51</f>
        <v>-98133440.00000006</v>
      </c>
      <c r="D51" s="2">
        <f t="shared" si="16"/>
        <v>78157894.415738195</v>
      </c>
      <c r="E51" s="2">
        <f>E50+D51</f>
        <v>-154577664.98659423</v>
      </c>
    </row>
    <row r="52" spans="1:9" x14ac:dyDescent="0.25">
      <c r="A52" s="15">
        <v>5</v>
      </c>
      <c r="B52" s="2">
        <f>G42</f>
        <v>233219255.99999994</v>
      </c>
      <c r="C52" s="2">
        <f>C51+B52</f>
        <v>135085815.99999988</v>
      </c>
      <c r="D52" s="2">
        <f t="shared" si="16"/>
        <v>132334869.12511103</v>
      </c>
      <c r="E52" s="2">
        <f>E51+D52</f>
        <v>-22242795.861483201</v>
      </c>
    </row>
    <row r="54" spans="1:9" x14ac:dyDescent="0.25">
      <c r="A54" s="13" t="s">
        <v>28</v>
      </c>
      <c r="B54" s="2" t="s">
        <v>45</v>
      </c>
      <c r="D54" s="23" t="s">
        <v>32</v>
      </c>
      <c r="E54" s="23"/>
      <c r="F54" s="23"/>
      <c r="G54" s="23"/>
      <c r="H54" s="23"/>
      <c r="I54" s="23"/>
    </row>
    <row r="55" spans="1:9" x14ac:dyDescent="0.25">
      <c r="A55" s="13" t="s">
        <v>29</v>
      </c>
      <c r="B55" s="2">
        <f>IRR(B47:B52)</f>
        <v>9.7730716987975752E-2</v>
      </c>
      <c r="D55" s="18" t="s">
        <v>33</v>
      </c>
      <c r="E55" s="18"/>
      <c r="F55" s="18"/>
      <c r="G55" s="18"/>
      <c r="H55" s="18"/>
      <c r="I55" s="18"/>
    </row>
    <row r="56" spans="1:9" x14ac:dyDescent="0.25">
      <c r="A56" s="13" t="s">
        <v>30</v>
      </c>
      <c r="B56" s="2">
        <f>SUM(D47:D52)</f>
        <v>-22242795.861483201</v>
      </c>
      <c r="D56" s="18" t="s">
        <v>34</v>
      </c>
      <c r="E56" s="18"/>
      <c r="F56" s="18"/>
      <c r="G56" s="18"/>
      <c r="H56" s="18"/>
      <c r="I56" s="18"/>
    </row>
    <row r="57" spans="1:9" x14ac:dyDescent="0.25">
      <c r="A57" s="13" t="s">
        <v>31</v>
      </c>
      <c r="B57" s="2">
        <f>SUM(D48:D52)/-D47</f>
        <v>0.9075143623223153</v>
      </c>
      <c r="D57" s="18" t="s">
        <v>46</v>
      </c>
      <c r="E57" s="18"/>
      <c r="F57" s="18"/>
      <c r="G57" s="18"/>
      <c r="H57" s="18"/>
      <c r="I57" s="18"/>
    </row>
    <row r="58" spans="1:9" x14ac:dyDescent="0.25">
      <c r="D58" s="18" t="s">
        <v>35</v>
      </c>
      <c r="E58" s="18"/>
      <c r="F58" s="18"/>
      <c r="G58" s="18"/>
      <c r="H58" s="18"/>
      <c r="I58" s="18"/>
    </row>
    <row r="59" spans="1:9" x14ac:dyDescent="0.25">
      <c r="D59" s="19" t="s">
        <v>36</v>
      </c>
      <c r="E59" s="19"/>
      <c r="F59" s="19"/>
      <c r="G59" s="19"/>
      <c r="H59" s="19"/>
      <c r="I59" s="19"/>
    </row>
    <row r="60" spans="1:9" x14ac:dyDescent="0.25">
      <c r="D60" s="19"/>
      <c r="E60" s="19"/>
      <c r="F60" s="19"/>
      <c r="G60" s="19"/>
      <c r="H60" s="19"/>
      <c r="I60" s="19"/>
    </row>
  </sheetData>
  <mergeCells count="9">
    <mergeCell ref="D56:I56"/>
    <mergeCell ref="D57:I57"/>
    <mergeCell ref="D58:I58"/>
    <mergeCell ref="D59:I60"/>
    <mergeCell ref="A4:G4"/>
    <mergeCell ref="A7:G7"/>
    <mergeCell ref="A44:E44"/>
    <mergeCell ref="D54:I54"/>
    <mergeCell ref="D55:I5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Bpk Dermawan</vt:lpstr>
      <vt:lpstr>Bpk Dermawan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Wijaya</dc:creator>
  <cp:lastModifiedBy>PC</cp:lastModifiedBy>
  <dcterms:created xsi:type="dcterms:W3CDTF">2022-10-21T13:20:37Z</dcterms:created>
  <dcterms:modified xsi:type="dcterms:W3CDTF">2022-11-12T04:54:51Z</dcterms:modified>
</cp:coreProperties>
</file>