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EF2892F-D359-4D4E-9086-7E92E6C4B03C}" xr6:coauthVersionLast="47" xr6:coauthVersionMax="47" xr10:uidLastSave="{00000000-0000-0000-0000-000000000000}"/>
  <bookViews>
    <workbookView xWindow="14190" yWindow="840" windowWidth="11955" windowHeight="11370" activeTab="7" xr2:uid="{9F5CD90E-0A50-4201-9AAF-F8BAF6DD344D}"/>
  </bookViews>
  <sheets>
    <sheet name="Soal" sheetId="1" r:id="rId1"/>
    <sheet name="No1" sheetId="2" r:id="rId2"/>
    <sheet name="No2" sheetId="3" r:id="rId3"/>
    <sheet name="No3" sheetId="4" r:id="rId4"/>
    <sheet name="No4" sheetId="5" r:id="rId5"/>
    <sheet name="No5" sheetId="6" r:id="rId6"/>
    <sheet name="No6" sheetId="7" r:id="rId7"/>
    <sheet name="No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F8" i="7"/>
  <c r="I15" i="3"/>
  <c r="H48" i="3"/>
  <c r="D49" i="3"/>
  <c r="D41" i="3"/>
  <c r="D43" i="3" s="1"/>
  <c r="D50" i="3" s="1"/>
  <c r="D32" i="3"/>
  <c r="D34" i="3" s="1"/>
  <c r="D25" i="3"/>
  <c r="D35" i="3" s="1"/>
  <c r="E22" i="3"/>
  <c r="E23" i="3"/>
  <c r="E24" i="3"/>
  <c r="E25" i="3"/>
  <c r="E27" i="3"/>
  <c r="E28" i="3"/>
  <c r="E29" i="3"/>
  <c r="E30" i="3"/>
  <c r="E31" i="3"/>
  <c r="E32" i="3"/>
  <c r="E33" i="3"/>
  <c r="E34" i="3"/>
  <c r="E21" i="3"/>
  <c r="C11" i="2"/>
  <c r="D9" i="8"/>
  <c r="E9" i="8"/>
  <c r="C9" i="8"/>
  <c r="C22" i="2"/>
  <c r="D7" i="8"/>
  <c r="E7" i="8"/>
  <c r="C7" i="8"/>
  <c r="D8" i="8"/>
  <c r="E8" i="8"/>
  <c r="C8" i="8"/>
  <c r="C10" i="2"/>
  <c r="C9" i="2"/>
  <c r="C15" i="2"/>
  <c r="C4" i="2"/>
  <c r="F4" i="7"/>
  <c r="E3" i="7"/>
  <c r="E2" i="7"/>
  <c r="B9" i="5"/>
  <c r="B11" i="5" s="1"/>
  <c r="F6" i="7" l="1"/>
  <c r="F7" i="7" s="1"/>
  <c r="B6" i="6"/>
  <c r="B7" i="6" s="1"/>
  <c r="E12" i="6" s="1"/>
  <c r="E13" i="6" s="1"/>
  <c r="E14" i="6" s="1"/>
  <c r="E15" i="6" s="1"/>
  <c r="C12" i="6"/>
  <c r="D12" i="6" l="1"/>
  <c r="F12" i="6" s="1"/>
  <c r="B13" i="6" s="1"/>
  <c r="C13" i="6"/>
  <c r="D13" i="6" s="1"/>
  <c r="F13" i="6" l="1"/>
  <c r="B14" i="6" s="1"/>
  <c r="C14" i="6" s="1"/>
  <c r="D14" i="6" s="1"/>
  <c r="F14" i="6"/>
  <c r="B15" i="6" s="1"/>
  <c r="C15" i="6" l="1"/>
  <c r="D15" i="6" s="1"/>
  <c r="F15" i="6" s="1"/>
  <c r="J11" i="4" l="1"/>
  <c r="J3" i="4"/>
  <c r="E7" i="4"/>
  <c r="I7" i="4" s="1"/>
  <c r="E8" i="4"/>
  <c r="I8" i="4" s="1"/>
  <c r="E6" i="4"/>
  <c r="F9" i="4" s="1"/>
  <c r="J9" i="4" s="1"/>
  <c r="F11" i="4"/>
  <c r="F4" i="4"/>
  <c r="G5" i="4" s="1"/>
  <c r="K5" i="4" s="1"/>
  <c r="G4" i="1"/>
  <c r="G9" i="1"/>
  <c r="G11" i="1"/>
  <c r="G13" i="1"/>
  <c r="C21" i="3"/>
  <c r="C22" i="3"/>
  <c r="C23" i="3"/>
  <c r="C24" i="3"/>
  <c r="C25" i="3"/>
  <c r="C27" i="3"/>
  <c r="C28" i="3"/>
  <c r="C29" i="3"/>
  <c r="C30" i="3"/>
  <c r="C31" i="3"/>
  <c r="C32" i="3"/>
  <c r="C33" i="3"/>
  <c r="C34" i="3"/>
  <c r="C35" i="3"/>
  <c r="E35" i="3" s="1"/>
  <c r="C38" i="3"/>
  <c r="C39" i="3"/>
  <c r="C40" i="3"/>
  <c r="C41" i="3"/>
  <c r="C42" i="3"/>
  <c r="C43" i="3"/>
  <c r="C45" i="3"/>
  <c r="C46" i="3"/>
  <c r="C47" i="3"/>
  <c r="C48" i="3"/>
  <c r="C49" i="3"/>
  <c r="C50" i="3"/>
  <c r="C9" i="4"/>
  <c r="D5" i="4"/>
  <c r="J4" i="4" l="1"/>
  <c r="I6" i="4"/>
  <c r="D10" i="4"/>
  <c r="D12" i="4" s="1"/>
  <c r="D14" i="4" s="1"/>
  <c r="G10" i="4"/>
  <c r="C9" i="3"/>
  <c r="D5" i="3"/>
  <c r="G12" i="4" l="1"/>
  <c r="K12" i="4" s="1"/>
  <c r="K10" i="4"/>
  <c r="F13" i="4"/>
  <c r="D10" i="3"/>
  <c r="D12" i="3" s="1"/>
  <c r="D14" i="3" s="1"/>
  <c r="F6" i="1"/>
  <c r="F7" i="1"/>
  <c r="F8" i="1"/>
  <c r="G3" i="1"/>
  <c r="C47" i="1"/>
  <c r="D5" i="2" s="1"/>
  <c r="B47" i="1"/>
  <c r="C39" i="1"/>
  <c r="C41" i="1" s="1"/>
  <c r="B39" i="1"/>
  <c r="B30" i="1"/>
  <c r="C30" i="1"/>
  <c r="C32" i="1" s="1"/>
  <c r="C23" i="1"/>
  <c r="B23" i="1"/>
  <c r="C9" i="1"/>
  <c r="D5" i="1"/>
  <c r="G14" i="4" l="1"/>
  <c r="K14" i="4" s="1"/>
  <c r="J13" i="4"/>
  <c r="D10" i="1"/>
  <c r="D12" i="1" s="1"/>
  <c r="D14" i="1" s="1"/>
  <c r="C7" i="2" s="1"/>
  <c r="B32" i="1"/>
  <c r="C5" i="2"/>
  <c r="C3" i="2"/>
  <c r="D3" i="2"/>
  <c r="H5" i="1"/>
  <c r="C18" i="2"/>
  <c r="B41" i="1"/>
  <c r="C33" i="1"/>
  <c r="D4" i="2" s="1"/>
  <c r="C48" i="1"/>
  <c r="H14" i="1" l="1"/>
  <c r="C17" i="2"/>
  <c r="H12" i="1"/>
  <c r="C23" i="2"/>
  <c r="H10" i="1"/>
  <c r="C21" i="2"/>
  <c r="B33" i="1"/>
  <c r="C6" i="2"/>
  <c r="G30" i="1"/>
  <c r="G32" i="1"/>
  <c r="B48" i="1"/>
  <c r="C14" i="2"/>
  <c r="G37" i="1"/>
  <c r="G46" i="1"/>
  <c r="G48" i="1"/>
  <c r="G38" i="1"/>
  <c r="G40" i="1"/>
  <c r="G41" i="1"/>
  <c r="G44" i="1"/>
  <c r="G36" i="1"/>
  <c r="G45" i="1"/>
  <c r="G43" i="1"/>
  <c r="G47" i="1"/>
  <c r="G39" i="1"/>
  <c r="G20" i="1"/>
  <c r="G29" i="1"/>
  <c r="G22" i="1"/>
  <c r="G31" i="1"/>
  <c r="G25" i="1"/>
  <c r="G21" i="1"/>
  <c r="G33" i="1"/>
  <c r="G27" i="1"/>
  <c r="G19" i="1"/>
  <c r="G28" i="1"/>
  <c r="G26" i="1"/>
  <c r="G23" i="1"/>
  <c r="F27" i="1" l="1"/>
  <c r="F29" i="1"/>
  <c r="F23" i="1"/>
  <c r="F31" i="1"/>
  <c r="F19" i="1"/>
  <c r="F22" i="1"/>
  <c r="F26" i="1"/>
  <c r="F32" i="1"/>
  <c r="F30" i="1"/>
  <c r="F33" i="1"/>
  <c r="F21" i="1"/>
  <c r="F20" i="1"/>
  <c r="F25" i="1"/>
  <c r="C19" i="2"/>
  <c r="F28" i="1"/>
  <c r="C13" i="2"/>
  <c r="F44" i="1"/>
  <c r="F40" i="1"/>
  <c r="F47" i="1"/>
  <c r="F48" i="1"/>
  <c r="F37" i="1"/>
  <c r="F46" i="1"/>
  <c r="F45" i="1"/>
  <c r="F38" i="1"/>
  <c r="F43" i="1"/>
  <c r="F39" i="1"/>
  <c r="F36" i="1"/>
  <c r="F41" i="1"/>
  <c r="G3" i="3" l="1"/>
  <c r="C35" i="4"/>
  <c r="E39" i="3"/>
  <c r="H14" i="3"/>
  <c r="C39" i="4" l="1"/>
  <c r="E39" i="4" s="1"/>
  <c r="E35" i="4"/>
  <c r="C40" i="4"/>
  <c r="E40" i="4" s="1"/>
  <c r="C48" i="4"/>
  <c r="E48" i="4" s="1"/>
  <c r="C46" i="4"/>
  <c r="E46" i="4" s="1"/>
  <c r="C43" i="4"/>
  <c r="E43" i="4" s="1"/>
  <c r="C41" i="4"/>
  <c r="E41" i="4" s="1"/>
  <c r="C38" i="4"/>
  <c r="E38" i="4" s="1"/>
  <c r="C45" i="4"/>
  <c r="E45" i="4" s="1"/>
  <c r="C42" i="4"/>
  <c r="E42" i="4" s="1"/>
  <c r="C49" i="4"/>
  <c r="E49" i="4" s="1"/>
  <c r="C47" i="4"/>
  <c r="E47" i="4" s="1"/>
  <c r="F6" i="3"/>
  <c r="F7" i="3"/>
  <c r="G13" i="3"/>
  <c r="F8" i="3"/>
  <c r="G11" i="3"/>
  <c r="G4" i="3"/>
  <c r="H5" i="3" s="1"/>
  <c r="E45" i="3"/>
  <c r="E42" i="3"/>
  <c r="E49" i="3"/>
  <c r="E38" i="3"/>
  <c r="E41" i="3"/>
  <c r="E48" i="3"/>
  <c r="E47" i="3"/>
  <c r="E43" i="3"/>
  <c r="E50" i="3"/>
  <c r="E40" i="3"/>
  <c r="E46" i="3"/>
  <c r="C21" i="4"/>
  <c r="E21" i="4" s="1"/>
  <c r="C27" i="4"/>
  <c r="E27" i="4" s="1"/>
  <c r="C29" i="4"/>
  <c r="E29" i="4" s="1"/>
  <c r="C28" i="4"/>
  <c r="E28" i="4" s="1"/>
  <c r="C25" i="4"/>
  <c r="E25" i="4" s="1"/>
  <c r="C24" i="4"/>
  <c r="E24" i="4" s="1"/>
  <c r="C23" i="4"/>
  <c r="E23" i="4" s="1"/>
  <c r="C22" i="4"/>
  <c r="E22" i="4" s="1"/>
  <c r="C34" i="4"/>
  <c r="E34" i="4" s="1"/>
  <c r="C33" i="4"/>
  <c r="E33" i="4" s="1"/>
  <c r="C32" i="4"/>
  <c r="E32" i="4" s="1"/>
  <c r="C31" i="4"/>
  <c r="E31" i="4" s="1"/>
  <c r="C30" i="4"/>
  <c r="E30" i="4" s="1"/>
  <c r="C50" i="4" l="1"/>
  <c r="E50" i="4" s="1"/>
  <c r="G9" i="3"/>
  <c r="H10" i="3" s="1"/>
  <c r="H12" i="3" s="1"/>
</calcChain>
</file>

<file path=xl/sharedStrings.xml><?xml version="1.0" encoding="utf-8"?>
<sst xmlns="http://schemas.openxmlformats.org/spreadsheetml/2006/main" count="227" uniqueCount="127">
  <si>
    <t>TAHUN</t>
  </si>
  <si>
    <t>Penjualan</t>
  </si>
  <si>
    <t>HPP</t>
  </si>
  <si>
    <t>Laba kotor</t>
  </si>
  <si>
    <t>By penjualan</t>
  </si>
  <si>
    <t>By umum</t>
  </si>
  <si>
    <t>By depresiasi</t>
  </si>
  <si>
    <t>Total By opr</t>
  </si>
  <si>
    <t>By bunga</t>
  </si>
  <si>
    <t>Laba EBIT</t>
  </si>
  <si>
    <t>Pajak</t>
  </si>
  <si>
    <t>Laba sebelum pajak EBT</t>
  </si>
  <si>
    <t>Laba setelah pajak EAT</t>
  </si>
  <si>
    <t>Aktiva</t>
  </si>
  <si>
    <t>Aktiva lancar</t>
  </si>
  <si>
    <t>Kas</t>
  </si>
  <si>
    <t>Surat Berharga</t>
  </si>
  <si>
    <t>Piutang</t>
  </si>
  <si>
    <t>Persediaan</t>
  </si>
  <si>
    <t>Total aktiva lancar</t>
  </si>
  <si>
    <t>Aktiva tetap kotor</t>
  </si>
  <si>
    <t>Tanah dan gedung</t>
  </si>
  <si>
    <t>Mesin dan peralatan</t>
  </si>
  <si>
    <t>Meubel</t>
  </si>
  <si>
    <t>Kendaraan</t>
  </si>
  <si>
    <t>Aktiva tetap lain</t>
  </si>
  <si>
    <t>Total aktiva tetap kotor</t>
  </si>
  <si>
    <t>Akumulasi depresiasi</t>
  </si>
  <si>
    <t>Aktiva tetap bersih</t>
  </si>
  <si>
    <t>Total aktiva</t>
  </si>
  <si>
    <t>Kewajiban dan modal</t>
  </si>
  <si>
    <t>Kewajiban lancar</t>
  </si>
  <si>
    <t>Hutang dagang</t>
  </si>
  <si>
    <t>Hutang wesel</t>
  </si>
  <si>
    <t>Biaya yang terhutang</t>
  </si>
  <si>
    <t>Total kewajiban lancar</t>
  </si>
  <si>
    <t>Kewajiban tak lancar</t>
  </si>
  <si>
    <t>Total kewajiban</t>
  </si>
  <si>
    <t>Modal ekuitas</t>
  </si>
  <si>
    <t>Saham Preferen</t>
  </si>
  <si>
    <t>Saham biasa</t>
  </si>
  <si>
    <t>Agio saham biasa</t>
  </si>
  <si>
    <t>Laba ditahan</t>
  </si>
  <si>
    <t>Total modal ekuitas</t>
  </si>
  <si>
    <t>Total kewajiban dan modal ekuitas</t>
  </si>
  <si>
    <t>RASIO</t>
  </si>
  <si>
    <t>Likuiditas</t>
  </si>
  <si>
    <t>aktiva lancar / hutang lancar</t>
  </si>
  <si>
    <t>Solvabilitas</t>
  </si>
  <si>
    <t>total aktiva / total hutang</t>
  </si>
  <si>
    <t>Rentabilitas</t>
  </si>
  <si>
    <t>(Laba/Total modal)*100</t>
  </si>
  <si>
    <t>Rentabilitas Ekonomi</t>
  </si>
  <si>
    <t>EBIT/(LongDebt + Equity)*100</t>
  </si>
  <si>
    <t>RMS</t>
  </si>
  <si>
    <t>EAT/Equity*100</t>
  </si>
  <si>
    <t>Perputaran Piutang (ARTO)</t>
  </si>
  <si>
    <t>Perputaran Persediaan (ITO)</t>
  </si>
  <si>
    <t>Perputaran Aktiva (TATO)</t>
  </si>
  <si>
    <t>Debt to Asset (DAR)</t>
  </si>
  <si>
    <t>Debt to Equity (DER)</t>
  </si>
  <si>
    <t>Intereset Coverage (TIE)</t>
  </si>
  <si>
    <t>Net Profit Margin (NPM)</t>
  </si>
  <si>
    <t>Gross Profit Margin (GPM)</t>
  </si>
  <si>
    <t>Return on Asset (ROA)</t>
  </si>
  <si>
    <t>Return on Equity (ROE)</t>
  </si>
  <si>
    <t>Dividen Payout Ratio (DPR)</t>
  </si>
  <si>
    <t>Retention Ratio</t>
  </si>
  <si>
    <t>laba ditahan / laba bersih</t>
  </si>
  <si>
    <t>dividen / laba bersih</t>
  </si>
  <si>
    <t>laba bersih / ekuitas</t>
  </si>
  <si>
    <t>laba bersih / penjualan</t>
  </si>
  <si>
    <t>laba kotor / penjualan</t>
  </si>
  <si>
    <t>EAT / total aktiva</t>
  </si>
  <si>
    <t>EBIT / beban bunga</t>
  </si>
  <si>
    <t>Total utang / total aktiva</t>
  </si>
  <si>
    <t>Total utang / total ekuitas</t>
  </si>
  <si>
    <t>Penjualan / piutang</t>
  </si>
  <si>
    <t>HPP / persediaan</t>
  </si>
  <si>
    <t>Penjualan / total aktiva</t>
  </si>
  <si>
    <t>%</t>
  </si>
  <si>
    <t>PENINGKATAN 2020 2021</t>
  </si>
  <si>
    <t>Total aktiva = Penjualan (1800) / TATO (0,55…)</t>
  </si>
  <si>
    <t>DATA 2022 = AKTIVA 2021 * %Kenaikan</t>
  </si>
  <si>
    <t>TAHUN 2022</t>
  </si>
  <si>
    <t>%Common Size</t>
  </si>
  <si>
    <t>A</t>
  </si>
  <si>
    <t>i</t>
  </si>
  <si>
    <t>n</t>
  </si>
  <si>
    <t>Angsuran</t>
  </si>
  <si>
    <t>PVA</t>
  </si>
  <si>
    <t>ANGSURAN</t>
  </si>
  <si>
    <t>Bunga</t>
  </si>
  <si>
    <t>POKOK</t>
  </si>
  <si>
    <t>BUNGA</t>
  </si>
  <si>
    <t>PINJAMAN</t>
  </si>
  <si>
    <t>SALDO AKHIR</t>
  </si>
  <si>
    <t>Saldo Pinjaman Sebelumnya x Suku Bunga</t>
  </si>
  <si>
    <t>Common Size</t>
  </si>
  <si>
    <t>200.000.000 * 0.24 * 4tahun / 48bulan</t>
  </si>
  <si>
    <t>Di akhir tahun 2022 PT LevReSil, Tbk akan membeli kendaraan bermotor seharga Rp 200 juta,-  per bulan yang dibayarkan PT LevReSil, Tbk atas angsuran kredit tersebut!</t>
  </si>
  <si>
    <t>kredit selama 4 tahun dengan tingkat bunga 24% per tahun flat. Maka berapa besar angsuran</t>
  </si>
  <si>
    <t>Rata2 bunga hutang dagang = 700 + 500 /2</t>
  </si>
  <si>
    <t>Rata2 bunga hutang wesel = 600 + 700 /2</t>
  </si>
  <si>
    <t>Total hutang</t>
  </si>
  <si>
    <t>Kupon Bunga Tahunan</t>
  </si>
  <si>
    <t>Jangka Waktu</t>
  </si>
  <si>
    <t>Keuntungan yang diinginkan</t>
  </si>
  <si>
    <t>PT LEVITA</t>
  </si>
  <si>
    <t>PT REGINA</t>
  </si>
  <si>
    <t>PTCESILY</t>
  </si>
  <si>
    <t>Harga obligasi</t>
  </si>
  <si>
    <t>Harga yang ditawarkan</t>
  </si>
  <si>
    <t>Kupon Bunga Tahunan %</t>
  </si>
  <si>
    <t>Current Yield (No5/No4)</t>
  </si>
  <si>
    <t>YTM [ {No5 + ((No0-No4)/No2)} / {(No0+No4)/2} ]</t>
  </si>
  <si>
    <t>Keputusan beli (YTM to No3)</t>
  </si>
  <si>
    <t>Tidak (Dibawah %No3)</t>
  </si>
  <si>
    <t>YTM terbesar adalah PT CESILY (5.088%)</t>
  </si>
  <si>
    <t xml:space="preserve">Kenaikan laba = </t>
  </si>
  <si>
    <t>EPS = (EAT - Kenaikan laba 2021 ke 2022) / jumlah lembar saham</t>
  </si>
  <si>
    <t>Penjualan = Aktiva (E35) * TATO</t>
  </si>
  <si>
    <t>Bunga % Tahunan</t>
  </si>
  <si>
    <t>Bunga % 270 hari</t>
  </si>
  <si>
    <t>Nominal bunga</t>
  </si>
  <si>
    <t>Nominal bunga 270 hari [ (270/360) * 70]</t>
  </si>
  <si>
    <t>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</si>
</sst>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71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0" fillId="3" borderId="0" xfId="0" applyFill="1" applyAlignment="1">
      <alignment horizontal="left"/>
    </xf>
    <xf numFmtId="0" fontId="0" fillId="0" borderId="1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 applyAlignment="1">
      <alignment horizontal="left" indent="1"/>
    </xf>
    <xf numFmtId="0" fontId="0" fillId="0" borderId="4" xfId="0" applyBorder="1"/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5" borderId="12" xfId="0" applyFill="1" applyBorder="1"/>
    <xf numFmtId="0" fontId="0" fillId="0" borderId="9" xfId="0" applyBorder="1"/>
    <xf numFmtId="9" fontId="0" fillId="0" borderId="9" xfId="0" applyNumberFormat="1" applyBorder="1"/>
    <xf numFmtId="0" fontId="0" fillId="2" borderId="9" xfId="0" applyFill="1" applyBorder="1"/>
    <xf numFmtId="0" fontId="0" fillId="3" borderId="11" xfId="0" applyFill="1" applyBorder="1"/>
    <xf numFmtId="0" fontId="0" fillId="0" borderId="2" xfId="0" applyBorder="1"/>
    <xf numFmtId="0" fontId="0" fillId="0" borderId="3" xfId="0" applyBorder="1"/>
    <xf numFmtId="0" fontId="0" fillId="2" borderId="12" xfId="0" applyFill="1" applyBorder="1"/>
    <xf numFmtId="0" fontId="0" fillId="2" borderId="12" xfId="0" applyFill="1" applyBorder="1" applyAlignment="1">
      <alignment horizontal="right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1" fillId="0" borderId="12" xfId="0" applyFont="1" applyBorder="1"/>
    <xf numFmtId="0" fontId="0" fillId="0" borderId="12" xfId="0" applyBorder="1" applyAlignment="1">
      <alignment horizontal="left" indent="1"/>
    </xf>
    <xf numFmtId="0" fontId="0" fillId="0" borderId="12" xfId="0" applyBorder="1" applyAlignment="1">
      <alignment horizontal="left"/>
    </xf>
    <xf numFmtId="0" fontId="1" fillId="0" borderId="12" xfId="0" applyFont="1" applyBorder="1" applyAlignment="1">
      <alignment horizontal="left"/>
    </xf>
    <xf numFmtId="3" fontId="0" fillId="0" borderId="12" xfId="0" applyNumberFormat="1" applyBorder="1"/>
    <xf numFmtId="4" fontId="0" fillId="0" borderId="12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0" xfId="0" applyNumberFormat="1" applyFill="1"/>
    <xf numFmtId="4" fontId="0" fillId="3" borderId="12" xfId="0" applyNumberFormat="1" applyFill="1" applyBorder="1"/>
    <xf numFmtId="0" fontId="0" fillId="3" borderId="12" xfId="0" applyNumberFormat="1" applyFill="1" applyBorder="1"/>
    <xf numFmtId="0" fontId="0" fillId="0" borderId="12" xfId="0" applyNumberFormat="1" applyBorder="1"/>
    <xf numFmtId="171" fontId="0" fillId="3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CF61-C8B1-49A6-872B-AFF0558B056A}">
  <dimension ref="A1:L48"/>
  <sheetViews>
    <sheetView workbookViewId="0">
      <selection activeCell="C11" sqref="C11"/>
    </sheetView>
  </sheetViews>
  <sheetFormatPr defaultRowHeight="15" x14ac:dyDescent="0.25"/>
  <cols>
    <col min="1" max="1" width="32.28515625" bestFit="1" customWidth="1"/>
  </cols>
  <sheetData>
    <row r="1" spans="1:12" ht="15.75" thickBot="1" x14ac:dyDescent="0.3"/>
    <row r="2" spans="1:12" ht="15.75" thickBot="1" x14ac:dyDescent="0.3">
      <c r="A2" s="1" t="s">
        <v>0</v>
      </c>
      <c r="B2" s="40">
        <v>2021</v>
      </c>
      <c r="C2" s="41"/>
      <c r="D2" s="42"/>
      <c r="F2" s="43">
        <v>20.21</v>
      </c>
      <c r="G2" s="44"/>
      <c r="H2" s="45"/>
      <c r="L2" s="2"/>
    </row>
    <row r="3" spans="1:12" x14ac:dyDescent="0.25">
      <c r="A3" t="s">
        <v>1</v>
      </c>
      <c r="B3" s="24"/>
      <c r="C3" s="24">
        <v>1700</v>
      </c>
      <c r="D3" s="24"/>
      <c r="F3" s="24"/>
      <c r="G3" s="24">
        <f>C3/$C$3*100</f>
        <v>100</v>
      </c>
      <c r="H3" s="24"/>
    </row>
    <row r="4" spans="1:12" x14ac:dyDescent="0.25">
      <c r="A4" t="s">
        <v>2</v>
      </c>
      <c r="B4" s="19"/>
      <c r="C4" s="19">
        <v>1000</v>
      </c>
      <c r="D4" s="19"/>
      <c r="F4" s="19"/>
      <c r="G4" s="19">
        <f>C4/$C$3*100</f>
        <v>58.82352941176471</v>
      </c>
      <c r="H4" s="19"/>
    </row>
    <row r="5" spans="1:12" x14ac:dyDescent="0.25">
      <c r="A5" t="s">
        <v>3</v>
      </c>
      <c r="B5" s="19"/>
      <c r="C5" s="19"/>
      <c r="D5" s="19">
        <f>C3-C4</f>
        <v>700</v>
      </c>
      <c r="F5" s="19"/>
      <c r="G5" s="19"/>
      <c r="H5" s="19">
        <f>D5/$C$3*100</f>
        <v>41.17647058823529</v>
      </c>
    </row>
    <row r="6" spans="1:12" x14ac:dyDescent="0.25">
      <c r="A6" t="s">
        <v>4</v>
      </c>
      <c r="B6" s="19">
        <v>80</v>
      </c>
      <c r="C6" s="19"/>
      <c r="D6" s="19"/>
      <c r="F6" s="19">
        <f>B6/$C$3*100</f>
        <v>4.7058823529411766</v>
      </c>
      <c r="G6" s="19"/>
      <c r="H6" s="19"/>
    </row>
    <row r="7" spans="1:12" x14ac:dyDescent="0.25">
      <c r="A7" t="s">
        <v>5</v>
      </c>
      <c r="B7" s="19">
        <v>150</v>
      </c>
      <c r="C7" s="19"/>
      <c r="D7" s="19"/>
      <c r="F7" s="19">
        <f>B7/$C$3*100</f>
        <v>8.8235294117647065</v>
      </c>
      <c r="G7" s="19"/>
      <c r="H7" s="19"/>
    </row>
    <row r="8" spans="1:12" x14ac:dyDescent="0.25">
      <c r="A8" t="s">
        <v>6</v>
      </c>
      <c r="B8" s="19">
        <v>100</v>
      </c>
      <c r="C8" s="19"/>
      <c r="D8" s="19"/>
      <c r="F8" s="19">
        <f>B8/$C$3*100</f>
        <v>5.8823529411764701</v>
      </c>
      <c r="G8" s="19"/>
      <c r="H8" s="19"/>
    </row>
    <row r="9" spans="1:12" x14ac:dyDescent="0.25">
      <c r="A9" t="s">
        <v>7</v>
      </c>
      <c r="B9" s="19"/>
      <c r="C9" s="19">
        <f>SUM(B6:B8)</f>
        <v>330</v>
      </c>
      <c r="D9" s="19"/>
      <c r="F9" s="19"/>
      <c r="G9" s="19">
        <f>C9/$C$3*100</f>
        <v>19.411764705882355</v>
      </c>
      <c r="H9" s="19"/>
    </row>
    <row r="10" spans="1:12" x14ac:dyDescent="0.25">
      <c r="A10" t="s">
        <v>9</v>
      </c>
      <c r="B10" s="19"/>
      <c r="C10" s="19"/>
      <c r="D10" s="19">
        <f>D5-C9</f>
        <v>370</v>
      </c>
      <c r="F10" s="19"/>
      <c r="G10" s="19"/>
      <c r="H10" s="19">
        <f>D10/$C$3*100</f>
        <v>21.764705882352942</v>
      </c>
    </row>
    <row r="11" spans="1:12" x14ac:dyDescent="0.25">
      <c r="A11" t="s">
        <v>8</v>
      </c>
      <c r="B11" s="19"/>
      <c r="C11" s="19">
        <v>70</v>
      </c>
      <c r="D11" s="19"/>
      <c r="F11" s="19"/>
      <c r="G11" s="19">
        <f>C11/$C$3*100</f>
        <v>4.117647058823529</v>
      </c>
      <c r="H11" s="19"/>
    </row>
    <row r="12" spans="1:12" x14ac:dyDescent="0.25">
      <c r="A12" t="s">
        <v>11</v>
      </c>
      <c r="B12" s="19"/>
      <c r="C12" s="19"/>
      <c r="D12" s="19">
        <f>D10-C11</f>
        <v>300</v>
      </c>
      <c r="F12" s="19"/>
      <c r="G12" s="19"/>
      <c r="H12" s="19">
        <f>D12/$C$3*100</f>
        <v>17.647058823529413</v>
      </c>
    </row>
    <row r="13" spans="1:12" x14ac:dyDescent="0.25">
      <c r="A13" t="s">
        <v>10</v>
      </c>
      <c r="B13" s="19"/>
      <c r="C13" s="19">
        <v>120</v>
      </c>
      <c r="D13" s="19"/>
      <c r="F13" s="19"/>
      <c r="G13" s="19">
        <f>C13/$C$3*100</f>
        <v>7.0588235294117645</v>
      </c>
      <c r="H13" s="19"/>
    </row>
    <row r="14" spans="1:12" ht="15.75" thickBot="1" x14ac:dyDescent="0.3">
      <c r="A14" t="s">
        <v>12</v>
      </c>
      <c r="B14" s="20"/>
      <c r="C14" s="20"/>
      <c r="D14" s="20">
        <f>D12-C13</f>
        <v>180</v>
      </c>
      <c r="F14" s="20"/>
      <c r="G14" s="20"/>
      <c r="H14" s="20">
        <f>D14/$C$3*100</f>
        <v>10.588235294117647</v>
      </c>
    </row>
    <row r="15" spans="1:12" ht="15.75" thickBot="1" x14ac:dyDescent="0.3"/>
    <row r="16" spans="1:12" x14ac:dyDescent="0.25">
      <c r="A16" s="8"/>
      <c r="B16" s="18">
        <v>2021</v>
      </c>
      <c r="C16" s="18">
        <v>2020</v>
      </c>
      <c r="F16" s="25">
        <v>20.21</v>
      </c>
      <c r="G16" s="25">
        <v>20.2</v>
      </c>
    </row>
    <row r="17" spans="1:7" x14ac:dyDescent="0.25">
      <c r="A17" s="9" t="s">
        <v>13</v>
      </c>
      <c r="B17" s="19"/>
      <c r="C17" s="19"/>
      <c r="F17" s="19"/>
      <c r="G17" s="19"/>
    </row>
    <row r="18" spans="1:7" x14ac:dyDescent="0.25">
      <c r="A18" s="9" t="s">
        <v>14</v>
      </c>
      <c r="B18" s="19"/>
      <c r="C18" s="19"/>
      <c r="F18" s="19"/>
      <c r="G18" s="19"/>
    </row>
    <row r="19" spans="1:7" x14ac:dyDescent="0.25">
      <c r="A19" s="11" t="s">
        <v>15</v>
      </c>
      <c r="B19" s="19">
        <v>400</v>
      </c>
      <c r="C19" s="19">
        <v>300</v>
      </c>
      <c r="F19" s="19">
        <f>B19/$B$33*100</f>
        <v>12.5</v>
      </c>
      <c r="G19" s="19">
        <f>C19/$C$33*100</f>
        <v>10.344827586206897</v>
      </c>
    </row>
    <row r="20" spans="1:7" x14ac:dyDescent="0.25">
      <c r="A20" s="11" t="s">
        <v>16</v>
      </c>
      <c r="B20" s="19">
        <v>600</v>
      </c>
      <c r="C20" s="19">
        <v>200</v>
      </c>
      <c r="F20" s="19">
        <f>B20/$B$33*100</f>
        <v>18.75</v>
      </c>
      <c r="G20" s="19">
        <f>C20/$C$33*100</f>
        <v>6.8965517241379306</v>
      </c>
    </row>
    <row r="21" spans="1:7" x14ac:dyDescent="0.25">
      <c r="A21" s="11" t="s">
        <v>17</v>
      </c>
      <c r="B21" s="19">
        <v>400</v>
      </c>
      <c r="C21" s="19">
        <v>500</v>
      </c>
      <c r="F21" s="19">
        <f>B21/$B$33*100</f>
        <v>12.5</v>
      </c>
      <c r="G21" s="19">
        <f>C21/$C$33*100</f>
        <v>17.241379310344829</v>
      </c>
    </row>
    <row r="22" spans="1:7" x14ac:dyDescent="0.25">
      <c r="A22" s="11" t="s">
        <v>18</v>
      </c>
      <c r="B22" s="19">
        <v>600</v>
      </c>
      <c r="C22" s="19">
        <v>900</v>
      </c>
      <c r="F22" s="19">
        <f>B22/$B$33*100</f>
        <v>18.75</v>
      </c>
      <c r="G22" s="19">
        <f>C22/$C$33*100</f>
        <v>31.03448275862069</v>
      </c>
    </row>
    <row r="23" spans="1:7" x14ac:dyDescent="0.25">
      <c r="A23" s="12" t="s">
        <v>19</v>
      </c>
      <c r="B23" s="19">
        <f>SUM(B19:B22)</f>
        <v>2000</v>
      </c>
      <c r="C23" s="19">
        <f>SUM(C19:C22)</f>
        <v>1900</v>
      </c>
      <c r="F23" s="19">
        <f>B23/$B$33*100</f>
        <v>62.5</v>
      </c>
      <c r="G23" s="19">
        <f>C23/$C$33*100</f>
        <v>65.517241379310349</v>
      </c>
    </row>
    <row r="24" spans="1:7" x14ac:dyDescent="0.25">
      <c r="A24" s="9" t="s">
        <v>20</v>
      </c>
      <c r="B24" s="19"/>
      <c r="C24" s="19"/>
      <c r="F24" s="19"/>
      <c r="G24" s="19"/>
    </row>
    <row r="25" spans="1:7" x14ac:dyDescent="0.25">
      <c r="A25" s="11" t="s">
        <v>21</v>
      </c>
      <c r="B25" s="19">
        <v>1200</v>
      </c>
      <c r="C25" s="19">
        <v>1050</v>
      </c>
      <c r="F25" s="19">
        <f t="shared" ref="F25:F33" si="0">B25/$B$33*100</f>
        <v>37.5</v>
      </c>
      <c r="G25" s="19">
        <f t="shared" ref="G25:G33" si="1">C25/$C$33*100</f>
        <v>36.206896551724135</v>
      </c>
    </row>
    <row r="26" spans="1:7" x14ac:dyDescent="0.25">
      <c r="A26" s="11" t="s">
        <v>22</v>
      </c>
      <c r="B26" s="19">
        <v>850</v>
      </c>
      <c r="C26" s="19">
        <v>800</v>
      </c>
      <c r="F26" s="19">
        <f t="shared" si="0"/>
        <v>26.5625</v>
      </c>
      <c r="G26" s="19">
        <f t="shared" si="1"/>
        <v>27.586206896551722</v>
      </c>
    </row>
    <row r="27" spans="1:7" x14ac:dyDescent="0.25">
      <c r="A27" s="11" t="s">
        <v>23</v>
      </c>
      <c r="B27" s="19">
        <v>300</v>
      </c>
      <c r="C27" s="19">
        <v>220</v>
      </c>
      <c r="F27" s="19">
        <f t="shared" si="0"/>
        <v>9.375</v>
      </c>
      <c r="G27" s="19">
        <f t="shared" si="1"/>
        <v>7.5862068965517242</v>
      </c>
    </row>
    <row r="28" spans="1:7" x14ac:dyDescent="0.25">
      <c r="A28" s="11" t="s">
        <v>24</v>
      </c>
      <c r="B28" s="19">
        <v>100</v>
      </c>
      <c r="C28" s="19">
        <v>80</v>
      </c>
      <c r="F28" s="19">
        <f t="shared" si="0"/>
        <v>3.125</v>
      </c>
      <c r="G28" s="19">
        <f t="shared" si="1"/>
        <v>2.7586206896551726</v>
      </c>
    </row>
    <row r="29" spans="1:7" x14ac:dyDescent="0.25">
      <c r="A29" s="11" t="s">
        <v>25</v>
      </c>
      <c r="B29" s="19">
        <v>50</v>
      </c>
      <c r="C29" s="19">
        <v>50</v>
      </c>
      <c r="F29" s="19">
        <f t="shared" si="0"/>
        <v>1.5625</v>
      </c>
      <c r="G29" s="19">
        <f t="shared" si="1"/>
        <v>1.7241379310344827</v>
      </c>
    </row>
    <row r="30" spans="1:7" x14ac:dyDescent="0.25">
      <c r="A30" s="13" t="s">
        <v>26</v>
      </c>
      <c r="B30" s="19">
        <f>SUM(B25:B29)</f>
        <v>2500</v>
      </c>
      <c r="C30" s="19">
        <f>SUM(C25:C29)</f>
        <v>2200</v>
      </c>
      <c r="F30" s="19">
        <f t="shared" si="0"/>
        <v>78.125</v>
      </c>
      <c r="G30" s="19">
        <f t="shared" si="1"/>
        <v>75.862068965517238</v>
      </c>
    </row>
    <row r="31" spans="1:7" x14ac:dyDescent="0.25">
      <c r="A31" s="11" t="s">
        <v>27</v>
      </c>
      <c r="B31" s="19">
        <v>1300</v>
      </c>
      <c r="C31" s="19">
        <v>1200</v>
      </c>
      <c r="F31" s="19">
        <f t="shared" si="0"/>
        <v>40.625</v>
      </c>
      <c r="G31" s="19">
        <f t="shared" si="1"/>
        <v>41.379310344827587</v>
      </c>
    </row>
    <row r="32" spans="1:7" x14ac:dyDescent="0.25">
      <c r="A32" s="13" t="s">
        <v>28</v>
      </c>
      <c r="B32" s="19">
        <f>B30-B31</f>
        <v>1200</v>
      </c>
      <c r="C32" s="19">
        <f>C30-C31</f>
        <v>1000</v>
      </c>
      <c r="F32" s="19">
        <f t="shared" si="0"/>
        <v>37.5</v>
      </c>
      <c r="G32" s="19">
        <f t="shared" si="1"/>
        <v>34.482758620689658</v>
      </c>
    </row>
    <row r="33" spans="1:7" x14ac:dyDescent="0.25">
      <c r="A33" s="14" t="s">
        <v>29</v>
      </c>
      <c r="B33" s="19">
        <f>B23+B32</f>
        <v>3200</v>
      </c>
      <c r="C33" s="19">
        <f>C23+C32</f>
        <v>2900</v>
      </c>
      <c r="F33" s="19">
        <f t="shared" si="0"/>
        <v>100</v>
      </c>
      <c r="G33" s="19">
        <f t="shared" si="1"/>
        <v>100</v>
      </c>
    </row>
    <row r="34" spans="1:7" x14ac:dyDescent="0.25">
      <c r="A34" s="9" t="s">
        <v>30</v>
      </c>
      <c r="B34" s="19"/>
      <c r="C34" s="19"/>
      <c r="F34" s="19"/>
      <c r="G34" s="19"/>
    </row>
    <row r="35" spans="1:7" x14ac:dyDescent="0.25">
      <c r="A35" s="9" t="s">
        <v>31</v>
      </c>
      <c r="B35" s="19"/>
      <c r="C35" s="19"/>
      <c r="F35" s="19"/>
      <c r="G35" s="19"/>
    </row>
    <row r="36" spans="1:7" x14ac:dyDescent="0.25">
      <c r="A36" s="11" t="s">
        <v>32</v>
      </c>
      <c r="B36" s="19">
        <v>700</v>
      </c>
      <c r="C36" s="19">
        <v>500</v>
      </c>
      <c r="F36" s="19">
        <f t="shared" ref="F36:F41" si="2">B36/$B$48*100</f>
        <v>21.875</v>
      </c>
      <c r="G36" s="19">
        <f t="shared" ref="G36:G41" si="3">C36/$C$48*100</f>
        <v>17.241379310344829</v>
      </c>
    </row>
    <row r="37" spans="1:7" x14ac:dyDescent="0.25">
      <c r="A37" s="11" t="s">
        <v>33</v>
      </c>
      <c r="B37" s="19">
        <v>600</v>
      </c>
      <c r="C37" s="19">
        <v>700</v>
      </c>
      <c r="F37" s="19">
        <f t="shared" si="2"/>
        <v>18.75</v>
      </c>
      <c r="G37" s="19">
        <f t="shared" si="3"/>
        <v>24.137931034482758</v>
      </c>
    </row>
    <row r="38" spans="1:7" x14ac:dyDescent="0.25">
      <c r="A38" s="11" t="s">
        <v>34</v>
      </c>
      <c r="B38" s="19">
        <v>100</v>
      </c>
      <c r="C38" s="19">
        <v>200</v>
      </c>
      <c r="F38" s="19">
        <f t="shared" si="2"/>
        <v>3.125</v>
      </c>
      <c r="G38" s="19">
        <f t="shared" si="3"/>
        <v>6.8965517241379306</v>
      </c>
    </row>
    <row r="39" spans="1:7" x14ac:dyDescent="0.25">
      <c r="A39" s="12" t="s">
        <v>35</v>
      </c>
      <c r="B39" s="19">
        <f>SUM(B36:B38)</f>
        <v>1400</v>
      </c>
      <c r="C39" s="19">
        <f>SUM(C36:C38)</f>
        <v>1400</v>
      </c>
      <c r="F39" s="19">
        <f t="shared" si="2"/>
        <v>43.75</v>
      </c>
      <c r="G39" s="19">
        <f t="shared" si="3"/>
        <v>48.275862068965516</v>
      </c>
    </row>
    <row r="40" spans="1:7" x14ac:dyDescent="0.25">
      <c r="A40" s="11" t="s">
        <v>36</v>
      </c>
      <c r="B40" s="19">
        <v>600</v>
      </c>
      <c r="C40" s="19">
        <v>400</v>
      </c>
      <c r="F40" s="19">
        <f t="shared" si="2"/>
        <v>18.75</v>
      </c>
      <c r="G40" s="19">
        <f t="shared" si="3"/>
        <v>13.793103448275861</v>
      </c>
    </row>
    <row r="41" spans="1:7" x14ac:dyDescent="0.25">
      <c r="A41" s="14" t="s">
        <v>37</v>
      </c>
      <c r="B41" s="19">
        <f>B39+B40</f>
        <v>2000</v>
      </c>
      <c r="C41" s="19">
        <f>C39+C40</f>
        <v>1800</v>
      </c>
      <c r="F41" s="19">
        <f t="shared" si="2"/>
        <v>62.5</v>
      </c>
      <c r="G41" s="19">
        <f t="shared" si="3"/>
        <v>62.068965517241381</v>
      </c>
    </row>
    <row r="42" spans="1:7" x14ac:dyDescent="0.25">
      <c r="A42" s="14" t="s">
        <v>38</v>
      </c>
      <c r="B42" s="19"/>
      <c r="C42" s="19"/>
      <c r="F42" s="19"/>
      <c r="G42" s="19"/>
    </row>
    <row r="43" spans="1:7" x14ac:dyDescent="0.25">
      <c r="A43" s="11" t="s">
        <v>39</v>
      </c>
      <c r="B43" s="19">
        <v>100</v>
      </c>
      <c r="C43" s="19">
        <v>100</v>
      </c>
      <c r="F43" s="19">
        <f t="shared" ref="F43:F48" si="4">B43/$B$48*100</f>
        <v>3.125</v>
      </c>
      <c r="G43" s="19">
        <f t="shared" ref="G43:G48" si="5">C43/$C$48*100</f>
        <v>3.4482758620689653</v>
      </c>
    </row>
    <row r="44" spans="1:7" x14ac:dyDescent="0.25">
      <c r="A44" s="11" t="s">
        <v>40</v>
      </c>
      <c r="B44" s="19">
        <v>120</v>
      </c>
      <c r="C44" s="19">
        <v>120</v>
      </c>
      <c r="F44" s="19">
        <f t="shared" si="4"/>
        <v>3.75</v>
      </c>
      <c r="G44" s="19">
        <f t="shared" si="5"/>
        <v>4.1379310344827589</v>
      </c>
    </row>
    <row r="45" spans="1:7" x14ac:dyDescent="0.25">
      <c r="A45" s="11" t="s">
        <v>41</v>
      </c>
      <c r="B45" s="19">
        <v>380</v>
      </c>
      <c r="C45" s="19">
        <v>380</v>
      </c>
      <c r="F45" s="19">
        <f t="shared" si="4"/>
        <v>11.875</v>
      </c>
      <c r="G45" s="19">
        <f t="shared" si="5"/>
        <v>13.103448275862069</v>
      </c>
    </row>
    <row r="46" spans="1:7" x14ac:dyDescent="0.25">
      <c r="A46" s="11" t="s">
        <v>42</v>
      </c>
      <c r="B46" s="19">
        <v>600</v>
      </c>
      <c r="C46" s="19">
        <v>500</v>
      </c>
      <c r="F46" s="19">
        <f t="shared" si="4"/>
        <v>18.75</v>
      </c>
      <c r="G46" s="19">
        <f t="shared" si="5"/>
        <v>17.241379310344829</v>
      </c>
    </row>
    <row r="47" spans="1:7" x14ac:dyDescent="0.25">
      <c r="A47" s="14" t="s">
        <v>43</v>
      </c>
      <c r="B47" s="19">
        <f>SUM(B43:B46)</f>
        <v>1200</v>
      </c>
      <c r="C47" s="19">
        <f>SUM(C43:C46)</f>
        <v>1100</v>
      </c>
      <c r="F47" s="19">
        <f t="shared" si="4"/>
        <v>37.5</v>
      </c>
      <c r="G47" s="19">
        <f t="shared" si="5"/>
        <v>37.931034482758619</v>
      </c>
    </row>
    <row r="48" spans="1:7" ht="15.75" thickBot="1" x14ac:dyDescent="0.3">
      <c r="A48" s="15" t="s">
        <v>44</v>
      </c>
      <c r="B48" s="20">
        <f>B41+B47</f>
        <v>3200</v>
      </c>
      <c r="C48" s="20">
        <f>C41+C47</f>
        <v>2900</v>
      </c>
      <c r="F48" s="20">
        <f t="shared" si="4"/>
        <v>100</v>
      </c>
      <c r="G48" s="20">
        <f t="shared" si="5"/>
        <v>100</v>
      </c>
    </row>
  </sheetData>
  <mergeCells count="2">
    <mergeCell ref="B2:D2"/>
    <mergeCell ref="F2:H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A453-7092-4A43-B785-196D38DD7770}">
  <dimension ref="A1:D23"/>
  <sheetViews>
    <sheetView workbookViewId="0">
      <selection activeCell="F11" sqref="F11"/>
    </sheetView>
  </sheetViews>
  <sheetFormatPr defaultRowHeight="15" x14ac:dyDescent="0.25"/>
  <cols>
    <col min="1" max="1" width="26.5703125" bestFit="1" customWidth="1"/>
    <col min="2" max="2" width="27.42578125" bestFit="1" customWidth="1"/>
  </cols>
  <sheetData>
    <row r="1" spans="1:4" x14ac:dyDescent="0.25">
      <c r="C1">
        <v>2021</v>
      </c>
      <c r="D1">
        <v>2020</v>
      </c>
    </row>
    <row r="2" spans="1:4" x14ac:dyDescent="0.25">
      <c r="A2" s="7" t="s">
        <v>45</v>
      </c>
    </row>
    <row r="3" spans="1:4" x14ac:dyDescent="0.25">
      <c r="A3" s="22" t="s">
        <v>46</v>
      </c>
      <c r="B3" s="22" t="s">
        <v>47</v>
      </c>
      <c r="C3" s="22">
        <f>Soal!B23/Soal!B39</f>
        <v>1.4285714285714286</v>
      </c>
      <c r="D3" s="22">
        <f>Soal!C23/Soal!C39</f>
        <v>1.3571428571428572</v>
      </c>
    </row>
    <row r="4" spans="1:4" x14ac:dyDescent="0.25">
      <c r="A4" s="22" t="s">
        <v>48</v>
      </c>
      <c r="B4" s="22" t="s">
        <v>49</v>
      </c>
      <c r="C4" s="22">
        <f>Soal!B33/Soal!B41</f>
        <v>1.6</v>
      </c>
      <c r="D4" s="22">
        <f>Soal!C33/Soal!C41</f>
        <v>1.6111111111111112</v>
      </c>
    </row>
    <row r="5" spans="1:4" x14ac:dyDescent="0.25">
      <c r="A5" s="22" t="s">
        <v>50</v>
      </c>
      <c r="B5" s="22" t="s">
        <v>51</v>
      </c>
      <c r="C5" s="22">
        <f>Soal!B46/Soal!B47*100</f>
        <v>50</v>
      </c>
      <c r="D5" s="22">
        <f>Soal!C46/Soal!C47*100</f>
        <v>45.454545454545453</v>
      </c>
    </row>
    <row r="6" spans="1:4" x14ac:dyDescent="0.25">
      <c r="A6" s="22" t="s">
        <v>52</v>
      </c>
      <c r="B6" s="22" t="s">
        <v>53</v>
      </c>
      <c r="C6" s="22">
        <f>Soal!D10/(Soal!B40+Soal!B47)*100</f>
        <v>20.555555555555554</v>
      </c>
      <c r="D6" s="22"/>
    </row>
    <row r="7" spans="1:4" x14ac:dyDescent="0.25">
      <c r="A7" s="22" t="s">
        <v>54</v>
      </c>
      <c r="B7" s="22" t="s">
        <v>55</v>
      </c>
      <c r="C7" s="22">
        <f>Soal!D14/Soal!B47*100</f>
        <v>15</v>
      </c>
      <c r="D7" s="22"/>
    </row>
    <row r="8" spans="1:4" x14ac:dyDescent="0.25">
      <c r="A8" s="22"/>
      <c r="B8" s="22"/>
      <c r="C8" s="22"/>
      <c r="D8" s="22"/>
    </row>
    <row r="9" spans="1:4" x14ac:dyDescent="0.25">
      <c r="A9" s="22" t="s">
        <v>56</v>
      </c>
      <c r="B9" s="22" t="s">
        <v>77</v>
      </c>
      <c r="C9" s="22">
        <f>Soal!C3/Soal!B21</f>
        <v>4.25</v>
      </c>
      <c r="D9" s="22"/>
    </row>
    <row r="10" spans="1:4" x14ac:dyDescent="0.25">
      <c r="A10" s="22" t="s">
        <v>57</v>
      </c>
      <c r="B10" s="22" t="s">
        <v>78</v>
      </c>
      <c r="C10" s="22">
        <f>Soal!C4/Soal!B22</f>
        <v>1.6666666666666667</v>
      </c>
      <c r="D10" s="22"/>
    </row>
    <row r="11" spans="1:4" x14ac:dyDescent="0.25">
      <c r="A11" s="22" t="s">
        <v>58</v>
      </c>
      <c r="B11" s="22" t="s">
        <v>79</v>
      </c>
      <c r="C11" s="22">
        <f>Soal!C3/((Soal!B33+Soal!C33)/2)</f>
        <v>0.55737704918032782</v>
      </c>
      <c r="D11" s="22"/>
    </row>
    <row r="12" spans="1:4" x14ac:dyDescent="0.25">
      <c r="A12" s="22"/>
      <c r="B12" s="22"/>
      <c r="C12" s="22"/>
      <c r="D12" s="22"/>
    </row>
    <row r="13" spans="1:4" x14ac:dyDescent="0.25">
      <c r="A13" s="22" t="s">
        <v>59</v>
      </c>
      <c r="B13" s="22" t="s">
        <v>75</v>
      </c>
      <c r="C13" s="22">
        <f>Soal!B41/Soal!B33</f>
        <v>0.625</v>
      </c>
      <c r="D13" s="22"/>
    </row>
    <row r="14" spans="1:4" x14ac:dyDescent="0.25">
      <c r="A14" s="22" t="s">
        <v>60</v>
      </c>
      <c r="B14" s="22" t="s">
        <v>76</v>
      </c>
      <c r="C14" s="22">
        <f>Soal!B41/Soal!B47</f>
        <v>1.6666666666666667</v>
      </c>
      <c r="D14" s="22"/>
    </row>
    <row r="15" spans="1:4" x14ac:dyDescent="0.25">
      <c r="A15" s="22" t="s">
        <v>61</v>
      </c>
      <c r="B15" s="22" t="s">
        <v>74</v>
      </c>
      <c r="C15" s="22">
        <f>Soal!D10/Soal!C11</f>
        <v>5.2857142857142856</v>
      </c>
      <c r="D15" s="22"/>
    </row>
    <row r="16" spans="1:4" x14ac:dyDescent="0.25">
      <c r="A16" s="22"/>
      <c r="B16" s="22"/>
      <c r="C16" s="22"/>
      <c r="D16" s="22"/>
    </row>
    <row r="17" spans="1:4" x14ac:dyDescent="0.25">
      <c r="A17" s="22" t="s">
        <v>62</v>
      </c>
      <c r="B17" s="22" t="s">
        <v>71</v>
      </c>
      <c r="C17" s="22">
        <f>Soal!D14/Soal!C3</f>
        <v>0.10588235294117647</v>
      </c>
      <c r="D17" s="22"/>
    </row>
    <row r="18" spans="1:4" x14ac:dyDescent="0.25">
      <c r="A18" s="22" t="s">
        <v>63</v>
      </c>
      <c r="B18" s="22" t="s">
        <v>72</v>
      </c>
      <c r="C18" s="22">
        <f>Soal!D5/Soal!C3</f>
        <v>0.41176470588235292</v>
      </c>
      <c r="D18" s="22"/>
    </row>
    <row r="19" spans="1:4" x14ac:dyDescent="0.25">
      <c r="A19" s="22" t="s">
        <v>64</v>
      </c>
      <c r="B19" s="22" t="s">
        <v>73</v>
      </c>
      <c r="C19" s="22">
        <f>Soal!D14/Soal!B33</f>
        <v>5.6250000000000001E-2</v>
      </c>
      <c r="D19" s="22"/>
    </row>
    <row r="20" spans="1:4" x14ac:dyDescent="0.25">
      <c r="A20" s="22"/>
      <c r="B20" s="22"/>
      <c r="C20" s="22"/>
      <c r="D20" s="22"/>
    </row>
    <row r="21" spans="1:4" x14ac:dyDescent="0.25">
      <c r="A21" s="22" t="s">
        <v>65</v>
      </c>
      <c r="B21" s="22" t="s">
        <v>70</v>
      </c>
      <c r="C21" s="22">
        <f>Soal!D14/Soal!B47</f>
        <v>0.15</v>
      </c>
      <c r="D21" s="22"/>
    </row>
    <row r="22" spans="1:4" x14ac:dyDescent="0.25">
      <c r="A22" s="22" t="s">
        <v>66</v>
      </c>
      <c r="B22" s="22" t="s">
        <v>69</v>
      </c>
      <c r="C22" s="22">
        <f>Soal!B44/Soal!D14</f>
        <v>0.66666666666666663</v>
      </c>
      <c r="D22" s="22"/>
    </row>
    <row r="23" spans="1:4" x14ac:dyDescent="0.25">
      <c r="A23" s="22" t="s">
        <v>67</v>
      </c>
      <c r="B23" s="22" t="s">
        <v>68</v>
      </c>
      <c r="C23" s="22">
        <f>Soal!B46/Soal!D14</f>
        <v>3.3333333333333335</v>
      </c>
      <c r="D23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E74F-CC33-46FF-880C-235BF0B9C84A}">
  <dimension ref="A1:I50"/>
  <sheetViews>
    <sheetView topLeftCell="A3" workbookViewId="0">
      <selection activeCell="I16" sqref="I16"/>
    </sheetView>
  </sheetViews>
  <sheetFormatPr defaultRowHeight="15" x14ac:dyDescent="0.25"/>
  <cols>
    <col min="1" max="1" width="32.28515625" customWidth="1"/>
    <col min="2" max="2" width="9.7109375" customWidth="1"/>
    <col min="8" max="8" width="9.42578125" customWidth="1"/>
    <col min="9" max="9" width="29.28515625" bestFit="1" customWidth="1"/>
  </cols>
  <sheetData>
    <row r="1" spans="1:9" ht="15.75" thickBot="1" x14ac:dyDescent="0.3"/>
    <row r="2" spans="1:9" ht="15.75" thickBot="1" x14ac:dyDescent="0.3">
      <c r="A2" s="1" t="s">
        <v>0</v>
      </c>
      <c r="B2" s="46">
        <v>2021</v>
      </c>
      <c r="C2" s="47"/>
      <c r="D2" s="48"/>
      <c r="F2" s="49">
        <v>2022</v>
      </c>
      <c r="G2" s="50"/>
      <c r="H2" s="51"/>
    </row>
    <row r="3" spans="1:9" x14ac:dyDescent="0.25">
      <c r="A3" t="s">
        <v>1</v>
      </c>
      <c r="B3" s="24"/>
      <c r="C3" s="24">
        <v>1700</v>
      </c>
      <c r="D3" s="24"/>
      <c r="F3" s="24"/>
      <c r="G3" s="24">
        <f>E35*'No1'!C11</f>
        <v>1968.1175805539849</v>
      </c>
      <c r="H3" s="24"/>
      <c r="I3" t="s">
        <v>121</v>
      </c>
    </row>
    <row r="4" spans="1:9" x14ac:dyDescent="0.25">
      <c r="A4" t="s">
        <v>2</v>
      </c>
      <c r="B4" s="19"/>
      <c r="C4" s="19">
        <v>1000</v>
      </c>
      <c r="D4" s="19"/>
      <c r="F4" s="19"/>
      <c r="G4" s="19">
        <f>Soal!G4/100*'No2'!$G$3</f>
        <v>1157.7162238552853</v>
      </c>
      <c r="H4" s="19"/>
    </row>
    <row r="5" spans="1:9" x14ac:dyDescent="0.25">
      <c r="A5" t="s">
        <v>3</v>
      </c>
      <c r="B5" s="19"/>
      <c r="C5" s="19"/>
      <c r="D5" s="19">
        <f>C3-C4</f>
        <v>700</v>
      </c>
      <c r="F5" s="19"/>
      <c r="G5" s="19"/>
      <c r="H5" s="19">
        <f>G3-G4</f>
        <v>810.4013566986996</v>
      </c>
    </row>
    <row r="6" spans="1:9" x14ac:dyDescent="0.25">
      <c r="A6" t="s">
        <v>4</v>
      </c>
      <c r="B6" s="19">
        <v>80</v>
      </c>
      <c r="C6" s="19"/>
      <c r="D6" s="19"/>
      <c r="F6" s="19">
        <f>Soal!F6/100*'No2'!$G$3</f>
        <v>92.617297908422813</v>
      </c>
      <c r="G6" s="19"/>
      <c r="H6" s="19"/>
    </row>
    <row r="7" spans="1:9" x14ac:dyDescent="0.25">
      <c r="A7" t="s">
        <v>5</v>
      </c>
      <c r="B7" s="19">
        <v>150</v>
      </c>
      <c r="C7" s="19"/>
      <c r="D7" s="19"/>
      <c r="F7" s="19">
        <f>Soal!F7/100*'No2'!$G$3</f>
        <v>173.6574335782928</v>
      </c>
      <c r="G7" s="19"/>
      <c r="H7" s="19"/>
    </row>
    <row r="8" spans="1:9" x14ac:dyDescent="0.25">
      <c r="A8" t="s">
        <v>6</v>
      </c>
      <c r="B8" s="19">
        <v>100</v>
      </c>
      <c r="C8" s="19"/>
      <c r="D8" s="19"/>
      <c r="F8" s="19">
        <f>Soal!F8/100*'No2'!$G$3</f>
        <v>115.7716223855285</v>
      </c>
      <c r="G8" s="19"/>
      <c r="H8" s="19"/>
    </row>
    <row r="9" spans="1:9" x14ac:dyDescent="0.25">
      <c r="A9" t="s">
        <v>7</v>
      </c>
      <c r="B9" s="19"/>
      <c r="C9" s="19">
        <f>SUM(B6:B8)</f>
        <v>330</v>
      </c>
      <c r="D9" s="19"/>
      <c r="F9" s="19"/>
      <c r="G9" s="19">
        <f>SUM(F6:F8)</f>
        <v>382.04635387224414</v>
      </c>
      <c r="H9" s="19"/>
    </row>
    <row r="10" spans="1:9" x14ac:dyDescent="0.25">
      <c r="A10" t="s">
        <v>9</v>
      </c>
      <c r="B10" s="19"/>
      <c r="C10" s="19"/>
      <c r="D10" s="19">
        <f>D5-C9</f>
        <v>370</v>
      </c>
      <c r="F10" s="19"/>
      <c r="G10" s="19"/>
      <c r="H10" s="19">
        <f>H5-G9</f>
        <v>428.35500282645546</v>
      </c>
    </row>
    <row r="11" spans="1:9" x14ac:dyDescent="0.25">
      <c r="A11" t="s">
        <v>8</v>
      </c>
      <c r="B11" s="19"/>
      <c r="C11" s="19">
        <v>70</v>
      </c>
      <c r="D11" s="19"/>
      <c r="F11" s="19"/>
      <c r="G11" s="19">
        <f>Soal!G11/100*'No2'!$G$3</f>
        <v>81.040135669869954</v>
      </c>
      <c r="H11" s="19"/>
    </row>
    <row r="12" spans="1:9" x14ac:dyDescent="0.25">
      <c r="A12" t="s">
        <v>11</v>
      </c>
      <c r="B12" s="19"/>
      <c r="C12" s="19"/>
      <c r="D12" s="19">
        <f>D10-C11</f>
        <v>300</v>
      </c>
      <c r="F12" s="19"/>
      <c r="G12" s="19"/>
      <c r="H12" s="19">
        <f>H10-G11</f>
        <v>347.31486715658548</v>
      </c>
    </row>
    <row r="13" spans="1:9" x14ac:dyDescent="0.25">
      <c r="A13" t="s">
        <v>10</v>
      </c>
      <c r="B13" s="19"/>
      <c r="C13" s="19">
        <v>120</v>
      </c>
      <c r="D13" s="19"/>
      <c r="F13" s="19"/>
      <c r="G13" s="19">
        <f>Soal!G13/100*'No2'!$G$3</f>
        <v>138.92594686263422</v>
      </c>
      <c r="H13" s="19"/>
    </row>
    <row r="14" spans="1:9" ht="15.75" thickBot="1" x14ac:dyDescent="0.3">
      <c r="A14" s="4" t="s">
        <v>12</v>
      </c>
      <c r="B14" s="20"/>
      <c r="C14" s="20"/>
      <c r="D14" s="20">
        <f>D12-C13</f>
        <v>180</v>
      </c>
      <c r="F14" s="20"/>
      <c r="G14" s="20"/>
      <c r="H14" s="27">
        <f>Soal!H14*'No2'!$G$3/100</f>
        <v>208.38892029395134</v>
      </c>
    </row>
    <row r="15" spans="1:9" x14ac:dyDescent="0.25">
      <c r="A15" s="4" t="s">
        <v>120</v>
      </c>
      <c r="B15" s="4"/>
      <c r="C15" s="4"/>
      <c r="D15" s="4"/>
      <c r="I15" s="58">
        <f>(H14-H48)/100000</f>
        <v>6.2068965517241394E-4</v>
      </c>
    </row>
    <row r="18" spans="1:8" ht="15.75" thickBot="1" x14ac:dyDescent="0.3">
      <c r="A18" s="1"/>
      <c r="B18" s="1"/>
      <c r="C18" s="3" t="s">
        <v>81</v>
      </c>
      <c r="D18" s="1"/>
      <c r="E18" s="5" t="s">
        <v>83</v>
      </c>
      <c r="F18" s="5"/>
      <c r="G18" s="5"/>
      <c r="H18" s="5"/>
    </row>
    <row r="19" spans="1:8" x14ac:dyDescent="0.25">
      <c r="A19" s="34" t="s">
        <v>13</v>
      </c>
      <c r="C19" s="26" t="s">
        <v>80</v>
      </c>
      <c r="E19" s="24"/>
    </row>
    <row r="20" spans="1:8" x14ac:dyDescent="0.25">
      <c r="A20" s="34" t="s">
        <v>14</v>
      </c>
      <c r="C20" s="19"/>
      <c r="E20" s="19"/>
    </row>
    <row r="21" spans="1:8" x14ac:dyDescent="0.25">
      <c r="A21" s="35" t="s">
        <v>15</v>
      </c>
      <c r="C21" s="19">
        <f>Soal!B19/Soal!C19*100</f>
        <v>133.33333333333331</v>
      </c>
      <c r="D21" s="19">
        <v>400</v>
      </c>
      <c r="E21" s="19">
        <f>Soal!F19*'No2'!$E$35/100</f>
        <v>441.37931034482756</v>
      </c>
    </row>
    <row r="22" spans="1:8" x14ac:dyDescent="0.25">
      <c r="A22" s="35" t="s">
        <v>16</v>
      </c>
      <c r="C22" s="19">
        <f>Soal!B20/Soal!C20*100</f>
        <v>300</v>
      </c>
      <c r="D22" s="19">
        <v>600</v>
      </c>
      <c r="E22" s="19">
        <f>Soal!F20*'No2'!$E$35/100</f>
        <v>662.06896551724128</v>
      </c>
    </row>
    <row r="23" spans="1:8" x14ac:dyDescent="0.25">
      <c r="A23" s="35" t="s">
        <v>17</v>
      </c>
      <c r="C23" s="19">
        <f>Soal!B21/Soal!C21*100</f>
        <v>80</v>
      </c>
      <c r="D23" s="19">
        <v>400</v>
      </c>
      <c r="E23" s="19">
        <f>Soal!F21*'No2'!$E$35/100</f>
        <v>441.37931034482756</v>
      </c>
    </row>
    <row r="24" spans="1:8" x14ac:dyDescent="0.25">
      <c r="A24" s="35" t="s">
        <v>18</v>
      </c>
      <c r="C24" s="19">
        <f>Soal!B22/Soal!C22*100</f>
        <v>66.666666666666657</v>
      </c>
      <c r="D24" s="19">
        <v>600</v>
      </c>
      <c r="E24" s="19">
        <f>Soal!F22*'No2'!$E$35/100</f>
        <v>662.06896551724128</v>
      </c>
    </row>
    <row r="25" spans="1:8" x14ac:dyDescent="0.25">
      <c r="A25" s="22" t="s">
        <v>19</v>
      </c>
      <c r="C25" s="19">
        <f>Soal!B23/Soal!C23*100</f>
        <v>105.26315789473684</v>
      </c>
      <c r="D25" s="19">
        <f>SUM(D21:D24)</f>
        <v>2000</v>
      </c>
      <c r="E25" s="19">
        <f>Soal!F23*'No2'!$E$35/100</f>
        <v>2206.8965517241377</v>
      </c>
    </row>
    <row r="26" spans="1:8" x14ac:dyDescent="0.25">
      <c r="A26" s="34" t="s">
        <v>20</v>
      </c>
      <c r="C26" s="19"/>
      <c r="D26" s="19"/>
      <c r="E26" s="19"/>
    </row>
    <row r="27" spans="1:8" x14ac:dyDescent="0.25">
      <c r="A27" s="35" t="s">
        <v>21</v>
      </c>
      <c r="C27" s="19">
        <f>Soal!B25/Soal!C25*100</f>
        <v>114.28571428571428</v>
      </c>
      <c r="D27" s="19">
        <v>1200</v>
      </c>
      <c r="E27" s="19">
        <f>Soal!F25*'No2'!$E$35/100</f>
        <v>1324.1379310344826</v>
      </c>
    </row>
    <row r="28" spans="1:8" x14ac:dyDescent="0.25">
      <c r="A28" s="35" t="s">
        <v>22</v>
      </c>
      <c r="C28" s="19">
        <f>Soal!B26/Soal!C26*100</f>
        <v>106.25</v>
      </c>
      <c r="D28" s="19">
        <v>850</v>
      </c>
      <c r="E28" s="19">
        <f>Soal!F26*'No2'!$E$35/100</f>
        <v>937.93103448275861</v>
      </c>
    </row>
    <row r="29" spans="1:8" x14ac:dyDescent="0.25">
      <c r="A29" s="35" t="s">
        <v>23</v>
      </c>
      <c r="C29" s="19">
        <f>Soal!B27/Soal!C27*100</f>
        <v>136.36363636363635</v>
      </c>
      <c r="D29" s="19">
        <v>300</v>
      </c>
      <c r="E29" s="19">
        <f>Soal!F27*'No2'!$E$35/100</f>
        <v>331.03448275862064</v>
      </c>
    </row>
    <row r="30" spans="1:8" x14ac:dyDescent="0.25">
      <c r="A30" s="35" t="s">
        <v>24</v>
      </c>
      <c r="C30" s="19">
        <f>Soal!B28/Soal!C28*100</f>
        <v>125</v>
      </c>
      <c r="D30" s="19">
        <v>100</v>
      </c>
      <c r="E30" s="19">
        <f>Soal!F28*'No2'!$E$35/100</f>
        <v>110.34482758620689</v>
      </c>
    </row>
    <row r="31" spans="1:8" x14ac:dyDescent="0.25">
      <c r="A31" s="35" t="s">
        <v>25</v>
      </c>
      <c r="C31" s="19">
        <f>Soal!B29/Soal!C29*100</f>
        <v>100</v>
      </c>
      <c r="D31" s="19">
        <v>50</v>
      </c>
      <c r="E31" s="19">
        <f>Soal!F29*'No2'!$E$35/100</f>
        <v>55.172413793103445</v>
      </c>
    </row>
    <row r="32" spans="1:8" x14ac:dyDescent="0.25">
      <c r="A32" s="36" t="s">
        <v>26</v>
      </c>
      <c r="C32" s="19">
        <f>Soal!B30/Soal!C30*100</f>
        <v>113.63636363636364</v>
      </c>
      <c r="D32" s="19">
        <f>SUM(D27:D31)</f>
        <v>2500</v>
      </c>
      <c r="E32" s="19">
        <f>Soal!F30*'No2'!$E$35/100</f>
        <v>2758.6206896551721</v>
      </c>
    </row>
    <row r="33" spans="1:8" x14ac:dyDescent="0.25">
      <c r="A33" s="35" t="s">
        <v>27</v>
      </c>
      <c r="C33" s="19">
        <f>Soal!B31/Soal!C31*100</f>
        <v>108.33333333333333</v>
      </c>
      <c r="D33" s="19">
        <v>1300</v>
      </c>
      <c r="E33" s="19">
        <f>Soal!F31*'No2'!$E$35/100</f>
        <v>1434.4827586206895</v>
      </c>
    </row>
    <row r="34" spans="1:8" x14ac:dyDescent="0.25">
      <c r="A34" s="36" t="s">
        <v>28</v>
      </c>
      <c r="C34" s="19">
        <f>Soal!B32/Soal!C32*100</f>
        <v>120</v>
      </c>
      <c r="D34" s="19">
        <f>D32-D33</f>
        <v>1200</v>
      </c>
      <c r="E34" s="19">
        <f>Soal!F32*'No2'!$E$35/100</f>
        <v>1324.1379310344826</v>
      </c>
    </row>
    <row r="35" spans="1:8" x14ac:dyDescent="0.25">
      <c r="A35" s="37" t="s">
        <v>29</v>
      </c>
      <c r="C35" s="19">
        <f>Soal!B33/Soal!C33*100</f>
        <v>110.34482758620689</v>
      </c>
      <c r="D35" s="19">
        <f>D25+D34</f>
        <v>3200</v>
      </c>
      <c r="E35" s="19">
        <f>C35/100*Soal!B33</f>
        <v>3531.0344827586205</v>
      </c>
    </row>
    <row r="36" spans="1:8" x14ac:dyDescent="0.25">
      <c r="A36" s="34" t="s">
        <v>30</v>
      </c>
      <c r="C36" s="19"/>
      <c r="D36" s="19"/>
      <c r="E36" s="19"/>
    </row>
    <row r="37" spans="1:8" x14ac:dyDescent="0.25">
      <c r="A37" s="34" t="s">
        <v>31</v>
      </c>
      <c r="C37" s="19"/>
      <c r="D37" s="19"/>
      <c r="E37" s="19"/>
    </row>
    <row r="38" spans="1:8" x14ac:dyDescent="0.25">
      <c r="A38" s="35" t="s">
        <v>32</v>
      </c>
      <c r="C38" s="19">
        <f>Soal!B36/Soal!C36*100</f>
        <v>140</v>
      </c>
      <c r="D38" s="19">
        <v>700</v>
      </c>
      <c r="E38" s="19">
        <f>Soal!F36/100*'No2'!$E$35</f>
        <v>772.41379310344826</v>
      </c>
    </row>
    <row r="39" spans="1:8" x14ac:dyDescent="0.25">
      <c r="A39" s="35" t="s">
        <v>33</v>
      </c>
      <c r="C39" s="19">
        <f>Soal!B37/Soal!C37*100</f>
        <v>85.714285714285708</v>
      </c>
      <c r="D39" s="19">
        <v>600</v>
      </c>
      <c r="E39" s="19">
        <f>Soal!F37/100*'No2'!$E$35</f>
        <v>662.06896551724139</v>
      </c>
    </row>
    <row r="40" spans="1:8" x14ac:dyDescent="0.25">
      <c r="A40" s="35" t="s">
        <v>34</v>
      </c>
      <c r="C40" s="19">
        <f>Soal!B38/Soal!C38*100</f>
        <v>50</v>
      </c>
      <c r="D40" s="19">
        <v>100</v>
      </c>
      <c r="E40" s="19">
        <f>Soal!F38/100*'No2'!$E$35</f>
        <v>110.34482758620689</v>
      </c>
    </row>
    <row r="41" spans="1:8" x14ac:dyDescent="0.25">
      <c r="A41" s="22" t="s">
        <v>35</v>
      </c>
      <c r="C41" s="19">
        <f>Soal!B39/Soal!C39*100</f>
        <v>100</v>
      </c>
      <c r="D41" s="19">
        <f>SUM(D38:D40)</f>
        <v>1400</v>
      </c>
      <c r="E41" s="19">
        <f>Soal!F39/100*'No2'!$E$35</f>
        <v>1544.8275862068965</v>
      </c>
    </row>
    <row r="42" spans="1:8" x14ac:dyDescent="0.25">
      <c r="A42" s="35" t="s">
        <v>36</v>
      </c>
      <c r="C42" s="19">
        <f>Soal!B40/Soal!C40*100</f>
        <v>150</v>
      </c>
      <c r="D42" s="19">
        <v>600</v>
      </c>
      <c r="E42" s="19">
        <f>Soal!F40/100*'No2'!$E$35</f>
        <v>662.06896551724139</v>
      </c>
    </row>
    <row r="43" spans="1:8" x14ac:dyDescent="0.25">
      <c r="A43" s="37" t="s">
        <v>37</v>
      </c>
      <c r="C43" s="19">
        <f>Soal!B41/Soal!C41*100</f>
        <v>111.11111111111111</v>
      </c>
      <c r="D43" s="19">
        <f>D41+D42</f>
        <v>2000</v>
      </c>
      <c r="E43" s="19">
        <f>Soal!F41/100*'No2'!$E$35</f>
        <v>2206.8965517241377</v>
      </c>
    </row>
    <row r="44" spans="1:8" x14ac:dyDescent="0.25">
      <c r="A44" s="37" t="s">
        <v>38</v>
      </c>
      <c r="C44" s="19"/>
      <c r="D44" s="19"/>
      <c r="E44" s="19"/>
    </row>
    <row r="45" spans="1:8" x14ac:dyDescent="0.25">
      <c r="A45" s="35" t="s">
        <v>39</v>
      </c>
      <c r="C45" s="19">
        <f>Soal!B43/Soal!C43*100</f>
        <v>100</v>
      </c>
      <c r="D45" s="19">
        <v>100</v>
      </c>
      <c r="E45" s="19">
        <f>Soal!F43/100*'No2'!$E$35</f>
        <v>110.34482758620689</v>
      </c>
    </row>
    <row r="46" spans="1:8" x14ac:dyDescent="0.25">
      <c r="A46" s="35" t="s">
        <v>40</v>
      </c>
      <c r="C46" s="19">
        <f>Soal!B44/Soal!C44*100</f>
        <v>100</v>
      </c>
      <c r="D46" s="19">
        <v>120</v>
      </c>
      <c r="E46" s="19">
        <f>Soal!F44/100*'No2'!$E$35</f>
        <v>132.41379310344826</v>
      </c>
    </row>
    <row r="47" spans="1:8" x14ac:dyDescent="0.25">
      <c r="A47" s="35" t="s">
        <v>41</v>
      </c>
      <c r="C47" s="19">
        <f>Soal!B45/Soal!C45*100</f>
        <v>100</v>
      </c>
      <c r="D47" s="19">
        <v>380</v>
      </c>
      <c r="E47" s="19">
        <f>Soal!F45/100*'No2'!$E$35</f>
        <v>419.31034482758616</v>
      </c>
    </row>
    <row r="48" spans="1:8" x14ac:dyDescent="0.25">
      <c r="A48" s="35" t="s">
        <v>42</v>
      </c>
      <c r="C48" s="19">
        <f>Soal!B46/Soal!C46*100</f>
        <v>120</v>
      </c>
      <c r="D48" s="19">
        <v>600</v>
      </c>
      <c r="E48" s="19">
        <f>Soal!F46/100*'No2'!$E$35</f>
        <v>662.06896551724139</v>
      </c>
      <c r="F48" t="s">
        <v>119</v>
      </c>
      <c r="H48">
        <f>H14-(E48-D48)</f>
        <v>146.31995477670995</v>
      </c>
    </row>
    <row r="49" spans="1:5" x14ac:dyDescent="0.25">
      <c r="A49" s="37" t="s">
        <v>43</v>
      </c>
      <c r="C49" s="19">
        <f>Soal!B47/Soal!C47*100</f>
        <v>109.09090909090908</v>
      </c>
      <c r="D49" s="19">
        <f>SUM(D45:D48)</f>
        <v>1200</v>
      </c>
      <c r="E49" s="19">
        <f>Soal!F47/100*'No2'!$E$35</f>
        <v>1324.1379310344828</v>
      </c>
    </row>
    <row r="50" spans="1:5" ht="15.75" thickBot="1" x14ac:dyDescent="0.3">
      <c r="A50" s="37" t="s">
        <v>44</v>
      </c>
      <c r="C50" s="20">
        <f>Soal!B48/Soal!C48*100</f>
        <v>110.34482758620689</v>
      </c>
      <c r="D50" s="20">
        <f>D43+D49</f>
        <v>3200</v>
      </c>
      <c r="E50" s="20">
        <f>Soal!F48/100*'No2'!$E$35</f>
        <v>3531.0344827586205</v>
      </c>
    </row>
  </sheetData>
  <mergeCells count="2">
    <mergeCell ref="B2:D2"/>
    <mergeCell ref="F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B792-DFC2-4427-8D6C-168F4F9D638B}">
  <dimension ref="A1:K50"/>
  <sheetViews>
    <sheetView workbookViewId="0">
      <selection activeCell="J19" sqref="J19"/>
    </sheetView>
  </sheetViews>
  <sheetFormatPr defaultRowHeight="15" x14ac:dyDescent="0.25"/>
  <cols>
    <col min="1" max="1" width="32.28515625" bestFit="1" customWidth="1"/>
  </cols>
  <sheetData>
    <row r="1" spans="1:11" ht="15.75" thickBot="1" x14ac:dyDescent="0.3">
      <c r="I1" s="55" t="s">
        <v>98</v>
      </c>
      <c r="J1" s="56"/>
      <c r="K1" s="57"/>
    </row>
    <row r="2" spans="1:11" ht="15.75" thickBot="1" x14ac:dyDescent="0.3">
      <c r="A2" s="1" t="s">
        <v>0</v>
      </c>
      <c r="B2" s="46">
        <v>2021</v>
      </c>
      <c r="C2" s="47"/>
      <c r="D2" s="48"/>
      <c r="E2" s="49">
        <v>2022</v>
      </c>
      <c r="F2" s="50"/>
      <c r="G2" s="51"/>
      <c r="I2" s="52">
        <v>20.22</v>
      </c>
      <c r="J2" s="53"/>
      <c r="K2" s="54"/>
    </row>
    <row r="3" spans="1:11" x14ac:dyDescent="0.25">
      <c r="A3" t="s">
        <v>1</v>
      </c>
      <c r="B3" s="8"/>
      <c r="C3" s="28">
        <v>1700</v>
      </c>
      <c r="D3" s="29"/>
      <c r="E3" s="8"/>
      <c r="F3" s="28">
        <v>1800</v>
      </c>
      <c r="G3" s="29"/>
      <c r="I3" s="8"/>
      <c r="J3" s="28">
        <f>F3/$F$3*100</f>
        <v>100</v>
      </c>
      <c r="K3" s="29"/>
    </row>
    <row r="4" spans="1:11" x14ac:dyDescent="0.25">
      <c r="A4" t="s">
        <v>2</v>
      </c>
      <c r="B4" s="12"/>
      <c r="C4">
        <v>1000</v>
      </c>
      <c r="D4" s="10"/>
      <c r="E4" s="12"/>
      <c r="F4">
        <f>Soal!G4/100*'No3'!$F$3</f>
        <v>1058.8235294117646</v>
      </c>
      <c r="G4" s="10"/>
      <c r="I4" s="12"/>
      <c r="J4">
        <f t="shared" ref="J4:J13" si="0">F4/$F$3*100</f>
        <v>58.823529411764696</v>
      </c>
      <c r="K4" s="10"/>
    </row>
    <row r="5" spans="1:11" x14ac:dyDescent="0.25">
      <c r="A5" t="s">
        <v>3</v>
      </c>
      <c r="B5" s="12"/>
      <c r="D5" s="10">
        <f>C3-C4</f>
        <v>700</v>
      </c>
      <c r="E5" s="12"/>
      <c r="G5" s="10">
        <f>F3-F4</f>
        <v>741.17647058823536</v>
      </c>
      <c r="I5" s="12"/>
      <c r="K5" s="10">
        <f t="shared" ref="K5:K14" si="1">G5/$F$3*100</f>
        <v>41.176470588235297</v>
      </c>
    </row>
    <row r="6" spans="1:11" x14ac:dyDescent="0.25">
      <c r="A6" t="s">
        <v>4</v>
      </c>
      <c r="B6" s="12">
        <v>80</v>
      </c>
      <c r="D6" s="10"/>
      <c r="E6" s="12">
        <f>Soal!F6/100*'No3'!$F$3</f>
        <v>84.705882352941174</v>
      </c>
      <c r="G6" s="10"/>
      <c r="I6" s="12">
        <f t="shared" ref="I6:I8" si="2">E6/$F$3*100</f>
        <v>4.7058823529411766</v>
      </c>
      <c r="K6" s="10"/>
    </row>
    <row r="7" spans="1:11" x14ac:dyDescent="0.25">
      <c r="A7" t="s">
        <v>5</v>
      </c>
      <c r="B7" s="12">
        <v>150</v>
      </c>
      <c r="D7" s="10"/>
      <c r="E7" s="12">
        <f>Soal!F7/100*'No3'!$F$3</f>
        <v>158.82352941176472</v>
      </c>
      <c r="G7" s="10"/>
      <c r="I7" s="12">
        <f t="shared" si="2"/>
        <v>8.8235294117647065</v>
      </c>
      <c r="K7" s="10"/>
    </row>
    <row r="8" spans="1:11" x14ac:dyDescent="0.25">
      <c r="A8" t="s">
        <v>6</v>
      </c>
      <c r="B8" s="12">
        <v>100</v>
      </c>
      <c r="D8" s="10"/>
      <c r="E8" s="12">
        <f>Soal!F8/100*'No3'!$F$3</f>
        <v>105.88235294117645</v>
      </c>
      <c r="G8" s="10"/>
      <c r="I8" s="12">
        <f t="shared" si="2"/>
        <v>5.8823529411764692</v>
      </c>
      <c r="K8" s="10"/>
    </row>
    <row r="9" spans="1:11" x14ac:dyDescent="0.25">
      <c r="A9" t="s">
        <v>7</v>
      </c>
      <c r="B9" s="12"/>
      <c r="C9">
        <f>SUM(B6:B8)</f>
        <v>330</v>
      </c>
      <c r="D9" s="10"/>
      <c r="E9" s="12"/>
      <c r="F9">
        <f>SUM(E6:E8)</f>
        <v>349.41176470588238</v>
      </c>
      <c r="G9" s="10"/>
      <c r="I9" s="12"/>
      <c r="J9">
        <f t="shared" si="0"/>
        <v>19.411764705882355</v>
      </c>
      <c r="K9" s="10"/>
    </row>
    <row r="10" spans="1:11" x14ac:dyDescent="0.25">
      <c r="A10" t="s">
        <v>9</v>
      </c>
      <c r="B10" s="12"/>
      <c r="D10" s="10">
        <f>D5-C9</f>
        <v>370</v>
      </c>
      <c r="E10" s="12"/>
      <c r="G10" s="10">
        <f>G5-F9</f>
        <v>391.76470588235298</v>
      </c>
      <c r="I10" s="12"/>
      <c r="K10" s="10">
        <f t="shared" si="1"/>
        <v>21.764705882352946</v>
      </c>
    </row>
    <row r="11" spans="1:11" x14ac:dyDescent="0.25">
      <c r="A11" t="s">
        <v>8</v>
      </c>
      <c r="B11" s="12"/>
      <c r="C11">
        <v>70</v>
      </c>
      <c r="D11" s="10"/>
      <c r="E11" s="12"/>
      <c r="F11">
        <f>Soal!G11/100*'No3'!$F$3</f>
        <v>74.117647058823522</v>
      </c>
      <c r="G11" s="10"/>
      <c r="I11" s="12"/>
      <c r="J11">
        <f t="shared" si="0"/>
        <v>4.117647058823529</v>
      </c>
      <c r="K11" s="10"/>
    </row>
    <row r="12" spans="1:11" x14ac:dyDescent="0.25">
      <c r="A12" t="s">
        <v>11</v>
      </c>
      <c r="B12" s="12"/>
      <c r="D12" s="10">
        <f>D10-C11</f>
        <v>300</v>
      </c>
      <c r="E12" s="12"/>
      <c r="G12" s="10">
        <f>G10-F11</f>
        <v>317.64705882352945</v>
      </c>
      <c r="I12" s="12"/>
      <c r="K12" s="10">
        <f t="shared" si="1"/>
        <v>17.647058823529413</v>
      </c>
    </row>
    <row r="13" spans="1:11" x14ac:dyDescent="0.25">
      <c r="A13" t="s">
        <v>10</v>
      </c>
      <c r="B13" s="12"/>
      <c r="C13">
        <v>120</v>
      </c>
      <c r="D13" s="10"/>
      <c r="E13" s="12"/>
      <c r="F13">
        <f>0.25*G12</f>
        <v>79.411764705882362</v>
      </c>
      <c r="G13" s="10"/>
      <c r="I13" s="12"/>
      <c r="J13">
        <f t="shared" si="0"/>
        <v>4.4117647058823533</v>
      </c>
      <c r="K13" s="10"/>
    </row>
    <row r="14" spans="1:11" ht="15.75" thickBot="1" x14ac:dyDescent="0.3">
      <c r="A14" t="s">
        <v>12</v>
      </c>
      <c r="B14" s="21"/>
      <c r="C14" s="16"/>
      <c r="D14" s="17">
        <f>D12-C13</f>
        <v>180</v>
      </c>
      <c r="E14" s="21"/>
      <c r="F14" s="16"/>
      <c r="G14" s="17">
        <f>G12-F13</f>
        <v>238.23529411764707</v>
      </c>
      <c r="I14" s="21"/>
      <c r="J14" s="16"/>
      <c r="K14" s="17">
        <f t="shared" si="1"/>
        <v>13.23529411764706</v>
      </c>
    </row>
    <row r="17" spans="1:5" x14ac:dyDescent="0.25">
      <c r="A17" s="1" t="s">
        <v>82</v>
      </c>
      <c r="B17" s="1"/>
      <c r="C17" s="1"/>
    </row>
    <row r="18" spans="1:5" x14ac:dyDescent="0.25">
      <c r="A18" s="30"/>
      <c r="B18" s="30"/>
      <c r="C18" s="31" t="s">
        <v>84</v>
      </c>
      <c r="D18" s="32"/>
      <c r="E18" s="33" t="s">
        <v>85</v>
      </c>
    </row>
    <row r="19" spans="1:5" x14ac:dyDescent="0.25">
      <c r="A19" s="34" t="s">
        <v>13</v>
      </c>
      <c r="B19" s="22"/>
      <c r="C19" s="22"/>
      <c r="D19" s="22"/>
      <c r="E19" s="22"/>
    </row>
    <row r="20" spans="1:5" x14ac:dyDescent="0.25">
      <c r="A20" s="34" t="s">
        <v>14</v>
      </c>
      <c r="B20" s="22"/>
      <c r="C20" s="22"/>
      <c r="D20" s="22"/>
      <c r="E20" s="22"/>
    </row>
    <row r="21" spans="1:5" x14ac:dyDescent="0.25">
      <c r="A21" s="35" t="s">
        <v>15</v>
      </c>
      <c r="B21" s="22"/>
      <c r="C21" s="22">
        <f>Soal!F19/100*'No3'!$C$35</f>
        <v>403.6764705882353</v>
      </c>
      <c r="D21" s="22"/>
      <c r="E21" s="22">
        <f>C21/$C$35*100</f>
        <v>12.5</v>
      </c>
    </row>
    <row r="22" spans="1:5" x14ac:dyDescent="0.25">
      <c r="A22" s="35" t="s">
        <v>16</v>
      </c>
      <c r="B22" s="22"/>
      <c r="C22" s="22">
        <f>Soal!F20/100*'No3'!$C$35</f>
        <v>605.51470588235293</v>
      </c>
      <c r="D22" s="22"/>
      <c r="E22" s="22">
        <f>C22/$C$35*100</f>
        <v>18.75</v>
      </c>
    </row>
    <row r="23" spans="1:5" x14ac:dyDescent="0.25">
      <c r="A23" s="35" t="s">
        <v>17</v>
      </c>
      <c r="B23" s="22"/>
      <c r="C23" s="22">
        <f>Soal!F21/100*'No3'!$C$35</f>
        <v>403.6764705882353</v>
      </c>
      <c r="D23" s="22"/>
      <c r="E23" s="22">
        <f>C23/$C$35*100</f>
        <v>12.5</v>
      </c>
    </row>
    <row r="24" spans="1:5" x14ac:dyDescent="0.25">
      <c r="A24" s="35" t="s">
        <v>18</v>
      </c>
      <c r="B24" s="22"/>
      <c r="C24" s="22">
        <f>Soal!F22/100*'No3'!$C$35</f>
        <v>605.51470588235293</v>
      </c>
      <c r="D24" s="22"/>
      <c r="E24" s="22">
        <f>C24/$C$35*100</f>
        <v>18.75</v>
      </c>
    </row>
    <row r="25" spans="1:5" x14ac:dyDescent="0.25">
      <c r="A25" s="22" t="s">
        <v>19</v>
      </c>
      <c r="B25" s="22"/>
      <c r="C25" s="22">
        <f>Soal!F23/100*'No3'!$C$35</f>
        <v>2018.3823529411766</v>
      </c>
      <c r="D25" s="22"/>
      <c r="E25" s="22">
        <f>C25/$C$35*100</f>
        <v>62.5</v>
      </c>
    </row>
    <row r="26" spans="1:5" x14ac:dyDescent="0.25">
      <c r="A26" s="34" t="s">
        <v>20</v>
      </c>
      <c r="B26" s="22"/>
      <c r="C26" s="22"/>
      <c r="D26" s="22"/>
      <c r="E26" s="22"/>
    </row>
    <row r="27" spans="1:5" x14ac:dyDescent="0.25">
      <c r="A27" s="35" t="s">
        <v>21</v>
      </c>
      <c r="B27" s="22"/>
      <c r="C27" s="22">
        <f>Soal!F25/100*'No3'!$C$35</f>
        <v>1211.0294117647059</v>
      </c>
      <c r="D27" s="22"/>
      <c r="E27" s="22">
        <f t="shared" ref="E27:E35" si="3">C27/$C$35*100</f>
        <v>37.5</v>
      </c>
    </row>
    <row r="28" spans="1:5" x14ac:dyDescent="0.25">
      <c r="A28" s="35" t="s">
        <v>22</v>
      </c>
      <c r="B28" s="22"/>
      <c r="C28" s="22">
        <f>Soal!F26/100*'No3'!$C$35</f>
        <v>857.8125</v>
      </c>
      <c r="D28" s="22"/>
      <c r="E28" s="22">
        <f t="shared" si="3"/>
        <v>26.5625</v>
      </c>
    </row>
    <row r="29" spans="1:5" x14ac:dyDescent="0.25">
      <c r="A29" s="35" t="s">
        <v>23</v>
      </c>
      <c r="B29" s="22"/>
      <c r="C29" s="22">
        <f>Soal!F27/100*'No3'!$C$35</f>
        <v>302.75735294117646</v>
      </c>
      <c r="D29" s="22"/>
      <c r="E29" s="22">
        <f t="shared" si="3"/>
        <v>9.375</v>
      </c>
    </row>
    <row r="30" spans="1:5" x14ac:dyDescent="0.25">
      <c r="A30" s="35" t="s">
        <v>24</v>
      </c>
      <c r="B30" s="22"/>
      <c r="C30" s="22">
        <f>Soal!F28/100*'No3'!$C$35</f>
        <v>100.91911764705883</v>
      </c>
      <c r="D30" s="22"/>
      <c r="E30" s="22">
        <f t="shared" si="3"/>
        <v>3.125</v>
      </c>
    </row>
    <row r="31" spans="1:5" x14ac:dyDescent="0.25">
      <c r="A31" s="35" t="s">
        <v>25</v>
      </c>
      <c r="B31" s="22"/>
      <c r="C31" s="22">
        <f>Soal!F29/100*'No3'!$C$35</f>
        <v>50.459558823529413</v>
      </c>
      <c r="D31" s="22"/>
      <c r="E31" s="22">
        <f t="shared" si="3"/>
        <v>1.5625</v>
      </c>
    </row>
    <row r="32" spans="1:5" x14ac:dyDescent="0.25">
      <c r="A32" s="36" t="s">
        <v>26</v>
      </c>
      <c r="B32" s="22"/>
      <c r="C32" s="22">
        <f>Soal!F30/100*'No3'!$C$35</f>
        <v>2522.9779411764707</v>
      </c>
      <c r="D32" s="22"/>
      <c r="E32" s="22">
        <f t="shared" si="3"/>
        <v>78.125</v>
      </c>
    </row>
    <row r="33" spans="1:5" x14ac:dyDescent="0.25">
      <c r="A33" s="35" t="s">
        <v>27</v>
      </c>
      <c r="B33" s="22"/>
      <c r="C33" s="22">
        <f>Soal!F31/100*'No3'!$C$35</f>
        <v>1311.9485294117646</v>
      </c>
      <c r="D33" s="22"/>
      <c r="E33" s="22">
        <f t="shared" si="3"/>
        <v>40.624999999999993</v>
      </c>
    </row>
    <row r="34" spans="1:5" x14ac:dyDescent="0.25">
      <c r="A34" s="36" t="s">
        <v>28</v>
      </c>
      <c r="B34" s="22"/>
      <c r="C34" s="22">
        <f>Soal!F32/100*'No3'!$C$35</f>
        <v>1211.0294117647059</v>
      </c>
      <c r="D34" s="22"/>
      <c r="E34" s="22">
        <f t="shared" si="3"/>
        <v>37.5</v>
      </c>
    </row>
    <row r="35" spans="1:5" x14ac:dyDescent="0.25">
      <c r="A35" s="37" t="s">
        <v>29</v>
      </c>
      <c r="B35" s="22"/>
      <c r="C35" s="30">
        <f>F3/'No1'!C11</f>
        <v>3229.4117647058824</v>
      </c>
      <c r="D35" s="22"/>
      <c r="E35" s="22">
        <f t="shared" si="3"/>
        <v>100</v>
      </c>
    </row>
    <row r="36" spans="1:5" x14ac:dyDescent="0.25">
      <c r="A36" s="34" t="s">
        <v>30</v>
      </c>
      <c r="B36" s="22"/>
      <c r="C36" s="22"/>
      <c r="D36" s="22"/>
      <c r="E36" s="22"/>
    </row>
    <row r="37" spans="1:5" x14ac:dyDescent="0.25">
      <c r="A37" s="34" t="s">
        <v>31</v>
      </c>
      <c r="B37" s="22"/>
      <c r="C37" s="22"/>
      <c r="D37" s="22"/>
      <c r="E37" s="22"/>
    </row>
    <row r="38" spans="1:5" x14ac:dyDescent="0.25">
      <c r="A38" s="35" t="s">
        <v>32</v>
      </c>
      <c r="B38" s="22"/>
      <c r="C38" s="22">
        <f>Soal!F36/100*'No3'!$C$35</f>
        <v>706.43382352941182</v>
      </c>
      <c r="D38" s="22"/>
      <c r="E38" s="22">
        <f t="shared" ref="E38:E50" si="4">C38/$C$35*100</f>
        <v>21.875</v>
      </c>
    </row>
    <row r="39" spans="1:5" x14ac:dyDescent="0.25">
      <c r="A39" s="35" t="s">
        <v>33</v>
      </c>
      <c r="B39" s="22"/>
      <c r="C39" s="22">
        <f>Soal!F37/100*'No3'!$C$35</f>
        <v>605.51470588235293</v>
      </c>
      <c r="D39" s="22"/>
      <c r="E39" s="22">
        <f t="shared" si="4"/>
        <v>18.75</v>
      </c>
    </row>
    <row r="40" spans="1:5" x14ac:dyDescent="0.25">
      <c r="A40" s="35" t="s">
        <v>34</v>
      </c>
      <c r="B40" s="22"/>
      <c r="C40" s="22">
        <f>Soal!F38/100*'No3'!$C$35</f>
        <v>100.91911764705883</v>
      </c>
      <c r="D40" s="22"/>
      <c r="E40" s="22">
        <f t="shared" si="4"/>
        <v>3.125</v>
      </c>
    </row>
    <row r="41" spans="1:5" x14ac:dyDescent="0.25">
      <c r="A41" s="22" t="s">
        <v>35</v>
      </c>
      <c r="B41" s="22"/>
      <c r="C41" s="22">
        <f>Soal!F39/100*'No3'!$C$35</f>
        <v>1412.8676470588236</v>
      </c>
      <c r="D41" s="22"/>
      <c r="E41" s="22">
        <f t="shared" si="4"/>
        <v>43.75</v>
      </c>
    </row>
    <row r="42" spans="1:5" x14ac:dyDescent="0.25">
      <c r="A42" s="35" t="s">
        <v>36</v>
      </c>
      <c r="B42" s="22"/>
      <c r="C42" s="22">
        <f>Soal!F40/100*'No3'!$C$35</f>
        <v>605.51470588235293</v>
      </c>
      <c r="D42" s="22"/>
      <c r="E42" s="22">
        <f t="shared" si="4"/>
        <v>18.75</v>
      </c>
    </row>
    <row r="43" spans="1:5" x14ac:dyDescent="0.25">
      <c r="A43" s="37" t="s">
        <v>37</v>
      </c>
      <c r="B43" s="22"/>
      <c r="C43" s="22">
        <f>Soal!F41/100*'No3'!$C$35</f>
        <v>2018.3823529411766</v>
      </c>
      <c r="D43" s="22"/>
      <c r="E43" s="22">
        <f t="shared" si="4"/>
        <v>62.5</v>
      </c>
    </row>
    <row r="44" spans="1:5" x14ac:dyDescent="0.25">
      <c r="A44" s="37" t="s">
        <v>38</v>
      </c>
      <c r="B44" s="22"/>
      <c r="C44" s="22"/>
      <c r="D44" s="22"/>
      <c r="E44" s="22"/>
    </row>
    <row r="45" spans="1:5" x14ac:dyDescent="0.25">
      <c r="A45" s="35" t="s">
        <v>39</v>
      </c>
      <c r="B45" s="22"/>
      <c r="C45" s="22">
        <f>Soal!F43/100*'No3'!$C$35</f>
        <v>100.91911764705883</v>
      </c>
      <c r="D45" s="22"/>
      <c r="E45" s="22">
        <f t="shared" si="4"/>
        <v>3.125</v>
      </c>
    </row>
    <row r="46" spans="1:5" x14ac:dyDescent="0.25">
      <c r="A46" s="35" t="s">
        <v>40</v>
      </c>
      <c r="B46" s="22"/>
      <c r="C46" s="22">
        <f>Soal!F44/100*'No3'!$C$35</f>
        <v>121.10294117647058</v>
      </c>
      <c r="D46" s="22"/>
      <c r="E46" s="22">
        <f t="shared" si="4"/>
        <v>3.75</v>
      </c>
    </row>
    <row r="47" spans="1:5" x14ac:dyDescent="0.25">
      <c r="A47" s="35" t="s">
        <v>41</v>
      </c>
      <c r="B47" s="22"/>
      <c r="C47" s="22">
        <f>Soal!F45/100*'No3'!$C$35</f>
        <v>383.49264705882354</v>
      </c>
      <c r="D47" s="22"/>
      <c r="E47" s="22">
        <f t="shared" si="4"/>
        <v>11.875</v>
      </c>
    </row>
    <row r="48" spans="1:5" x14ac:dyDescent="0.25">
      <c r="A48" s="35" t="s">
        <v>42</v>
      </c>
      <c r="B48" s="22"/>
      <c r="C48" s="22">
        <f>Soal!F46/100*'No3'!$C$35</f>
        <v>605.51470588235293</v>
      </c>
      <c r="D48" s="22"/>
      <c r="E48" s="22">
        <f t="shared" si="4"/>
        <v>18.75</v>
      </c>
    </row>
    <row r="49" spans="1:5" x14ac:dyDescent="0.25">
      <c r="A49" s="37" t="s">
        <v>43</v>
      </c>
      <c r="B49" s="22"/>
      <c r="C49" s="22">
        <f>Soal!F47/100*'No3'!$C$35</f>
        <v>1211.0294117647059</v>
      </c>
      <c r="D49" s="22"/>
      <c r="E49" s="22">
        <f t="shared" si="4"/>
        <v>37.5</v>
      </c>
    </row>
    <row r="50" spans="1:5" x14ac:dyDescent="0.25">
      <c r="A50" s="37" t="s">
        <v>44</v>
      </c>
      <c r="B50" s="22"/>
      <c r="C50" s="30">
        <f>C49+C43</f>
        <v>3229.4117647058824</v>
      </c>
      <c r="D50" s="22"/>
      <c r="E50" s="22">
        <f t="shared" si="4"/>
        <v>100</v>
      </c>
    </row>
  </sheetData>
  <mergeCells count="4">
    <mergeCell ref="B2:D2"/>
    <mergeCell ref="E2:G2"/>
    <mergeCell ref="I2:K2"/>
    <mergeCell ref="I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5C73-2544-45C0-B69F-4618B0FDF20B}">
  <dimension ref="A1:C11"/>
  <sheetViews>
    <sheetView workbookViewId="0">
      <selection activeCell="C10" sqref="C10"/>
    </sheetView>
  </sheetViews>
  <sheetFormatPr defaultRowHeight="15" x14ac:dyDescent="0.25"/>
  <cols>
    <col min="1" max="1" width="9.28515625" bestFit="1" customWidth="1"/>
    <col min="2" max="2" width="12.7109375" bestFit="1" customWidth="1"/>
  </cols>
  <sheetData>
    <row r="1" spans="1:3" x14ac:dyDescent="0.25">
      <c r="A1" t="s">
        <v>100</v>
      </c>
    </row>
    <row r="2" spans="1:3" x14ac:dyDescent="0.25">
      <c r="A2" t="s">
        <v>101</v>
      </c>
    </row>
    <row r="4" spans="1:3" x14ac:dyDescent="0.25">
      <c r="A4" s="22" t="s">
        <v>86</v>
      </c>
      <c r="B4" s="38">
        <v>200000000</v>
      </c>
      <c r="C4" s="22"/>
    </row>
    <row r="5" spans="1:3" x14ac:dyDescent="0.25">
      <c r="A5" s="22" t="s">
        <v>87</v>
      </c>
      <c r="B5" s="22">
        <v>0.24</v>
      </c>
      <c r="C5" s="22">
        <v>0.02</v>
      </c>
    </row>
    <row r="6" spans="1:3" x14ac:dyDescent="0.25">
      <c r="A6" s="22" t="s">
        <v>88</v>
      </c>
      <c r="B6" s="22">
        <v>4</v>
      </c>
      <c r="C6" s="22">
        <v>48</v>
      </c>
    </row>
    <row r="8" spans="1:3" x14ac:dyDescent="0.25">
      <c r="A8" t="s">
        <v>92</v>
      </c>
      <c r="B8" t="s">
        <v>99</v>
      </c>
    </row>
    <row r="9" spans="1:3" x14ac:dyDescent="0.25">
      <c r="B9" s="6">
        <f>B4*B5*B6</f>
        <v>192000000</v>
      </c>
    </row>
    <row r="10" spans="1:3" x14ac:dyDescent="0.25">
      <c r="B10" s="6"/>
    </row>
    <row r="11" spans="1:3" x14ac:dyDescent="0.25">
      <c r="A11" s="32" t="s">
        <v>89</v>
      </c>
      <c r="B11" s="59">
        <f>(B4+B9)/48</f>
        <v>8166666.666666667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5B8F-457A-4C85-8B4F-8B32C4085487}">
  <dimension ref="A2:F15"/>
  <sheetViews>
    <sheetView zoomScale="115" zoomScaleNormal="115" workbookViewId="0">
      <selection activeCell="C17" sqref="C17"/>
    </sheetView>
  </sheetViews>
  <sheetFormatPr defaultRowHeight="15" x14ac:dyDescent="0.25"/>
  <cols>
    <col min="1" max="1" width="11.140625" bestFit="1" customWidth="1"/>
    <col min="2" max="2" width="15.42578125" customWidth="1"/>
    <col min="3" max="3" width="13.85546875" bestFit="1" customWidth="1"/>
    <col min="4" max="4" width="15.7109375" customWidth="1"/>
    <col min="5" max="5" width="14.140625" customWidth="1"/>
    <col min="6" max="6" width="15.42578125" customWidth="1"/>
  </cols>
  <sheetData>
    <row r="2" spans="1:6" x14ac:dyDescent="0.25">
      <c r="A2" s="22" t="s">
        <v>86</v>
      </c>
      <c r="B2" s="38">
        <v>200000000</v>
      </c>
    </row>
    <row r="3" spans="1:6" x14ac:dyDescent="0.25">
      <c r="A3" s="22" t="s">
        <v>87</v>
      </c>
      <c r="B3" s="22">
        <v>0.2</v>
      </c>
    </row>
    <row r="4" spans="1:6" x14ac:dyDescent="0.25">
      <c r="A4" s="22" t="s">
        <v>88</v>
      </c>
      <c r="B4" s="22">
        <v>4</v>
      </c>
    </row>
    <row r="5" spans="1:6" x14ac:dyDescent="0.25">
      <c r="A5" s="22"/>
      <c r="B5" s="22"/>
    </row>
    <row r="6" spans="1:6" x14ac:dyDescent="0.25">
      <c r="A6" s="22" t="s">
        <v>90</v>
      </c>
      <c r="B6" s="22">
        <f>(1-(1/((1+B3)^B4)))/B3</f>
        <v>2.5887345679012341</v>
      </c>
    </row>
    <row r="7" spans="1:6" x14ac:dyDescent="0.25">
      <c r="A7" s="22" t="s">
        <v>91</v>
      </c>
      <c r="B7" s="38">
        <f>B2/B6</f>
        <v>77257824.143070057</v>
      </c>
    </row>
    <row r="8" spans="1:6" x14ac:dyDescent="0.25">
      <c r="A8" t="s">
        <v>92</v>
      </c>
      <c r="B8" t="s">
        <v>97</v>
      </c>
    </row>
    <row r="11" spans="1:6" x14ac:dyDescent="0.25">
      <c r="A11" s="32" t="s">
        <v>0</v>
      </c>
      <c r="B11" s="32" t="s">
        <v>95</v>
      </c>
      <c r="C11" s="32" t="s">
        <v>94</v>
      </c>
      <c r="D11" s="32" t="s">
        <v>93</v>
      </c>
      <c r="E11" s="32" t="s">
        <v>91</v>
      </c>
      <c r="F11" s="32" t="s">
        <v>96</v>
      </c>
    </row>
    <row r="12" spans="1:6" x14ac:dyDescent="0.25">
      <c r="A12" s="22">
        <v>1</v>
      </c>
      <c r="B12" s="39">
        <v>200000000</v>
      </c>
      <c r="C12" s="39">
        <f>B3*$B$12</f>
        <v>40000000</v>
      </c>
      <c r="D12" s="39">
        <f>E12-C12</f>
        <v>37257824.143070057</v>
      </c>
      <c r="E12" s="39">
        <f>B7</f>
        <v>77257824.143070057</v>
      </c>
      <c r="F12" s="39">
        <f>B12-D12</f>
        <v>162742175.85692996</v>
      </c>
    </row>
    <row r="13" spans="1:6" x14ac:dyDescent="0.25">
      <c r="A13" s="22">
        <v>2</v>
      </c>
      <c r="B13" s="39">
        <f>F12</f>
        <v>162742175.85692996</v>
      </c>
      <c r="C13" s="39">
        <f>$B$3*B13</f>
        <v>32548435.171385992</v>
      </c>
      <c r="D13" s="39">
        <f t="shared" ref="D13:D15" si="0">E13-C13</f>
        <v>44709388.971684068</v>
      </c>
      <c r="E13" s="39">
        <f>E12</f>
        <v>77257824.143070057</v>
      </c>
      <c r="F13" s="39">
        <f t="shared" ref="F13:F15" si="1">B13-D13</f>
        <v>118032786.88524589</v>
      </c>
    </row>
    <row r="14" spans="1:6" x14ac:dyDescent="0.25">
      <c r="A14" s="22">
        <v>3</v>
      </c>
      <c r="B14" s="39">
        <f t="shared" ref="B14:B15" si="2">F13</f>
        <v>118032786.88524589</v>
      </c>
      <c r="C14" s="39">
        <f t="shared" ref="C14:C15" si="3">$B$3*B14</f>
        <v>23606557.377049178</v>
      </c>
      <c r="D14" s="39">
        <f t="shared" si="0"/>
        <v>53651266.766020879</v>
      </c>
      <c r="E14" s="39">
        <f t="shared" ref="E14:E15" si="4">E13</f>
        <v>77257824.143070057</v>
      </c>
      <c r="F14" s="39">
        <f t="shared" si="1"/>
        <v>64381520.11922501</v>
      </c>
    </row>
    <row r="15" spans="1:6" x14ac:dyDescent="0.25">
      <c r="A15" s="22">
        <v>4</v>
      </c>
      <c r="B15" s="39">
        <f t="shared" si="2"/>
        <v>64381520.11922501</v>
      </c>
      <c r="C15" s="39">
        <f t="shared" si="3"/>
        <v>12876304.023845002</v>
      </c>
      <c r="D15" s="39">
        <f t="shared" si="0"/>
        <v>64381520.119225055</v>
      </c>
      <c r="E15" s="39">
        <f t="shared" si="4"/>
        <v>77257824.143070057</v>
      </c>
      <c r="F15" s="39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F5F2-D344-41AE-BACA-D86067C9C91A}">
  <dimension ref="A2:G9"/>
  <sheetViews>
    <sheetView zoomScale="145" zoomScaleNormal="145" workbookViewId="0">
      <selection activeCell="A11" sqref="A11"/>
    </sheetView>
  </sheetViews>
  <sheetFormatPr defaultRowHeight="15" x14ac:dyDescent="0.25"/>
  <cols>
    <col min="4" max="4" width="10" customWidth="1"/>
    <col min="6" max="6" width="9.5703125" bestFit="1" customWidth="1"/>
  </cols>
  <sheetData>
    <row r="2" spans="1:7" x14ac:dyDescent="0.25">
      <c r="A2" s="22" t="s">
        <v>102</v>
      </c>
      <c r="B2" s="22"/>
      <c r="C2" s="22"/>
      <c r="D2" s="22"/>
      <c r="E2" s="22">
        <f>(700+500)/2</f>
        <v>600</v>
      </c>
      <c r="F2" s="22"/>
    </row>
    <row r="3" spans="1:7" x14ac:dyDescent="0.25">
      <c r="A3" s="22" t="s">
        <v>103</v>
      </c>
      <c r="B3" s="22"/>
      <c r="C3" s="22"/>
      <c r="D3" s="22"/>
      <c r="E3" s="22">
        <f>(600+700)/2</f>
        <v>650</v>
      </c>
      <c r="F3" s="22"/>
    </row>
    <row r="4" spans="1:7" x14ac:dyDescent="0.25">
      <c r="A4" s="22" t="s">
        <v>104</v>
      </c>
      <c r="B4" s="22"/>
      <c r="C4" s="22"/>
      <c r="D4" s="22"/>
      <c r="E4" s="22"/>
      <c r="F4" s="22">
        <f>SUM(E2:E3)</f>
        <v>1250</v>
      </c>
    </row>
    <row r="5" spans="1:7" x14ac:dyDescent="0.25">
      <c r="A5" s="22" t="s">
        <v>124</v>
      </c>
      <c r="B5" s="22"/>
      <c r="C5" s="22"/>
      <c r="D5" s="22"/>
      <c r="E5" s="22"/>
      <c r="F5" s="22">
        <v>70</v>
      </c>
    </row>
    <row r="6" spans="1:7" x14ac:dyDescent="0.25">
      <c r="A6" s="32" t="s">
        <v>122</v>
      </c>
      <c r="B6" s="32"/>
      <c r="C6" s="32"/>
      <c r="D6" s="32"/>
      <c r="E6" s="32"/>
      <c r="F6" s="60">
        <f>F5/F4*100</f>
        <v>5.6000000000000005</v>
      </c>
      <c r="G6" t="s">
        <v>80</v>
      </c>
    </row>
    <row r="7" spans="1:7" x14ac:dyDescent="0.25">
      <c r="A7" s="22" t="s">
        <v>123</v>
      </c>
      <c r="B7" s="22"/>
      <c r="C7" s="22"/>
      <c r="D7" s="22"/>
      <c r="E7" s="22"/>
      <c r="F7" s="61">
        <f>(270/360)*F6</f>
        <v>4.2</v>
      </c>
      <c r="G7" t="s">
        <v>80</v>
      </c>
    </row>
    <row r="8" spans="1:7" x14ac:dyDescent="0.25">
      <c r="A8" s="32" t="s">
        <v>125</v>
      </c>
      <c r="B8" s="32"/>
      <c r="C8" s="32"/>
      <c r="D8" s="32"/>
      <c r="E8" s="32"/>
      <c r="F8" s="32">
        <f>F7*F4/100</f>
        <v>52.5</v>
      </c>
    </row>
    <row r="9" spans="1:7" x14ac:dyDescent="0.25">
      <c r="A9" s="32" t="s">
        <v>126</v>
      </c>
      <c r="B9" s="32"/>
      <c r="C9" s="32"/>
      <c r="D9" s="32"/>
      <c r="E9" s="32"/>
      <c r="F9" s="62">
        <f>((1+(0.042/(360/270)))^(360/270))-1</f>
        <v>4.2218976424512888E-2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8C09-C8B2-43A4-BB25-24A3DDEA0A2C}">
  <dimension ref="A1:E12"/>
  <sheetViews>
    <sheetView tabSelected="1" workbookViewId="0">
      <selection activeCell="C17" sqref="C17"/>
    </sheetView>
  </sheetViews>
  <sheetFormatPr defaultRowHeight="15" x14ac:dyDescent="0.25"/>
  <cols>
    <col min="1" max="1" width="4" customWidth="1"/>
    <col min="2" max="2" width="45.140625" bestFit="1" customWidth="1"/>
    <col min="3" max="4" width="21.140625" bestFit="1" customWidth="1"/>
    <col min="5" max="5" width="19.5703125" bestFit="1" customWidth="1"/>
  </cols>
  <sheetData>
    <row r="1" spans="1:5" x14ac:dyDescent="0.25">
      <c r="B1" t="s">
        <v>111</v>
      </c>
      <c r="C1" s="6">
        <v>100000000</v>
      </c>
    </row>
    <row r="2" spans="1:5" x14ac:dyDescent="0.25">
      <c r="C2" s="23" t="s">
        <v>108</v>
      </c>
      <c r="D2" s="23" t="s">
        <v>109</v>
      </c>
      <c r="E2" s="23" t="s">
        <v>110</v>
      </c>
    </row>
    <row r="3" spans="1:5" x14ac:dyDescent="0.25">
      <c r="A3">
        <v>1</v>
      </c>
      <c r="B3" t="s">
        <v>113</v>
      </c>
      <c r="C3" s="22">
        <v>5.29</v>
      </c>
      <c r="D3" s="22">
        <v>4.25</v>
      </c>
      <c r="E3" s="22">
        <v>4.75</v>
      </c>
    </row>
    <row r="4" spans="1:5" x14ac:dyDescent="0.25">
      <c r="A4">
        <v>2</v>
      </c>
      <c r="B4" t="s">
        <v>106</v>
      </c>
      <c r="C4" s="22">
        <v>6</v>
      </c>
      <c r="D4" s="22">
        <v>4</v>
      </c>
      <c r="E4" s="22">
        <v>5</v>
      </c>
    </row>
    <row r="5" spans="1:5" x14ac:dyDescent="0.25">
      <c r="A5">
        <v>3</v>
      </c>
      <c r="B5" t="s">
        <v>107</v>
      </c>
      <c r="C5" s="22">
        <v>6</v>
      </c>
      <c r="D5" s="22">
        <v>8</v>
      </c>
      <c r="E5" s="22">
        <v>10</v>
      </c>
    </row>
    <row r="6" spans="1:5" x14ac:dyDescent="0.25">
      <c r="A6">
        <v>4</v>
      </c>
      <c r="B6" t="s">
        <v>112</v>
      </c>
      <c r="C6" s="38">
        <v>105000000</v>
      </c>
      <c r="D6" s="38">
        <v>101500000</v>
      </c>
      <c r="E6" s="38">
        <v>98500000</v>
      </c>
    </row>
    <row r="7" spans="1:5" x14ac:dyDescent="0.25">
      <c r="A7">
        <v>5</v>
      </c>
      <c r="B7" t="s">
        <v>105</v>
      </c>
      <c r="C7" s="38">
        <f>C3*$C$1/100</f>
        <v>5290000</v>
      </c>
      <c r="D7" s="38">
        <f t="shared" ref="D7:E7" si="0">D3*$C$1/100</f>
        <v>4250000</v>
      </c>
      <c r="E7" s="38">
        <f t="shared" si="0"/>
        <v>4750000</v>
      </c>
    </row>
    <row r="8" spans="1:5" x14ac:dyDescent="0.25">
      <c r="A8">
        <v>6</v>
      </c>
      <c r="B8" t="s">
        <v>114</v>
      </c>
      <c r="C8" s="22">
        <f>C7/C6*100</f>
        <v>5.038095238095238</v>
      </c>
      <c r="D8" s="22">
        <f t="shared" ref="D8:E8" si="1">D7/D6*100</f>
        <v>4.1871921182266005</v>
      </c>
      <c r="E8" s="22">
        <f t="shared" si="1"/>
        <v>4.8223350253807107</v>
      </c>
    </row>
    <row r="9" spans="1:5" x14ac:dyDescent="0.25">
      <c r="A9">
        <v>7</v>
      </c>
      <c r="B9" t="s">
        <v>115</v>
      </c>
      <c r="C9" s="22">
        <f>(C7+(($C$1-C6)/C4))/(($C$1+C6)/2)*100</f>
        <v>4.3479674796747965</v>
      </c>
      <c r="D9" s="22">
        <f t="shared" ref="D9:E9" si="2">(D7+(($C$1-D6)/D4))/(($C$1+D6)/2)*100</f>
        <v>3.8461538461538463</v>
      </c>
      <c r="E9" s="22">
        <f t="shared" si="2"/>
        <v>5.0881612090680104</v>
      </c>
    </row>
    <row r="10" spans="1:5" x14ac:dyDescent="0.25">
      <c r="A10">
        <v>8</v>
      </c>
      <c r="B10" s="4" t="s">
        <v>116</v>
      </c>
      <c r="C10" s="32" t="s">
        <v>117</v>
      </c>
      <c r="D10" s="32" t="s">
        <v>117</v>
      </c>
      <c r="E10" s="32" t="s">
        <v>117</v>
      </c>
    </row>
    <row r="12" spans="1:5" x14ac:dyDescent="0.25">
      <c r="B1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Soal</vt:lpstr>
      <vt:lpstr>No1</vt:lpstr>
      <vt:lpstr>No2</vt:lpstr>
      <vt:lpstr>No3</vt:lpstr>
      <vt:lpstr>No4</vt:lpstr>
      <vt:lpstr>No5</vt:lpstr>
      <vt:lpstr>No6</vt:lpstr>
      <vt:lpstr>No7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2022-10-01T03:12:23Z</dcterms:created>
  <dcterms:modified xsi:type="dcterms:W3CDTF">2022-10-08T06:07:39Z</dcterms:modified>
</cp:coreProperties>
</file>