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C918FBD5-F61A-4B5C-8A89-41BB6D8E0680}" xr6:coauthVersionLast="47" xr6:coauthVersionMax="47" xr10:uidLastSave="{00000000-0000-0000-0000-000000000000}"/>
  <bookViews>
    <workbookView xWindow="150" yWindow="420" windowWidth="13785" windowHeight="11385" xr2:uid="{A7F3CF43-5C24-4EF8-B08C-1469242F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1" l="1"/>
  <c r="K15" i="1"/>
  <c r="K16" i="1"/>
  <c r="K17" i="1"/>
  <c r="K18" i="1"/>
  <c r="K19" i="1"/>
  <c r="K20" i="1"/>
  <c r="K14" i="1"/>
  <c r="K11" i="1"/>
  <c r="K21" i="1"/>
  <c r="E24" i="1"/>
  <c r="F3" i="1"/>
  <c r="F4" i="1"/>
  <c r="F5" i="1"/>
  <c r="F6" i="1"/>
  <c r="F8" i="1"/>
  <c r="F9" i="1"/>
  <c r="F10" i="1"/>
  <c r="F14" i="1"/>
  <c r="F15" i="1"/>
  <c r="F16" i="1"/>
  <c r="F17" i="1"/>
  <c r="F18" i="1"/>
  <c r="F19" i="1"/>
  <c r="F20" i="1"/>
  <c r="J29" i="1"/>
  <c r="J30" i="1"/>
  <c r="J31" i="1"/>
  <c r="J28" i="1"/>
  <c r="D73" i="1"/>
  <c r="E4" i="1"/>
  <c r="E5" i="1"/>
  <c r="E6" i="1"/>
  <c r="E8" i="1"/>
  <c r="E9" i="1"/>
  <c r="E14" i="1"/>
  <c r="E15" i="1"/>
  <c r="E16" i="1"/>
  <c r="E18" i="1"/>
  <c r="E19" i="1"/>
  <c r="E20" i="1"/>
  <c r="E3" i="1"/>
  <c r="D51" i="1"/>
  <c r="D50" i="1"/>
  <c r="K25" i="1"/>
  <c r="K34" i="1"/>
  <c r="L24" i="1"/>
  <c r="H32" i="1"/>
  <c r="K32" i="1" s="1"/>
  <c r="I26" i="1"/>
  <c r="D56" i="1" s="1"/>
  <c r="D17" i="1"/>
  <c r="D21" i="1" s="1"/>
  <c r="F21" i="1" s="1"/>
  <c r="C17" i="1"/>
  <c r="C21" i="1" s="1"/>
  <c r="D10" i="1"/>
  <c r="D52" i="1" s="1"/>
  <c r="C10" i="1"/>
  <c r="D7" i="1"/>
  <c r="F7" i="1" s="1"/>
  <c r="C7" i="1"/>
  <c r="E7" i="1" l="1"/>
  <c r="E10" i="1"/>
  <c r="E21" i="1"/>
  <c r="D44" i="1"/>
  <c r="L26" i="1"/>
  <c r="E17" i="1"/>
  <c r="D42" i="1"/>
  <c r="D43" i="1"/>
  <c r="D47" i="1"/>
  <c r="I33" i="1"/>
  <c r="D48" i="1" s="1"/>
  <c r="C11" i="1"/>
  <c r="H19" i="1"/>
  <c r="H20" i="1"/>
  <c r="H15" i="1"/>
  <c r="H16" i="1"/>
  <c r="H18" i="1"/>
  <c r="H21" i="1"/>
  <c r="H14" i="1"/>
  <c r="I14" i="1"/>
  <c r="I15" i="1"/>
  <c r="I16" i="1"/>
  <c r="I17" i="1"/>
  <c r="I18" i="1"/>
  <c r="I19" i="1"/>
  <c r="I20" i="1"/>
  <c r="I21" i="1"/>
  <c r="D11" i="1"/>
  <c r="H17" i="1"/>
  <c r="H4" i="1" l="1"/>
  <c r="H53" i="1"/>
  <c r="F11" i="1"/>
  <c r="D46" i="1"/>
  <c r="H3" i="1"/>
  <c r="H11" i="1"/>
  <c r="H9" i="1"/>
  <c r="I7" i="1"/>
  <c r="D53" i="1"/>
  <c r="E11" i="1"/>
  <c r="L33" i="1"/>
  <c r="I35" i="1"/>
  <c r="H7" i="1"/>
  <c r="H10" i="1"/>
  <c r="H6" i="1"/>
  <c r="H5" i="1"/>
  <c r="H8" i="1"/>
  <c r="I11" i="1"/>
  <c r="I4" i="1"/>
  <c r="I6" i="1"/>
  <c r="I5" i="1"/>
  <c r="I3" i="1"/>
  <c r="I8" i="1"/>
  <c r="I9" i="1"/>
  <c r="I10" i="1"/>
  <c r="H36" i="1" l="1"/>
  <c r="K36" i="1" s="1"/>
  <c r="L35" i="1"/>
  <c r="I37" i="1" l="1"/>
  <c r="D61" i="1" l="1"/>
  <c r="D62" i="1"/>
  <c r="D63" i="1"/>
  <c r="L37" i="1"/>
  <c r="D57" i="1"/>
  <c r="D59" i="1"/>
  <c r="D55" i="1"/>
  <c r="P37" i="1" l="1"/>
  <c r="P33" i="1"/>
  <c r="P26" i="1"/>
  <c r="N29" i="1"/>
  <c r="N31" i="1"/>
  <c r="O25" i="1"/>
  <c r="O34" i="1"/>
  <c r="O32" i="1"/>
  <c r="O36" i="1"/>
  <c r="N30" i="1"/>
  <c r="K10" i="1"/>
  <c r="K4" i="1"/>
  <c r="K7" i="1"/>
  <c r="K6" i="1"/>
  <c r="K3" i="1"/>
  <c r="K9" i="1"/>
  <c r="K8" i="1"/>
  <c r="K5" i="1"/>
  <c r="N28" i="1" l="1"/>
  <c r="P35" i="1"/>
</calcChain>
</file>

<file path=xl/sharedStrings.xml><?xml version="1.0" encoding="utf-8"?>
<sst xmlns="http://schemas.openxmlformats.org/spreadsheetml/2006/main" count="79" uniqueCount="79">
  <si>
    <t>Asset lancar / utang lancar</t>
  </si>
  <si>
    <t>Quick ratio</t>
  </si>
  <si>
    <t>Current ratio</t>
  </si>
  <si>
    <t>(Asset lancar - persediaan) / utang lancar</t>
  </si>
  <si>
    <t>Penjualan / Piutang</t>
  </si>
  <si>
    <t>HPP / Persediaan</t>
  </si>
  <si>
    <t>common size = bagi semua akun dgn sales</t>
  </si>
  <si>
    <t>Penjualan / Aktiva</t>
  </si>
  <si>
    <t>Total utang / Total aktiva</t>
  </si>
  <si>
    <t>Total utang / Total ekuitas</t>
  </si>
  <si>
    <t>EBIT(before tax) / Beban bunga</t>
  </si>
  <si>
    <t>Laba bersih EAT / Penjualan</t>
  </si>
  <si>
    <t>Gross Profit Margin (GPM)</t>
  </si>
  <si>
    <t>Laba kotor / Penjualan</t>
  </si>
  <si>
    <t>Net profit margin (NPM)</t>
  </si>
  <si>
    <t>Interest Coverage (TIE)</t>
  </si>
  <si>
    <t>Return on asset (ROA)</t>
  </si>
  <si>
    <t>Laba bersih EAT / Total aktiva</t>
  </si>
  <si>
    <t>Debt to asset ratio (DAR)</t>
  </si>
  <si>
    <t>Debt to equity ratio (DER)</t>
  </si>
  <si>
    <t>Perputaran aktiva (TATO)</t>
  </si>
  <si>
    <t>Perputaran Persediaan (ITO)</t>
  </si>
  <si>
    <t>Perputaran Piutang (ARTO)</t>
  </si>
  <si>
    <t>Pajak 40%</t>
  </si>
  <si>
    <t>kas</t>
  </si>
  <si>
    <t>inv berharga setara kas</t>
  </si>
  <si>
    <t>persediaan alkes &amp; farmasi</t>
  </si>
  <si>
    <t>piutang layanan</t>
  </si>
  <si>
    <t>akumulasi penyusutan</t>
  </si>
  <si>
    <t>Total aktiva</t>
  </si>
  <si>
    <t>hutang usaha</t>
  </si>
  <si>
    <t>hutang bank</t>
  </si>
  <si>
    <t>hutang wesel</t>
  </si>
  <si>
    <t>Kewajiban lancar</t>
  </si>
  <si>
    <t>Aktiva lancar</t>
  </si>
  <si>
    <t>Total akriva lancar</t>
  </si>
  <si>
    <t>Aktiva tetap neto</t>
  </si>
  <si>
    <t>Aktiva tetap</t>
  </si>
  <si>
    <t>Total kewajiban lancar</t>
  </si>
  <si>
    <t>Modal pemilik</t>
  </si>
  <si>
    <t>Laba ditahan</t>
  </si>
  <si>
    <t>Hutang jangka panjang</t>
  </si>
  <si>
    <t>Total pasiva</t>
  </si>
  <si>
    <t>Pendapatan jasa</t>
  </si>
  <si>
    <t>Beban pokok layanan</t>
  </si>
  <si>
    <t>Laba kotor</t>
  </si>
  <si>
    <t>Beban operasional</t>
  </si>
  <si>
    <t>Beban pemasaran</t>
  </si>
  <si>
    <t>Biaya adm dan umum</t>
  </si>
  <si>
    <t>Biaya gaji</t>
  </si>
  <si>
    <t>Penyusutan</t>
  </si>
  <si>
    <t>Total biaya operasional</t>
  </si>
  <si>
    <t>Laba sebelum bunga &amp; pajak (EBIT)</t>
  </si>
  <si>
    <t>Bunga</t>
  </si>
  <si>
    <t>Laba sebelum pajak (EBT)</t>
  </si>
  <si>
    <t>Laba setelah pajak (EAT)</t>
  </si>
  <si>
    <t>Return of equity (ROE)</t>
  </si>
  <si>
    <t>Laba bersih EAT / Ekuitas</t>
  </si>
  <si>
    <t>Dividen payout ration (DPR)</t>
  </si>
  <si>
    <t>Retention ratio</t>
  </si>
  <si>
    <t>Laba ditahan / Laba bersih EAT</t>
  </si>
  <si>
    <t>Dividen / Laba bersih EAT</t>
  </si>
  <si>
    <t>Earning per share</t>
  </si>
  <si>
    <t>Return of Investment</t>
  </si>
  <si>
    <t>2020</t>
  </si>
  <si>
    <t>2021</t>
  </si>
  <si>
    <t>Selisih</t>
  </si>
  <si>
    <t>%2020</t>
  </si>
  <si>
    <t>%2021</t>
  </si>
  <si>
    <t>Laba bersih / Share saham</t>
  </si>
  <si>
    <t>Laba bersih EAT / Modal</t>
  </si>
  <si>
    <t>Cash Ratio</t>
  </si>
  <si>
    <t>(Kas + Asset setara kas) / utang lancar</t>
  </si>
  <si>
    <t>Perputaran Aktiva tetap</t>
  </si>
  <si>
    <t>Penjualan / Aktiva tetap</t>
  </si>
  <si>
    <t>SALES 2020/ AVG Asset</t>
  </si>
  <si>
    <t>EST 2022</t>
  </si>
  <si>
    <t>ESTIMASI 2022</t>
  </si>
  <si>
    <t>Selisih % 2020 ke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</si>
</sst>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8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0" fontId="0" fillId="0" borderId="0" xfId="0" applyNumberFormat="1"/>
    <xf numFmtId="38" fontId="0" fillId="0" borderId="0" xfId="0" quotePrefix="1" applyNumberFormat="1"/>
    <xf numFmtId="4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F16-53D3-4B8A-AB23-DBD6A13C91EE}">
  <dimension ref="A1:P73"/>
  <sheetViews>
    <sheetView tabSelected="1" topLeftCell="A13" workbookViewId="0">
      <selection activeCell="F11" sqref="F11"/>
    </sheetView>
  </sheetViews>
  <sheetFormatPr defaultRowHeight="15" x14ac:dyDescent="0.25"/>
  <cols>
    <col min="1" max="1" width="26.5703125" bestFit="1" customWidth="1"/>
    <col min="2" max="2" width="37.7109375" bestFit="1" customWidth="1"/>
    <col min="3" max="3" width="9.28515625" style="2" bestFit="1" customWidth="1"/>
    <col min="4" max="4" width="9.85546875" style="2" bestFit="1" customWidth="1"/>
    <col min="5" max="5" width="9.140625" style="2"/>
    <col min="6" max="6" width="21.42578125" style="2" bestFit="1" customWidth="1"/>
    <col min="7" max="7" width="19.7109375" style="6" customWidth="1"/>
    <col min="8" max="8" width="9.140625" style="6"/>
    <col min="10" max="11" width="11.5703125" bestFit="1" customWidth="1"/>
    <col min="12" max="12" width="10.85546875" bestFit="1" customWidth="1"/>
    <col min="14" max="14" width="13.7109375" bestFit="1" customWidth="1"/>
    <col min="15" max="15" width="11.5703125" bestFit="1" customWidth="1"/>
    <col min="16" max="16" width="10.85546875" bestFit="1" customWidth="1"/>
  </cols>
  <sheetData>
    <row r="1" spans="1:11" x14ac:dyDescent="0.25">
      <c r="C1" s="7" t="s">
        <v>64</v>
      </c>
      <c r="D1" s="7" t="s">
        <v>65</v>
      </c>
      <c r="E1" s="2" t="s">
        <v>66</v>
      </c>
      <c r="F1" s="2" t="s">
        <v>78</v>
      </c>
      <c r="H1" s="8" t="s">
        <v>67</v>
      </c>
      <c r="I1" s="8" t="s">
        <v>68</v>
      </c>
      <c r="K1" t="s">
        <v>76</v>
      </c>
    </row>
    <row r="2" spans="1:11" x14ac:dyDescent="0.25">
      <c r="A2">
        <v>1</v>
      </c>
      <c r="B2" t="s">
        <v>34</v>
      </c>
      <c r="I2" s="6"/>
    </row>
    <row r="3" spans="1:11" x14ac:dyDescent="0.25">
      <c r="A3">
        <v>1.1000000000000001</v>
      </c>
      <c r="B3" s="3" t="s">
        <v>24</v>
      </c>
      <c r="C3" s="2">
        <v>10400</v>
      </c>
      <c r="D3" s="2">
        <v>10000</v>
      </c>
      <c r="E3" s="2">
        <f>(D3-C3)</f>
        <v>-400</v>
      </c>
      <c r="F3" s="2">
        <f t="shared" ref="F3:F20" si="0">D3/C3*100</f>
        <v>96.15384615384616</v>
      </c>
      <c r="H3" s="6">
        <f>C3/C$11*100</f>
        <v>2.546523016650343</v>
      </c>
      <c r="I3" s="6">
        <f>D3/D$11*100</f>
        <v>2.5</v>
      </c>
      <c r="K3" s="6">
        <f t="shared" ref="K3:K9" si="1">(I3/100)*$K$11</f>
        <v>9794.3192948090127</v>
      </c>
    </row>
    <row r="4" spans="1:11" x14ac:dyDescent="0.25">
      <c r="A4">
        <v>1.2</v>
      </c>
      <c r="B4" s="3" t="s">
        <v>25</v>
      </c>
      <c r="C4" s="2">
        <v>35000</v>
      </c>
      <c r="D4" s="2">
        <v>30000</v>
      </c>
      <c r="E4" s="2">
        <f t="shared" ref="E4:E21" si="2">(D4-C4)</f>
        <v>-5000</v>
      </c>
      <c r="F4" s="2">
        <f t="shared" si="0"/>
        <v>85.714285714285708</v>
      </c>
      <c r="H4" s="6">
        <f>C4/C$11*100</f>
        <v>8.570029382957884</v>
      </c>
      <c r="I4" s="6">
        <f>D4/D$11*100</f>
        <v>7.5</v>
      </c>
      <c r="K4" s="6">
        <f t="shared" si="1"/>
        <v>29382.957884427033</v>
      </c>
    </row>
    <row r="5" spans="1:11" x14ac:dyDescent="0.25">
      <c r="A5">
        <v>1.3</v>
      </c>
      <c r="B5" s="3" t="s">
        <v>27</v>
      </c>
      <c r="C5" s="2">
        <v>50000</v>
      </c>
      <c r="D5" s="2">
        <v>40000</v>
      </c>
      <c r="E5" s="2">
        <f t="shared" si="2"/>
        <v>-10000</v>
      </c>
      <c r="F5" s="2">
        <f t="shared" si="0"/>
        <v>80</v>
      </c>
      <c r="H5" s="6">
        <f>C5/C$11*100</f>
        <v>12.242899118511264</v>
      </c>
      <c r="I5" s="6">
        <f>D5/D$11*100</f>
        <v>10</v>
      </c>
      <c r="K5" s="6">
        <f t="shared" si="1"/>
        <v>39177.277179236051</v>
      </c>
    </row>
    <row r="6" spans="1:11" x14ac:dyDescent="0.25">
      <c r="A6" s="1">
        <v>1.4</v>
      </c>
      <c r="B6" s="3" t="s">
        <v>26</v>
      </c>
      <c r="C6" s="2">
        <v>71000</v>
      </c>
      <c r="D6" s="2">
        <v>60000</v>
      </c>
      <c r="E6" s="2">
        <f t="shared" si="2"/>
        <v>-11000</v>
      </c>
      <c r="F6" s="2">
        <f t="shared" si="0"/>
        <v>84.507042253521121</v>
      </c>
      <c r="H6" s="6">
        <f>C6/C$11*100</f>
        <v>17.384916748285995</v>
      </c>
      <c r="I6" s="6">
        <f>D6/D$11*100</f>
        <v>15</v>
      </c>
      <c r="K6" s="6">
        <f t="shared" si="1"/>
        <v>58765.915768854065</v>
      </c>
    </row>
    <row r="7" spans="1:11" x14ac:dyDescent="0.25">
      <c r="B7" s="1" t="s">
        <v>35</v>
      </c>
      <c r="C7" s="2">
        <f>SUM(C3:C6)</f>
        <v>166400</v>
      </c>
      <c r="D7" s="2">
        <f>SUM(D3:D6)</f>
        <v>140000</v>
      </c>
      <c r="E7" s="2">
        <f t="shared" si="2"/>
        <v>-26400</v>
      </c>
      <c r="F7" s="2">
        <f t="shared" si="0"/>
        <v>84.134615384615387</v>
      </c>
      <c r="H7" s="6">
        <f>C7/C$11*100</f>
        <v>40.744368266405488</v>
      </c>
      <c r="I7" s="6">
        <f>D7/D$11*100</f>
        <v>35</v>
      </c>
      <c r="K7" s="6">
        <f t="shared" si="1"/>
        <v>137120.47012732615</v>
      </c>
    </row>
    <row r="8" spans="1:11" x14ac:dyDescent="0.25">
      <c r="A8" s="1">
        <v>2</v>
      </c>
      <c r="B8" t="s">
        <v>37</v>
      </c>
      <c r="C8" s="2">
        <v>322000</v>
      </c>
      <c r="D8" s="2">
        <v>360000</v>
      </c>
      <c r="E8" s="2">
        <f t="shared" si="2"/>
        <v>38000</v>
      </c>
      <c r="F8" s="2">
        <f t="shared" si="0"/>
        <v>111.80124223602483</v>
      </c>
      <c r="H8" s="6">
        <f>C8/C$11*100</f>
        <v>78.844270323212541</v>
      </c>
      <c r="I8" s="6">
        <f>D8/D$11*100</f>
        <v>90</v>
      </c>
      <c r="K8" s="6">
        <f t="shared" si="1"/>
        <v>352595.49461312441</v>
      </c>
    </row>
    <row r="9" spans="1:11" x14ac:dyDescent="0.25">
      <c r="A9">
        <v>2.1</v>
      </c>
      <c r="B9" s="3" t="s">
        <v>28</v>
      </c>
      <c r="C9" s="2">
        <v>-80000</v>
      </c>
      <c r="D9" s="2">
        <v>-100000</v>
      </c>
      <c r="E9" s="2">
        <f t="shared" si="2"/>
        <v>-20000</v>
      </c>
      <c r="F9" s="2">
        <f t="shared" si="0"/>
        <v>125</v>
      </c>
      <c r="H9" s="6">
        <f>C9/C$11*100</f>
        <v>-19.588638589618022</v>
      </c>
      <c r="I9" s="6">
        <f>D9/D$11*100</f>
        <v>-25</v>
      </c>
      <c r="K9" s="6">
        <f t="shared" si="1"/>
        <v>-97943.192948090116</v>
      </c>
    </row>
    <row r="10" spans="1:11" x14ac:dyDescent="0.25">
      <c r="A10" s="1"/>
      <c r="B10" s="1" t="s">
        <v>36</v>
      </c>
      <c r="C10" s="2">
        <f>SUM(C8:C9)</f>
        <v>242000</v>
      </c>
      <c r="D10" s="2">
        <f>SUM(D8:D9)</f>
        <v>260000</v>
      </c>
      <c r="E10" s="2">
        <f t="shared" si="2"/>
        <v>18000</v>
      </c>
      <c r="F10" s="2">
        <f t="shared" si="0"/>
        <v>107.43801652892562</v>
      </c>
      <c r="H10" s="6">
        <f>C10/C$11*100</f>
        <v>59.255631733594512</v>
      </c>
      <c r="I10" s="6">
        <f>D10/D$11*100</f>
        <v>65</v>
      </c>
      <c r="K10" s="6">
        <f>(I10/100)*$K$11</f>
        <v>254652.30166503432</v>
      </c>
    </row>
    <row r="11" spans="1:11" x14ac:dyDescent="0.25">
      <c r="B11" s="1" t="s">
        <v>29</v>
      </c>
      <c r="C11" s="2">
        <f>C7+C10</f>
        <v>408400</v>
      </c>
      <c r="D11" s="2">
        <f>D7+D10</f>
        <v>400000</v>
      </c>
      <c r="E11" s="2">
        <f t="shared" si="2"/>
        <v>-8400</v>
      </c>
      <c r="F11" s="2">
        <f t="shared" si="0"/>
        <v>97.943192948090115</v>
      </c>
      <c r="H11" s="6">
        <f>C11/C$11*100</f>
        <v>100</v>
      </c>
      <c r="I11" s="6">
        <f>D11/D$11*100</f>
        <v>100</v>
      </c>
      <c r="K11" s="6">
        <f>D11*($F$11/100)</f>
        <v>391772.77179236047</v>
      </c>
    </row>
    <row r="12" spans="1:11" x14ac:dyDescent="0.25">
      <c r="B12" s="1"/>
      <c r="I12" s="6"/>
    </row>
    <row r="13" spans="1:11" x14ac:dyDescent="0.25">
      <c r="A13" s="1">
        <v>3</v>
      </c>
      <c r="B13" s="1" t="s">
        <v>33</v>
      </c>
      <c r="I13" s="6"/>
    </row>
    <row r="14" spans="1:11" x14ac:dyDescent="0.25">
      <c r="A14">
        <v>3.1</v>
      </c>
      <c r="B14" s="3" t="s">
        <v>30</v>
      </c>
      <c r="C14" s="2">
        <v>19400</v>
      </c>
      <c r="D14" s="2">
        <v>14000</v>
      </c>
      <c r="E14" s="2">
        <f t="shared" si="2"/>
        <v>-5400</v>
      </c>
      <c r="F14" s="2">
        <f t="shared" si="0"/>
        <v>72.164948453608247</v>
      </c>
      <c r="H14" s="6">
        <f>C14/C$21*100</f>
        <v>4.7502448579823708</v>
      </c>
      <c r="I14" s="6">
        <f>D14/D$21*100</f>
        <v>3.5000000000000004</v>
      </c>
      <c r="K14" s="6">
        <f>(I14/100)*$K$21</f>
        <v>13712.047012732617</v>
      </c>
    </row>
    <row r="15" spans="1:11" x14ac:dyDescent="0.25">
      <c r="A15">
        <v>3.2</v>
      </c>
      <c r="B15" s="3" t="s">
        <v>32</v>
      </c>
      <c r="C15" s="2">
        <v>22000</v>
      </c>
      <c r="D15" s="2">
        <v>20000</v>
      </c>
      <c r="E15" s="2">
        <f t="shared" si="2"/>
        <v>-2000</v>
      </c>
      <c r="F15" s="2">
        <f t="shared" si="0"/>
        <v>90.909090909090907</v>
      </c>
      <c r="H15" s="6">
        <f>C15/C$21*100</f>
        <v>5.3868756121449559</v>
      </c>
      <c r="I15" s="6">
        <f>D15/D$21*100</f>
        <v>5</v>
      </c>
      <c r="K15" s="6">
        <f t="shared" ref="K15:K20" si="3">(I15/100)*$K$21</f>
        <v>19588.638589618025</v>
      </c>
    </row>
    <row r="16" spans="1:11" x14ac:dyDescent="0.25">
      <c r="A16">
        <v>3.3</v>
      </c>
      <c r="B16" s="3" t="s">
        <v>31</v>
      </c>
      <c r="C16" s="2">
        <v>27000</v>
      </c>
      <c r="D16" s="2">
        <v>26000</v>
      </c>
      <c r="E16" s="2">
        <f t="shared" si="2"/>
        <v>-1000</v>
      </c>
      <c r="F16" s="2">
        <f t="shared" si="0"/>
        <v>96.296296296296291</v>
      </c>
      <c r="H16" s="6">
        <f>C16/C$21*100</f>
        <v>6.6111655239960818</v>
      </c>
      <c r="I16" s="6">
        <f>D16/D$21*100</f>
        <v>6.5</v>
      </c>
      <c r="K16" s="6">
        <f t="shared" si="3"/>
        <v>25465.230166503432</v>
      </c>
    </row>
    <row r="17" spans="1:16" x14ac:dyDescent="0.25">
      <c r="B17" s="5" t="s">
        <v>38</v>
      </c>
      <c r="C17" s="2">
        <f>SUM(C14:C16)</f>
        <v>68400</v>
      </c>
      <c r="D17" s="2">
        <f>SUM(D14:D16)</f>
        <v>60000</v>
      </c>
      <c r="E17" s="2">
        <f t="shared" si="2"/>
        <v>-8400</v>
      </c>
      <c r="F17" s="2">
        <f t="shared" si="0"/>
        <v>87.719298245614027</v>
      </c>
      <c r="H17" s="6">
        <f>C17/C$21*100</f>
        <v>16.748285994123407</v>
      </c>
      <c r="I17" s="6">
        <f>D17/D$21*100</f>
        <v>15</v>
      </c>
      <c r="K17" s="6">
        <f t="shared" si="3"/>
        <v>58765.915768854065</v>
      </c>
    </row>
    <row r="18" spans="1:16" x14ac:dyDescent="0.25">
      <c r="A18">
        <v>4</v>
      </c>
      <c r="B18" s="4" t="s">
        <v>41</v>
      </c>
      <c r="C18" s="2">
        <v>144000</v>
      </c>
      <c r="D18" s="2">
        <v>140000</v>
      </c>
      <c r="E18" s="2">
        <f t="shared" si="2"/>
        <v>-4000</v>
      </c>
      <c r="F18" s="2">
        <f t="shared" si="0"/>
        <v>97.222222222222214</v>
      </c>
      <c r="H18" s="6">
        <f>C18/C$21*100</f>
        <v>35.259549461312439</v>
      </c>
      <c r="I18" s="6">
        <f>D18/D$21*100</f>
        <v>35</v>
      </c>
      <c r="K18" s="6">
        <f t="shared" si="3"/>
        <v>137120.47012732615</v>
      </c>
    </row>
    <row r="19" spans="1:16" x14ac:dyDescent="0.25">
      <c r="A19">
        <v>5</v>
      </c>
      <c r="B19" s="4" t="s">
        <v>39</v>
      </c>
      <c r="C19" s="2">
        <v>120000</v>
      </c>
      <c r="D19" s="2">
        <v>120000</v>
      </c>
      <c r="E19" s="2">
        <f t="shared" si="2"/>
        <v>0</v>
      </c>
      <c r="F19" s="2">
        <f t="shared" si="0"/>
        <v>100</v>
      </c>
      <c r="H19" s="6">
        <f>C19/C$21*100</f>
        <v>29.382957884427029</v>
      </c>
      <c r="I19" s="6">
        <f>D19/D$21*100</f>
        <v>30</v>
      </c>
      <c r="K19" s="6">
        <f t="shared" si="3"/>
        <v>117531.83153770813</v>
      </c>
    </row>
    <row r="20" spans="1:16" x14ac:dyDescent="0.25">
      <c r="A20">
        <v>6</v>
      </c>
      <c r="B20" s="4" t="s">
        <v>40</v>
      </c>
      <c r="C20" s="2">
        <v>76000</v>
      </c>
      <c r="D20" s="2">
        <v>80000</v>
      </c>
      <c r="E20" s="2">
        <f t="shared" si="2"/>
        <v>4000</v>
      </c>
      <c r="F20" s="2">
        <f t="shared" si="0"/>
        <v>105.26315789473684</v>
      </c>
      <c r="H20" s="6">
        <f>C20/C$21*100</f>
        <v>18.609206660137119</v>
      </c>
      <c r="I20" s="6">
        <f>D20/D$21*100</f>
        <v>20</v>
      </c>
      <c r="K20" s="6">
        <f t="shared" si="3"/>
        <v>78354.554358472102</v>
      </c>
    </row>
    <row r="21" spans="1:16" x14ac:dyDescent="0.25">
      <c r="B21" s="5" t="s">
        <v>42</v>
      </c>
      <c r="C21" s="2">
        <f>SUM(C17:C20)</f>
        <v>408400</v>
      </c>
      <c r="D21" s="2">
        <f>SUM(D17:D20)</f>
        <v>400000</v>
      </c>
      <c r="E21" s="2">
        <f t="shared" si="2"/>
        <v>-8400</v>
      </c>
      <c r="F21" s="2">
        <f>D21/C21*100</f>
        <v>97.943192948090115</v>
      </c>
      <c r="H21" s="6">
        <f>C21/C$21*100</f>
        <v>100</v>
      </c>
      <c r="I21" s="6">
        <f>D21/D$21*100</f>
        <v>100</v>
      </c>
      <c r="K21" s="6">
        <f>D11*($F$11/100)</f>
        <v>391772.77179236047</v>
      </c>
    </row>
    <row r="23" spans="1:16" x14ac:dyDescent="0.25">
      <c r="C23" s="2">
        <v>2020</v>
      </c>
      <c r="G23" s="2">
        <v>2021</v>
      </c>
      <c r="I23" s="2"/>
      <c r="J23" s="2"/>
      <c r="K23" s="6"/>
      <c r="L23" s="6"/>
      <c r="N23" t="s">
        <v>77</v>
      </c>
    </row>
    <row r="24" spans="1:16" x14ac:dyDescent="0.25">
      <c r="B24" t="s">
        <v>43</v>
      </c>
      <c r="E24" s="2">
        <f>I24/1.48</f>
        <v>405405.40540540538</v>
      </c>
      <c r="G24" s="2"/>
      <c r="H24" s="2"/>
      <c r="I24" s="2">
        <v>600000</v>
      </c>
      <c r="J24" s="2"/>
      <c r="K24" s="6"/>
      <c r="L24" s="6">
        <f>I24/$I$24*100</f>
        <v>100</v>
      </c>
      <c r="N24" s="6"/>
      <c r="O24" s="6"/>
      <c r="P24" s="6">
        <f>1.48*K11</f>
        <v>579823.70225269347</v>
      </c>
    </row>
    <row r="25" spans="1:16" x14ac:dyDescent="0.25">
      <c r="B25" s="3" t="s">
        <v>44</v>
      </c>
      <c r="G25" s="2"/>
      <c r="H25" s="2">
        <v>-511000</v>
      </c>
      <c r="I25" s="2"/>
      <c r="J25" s="2"/>
      <c r="K25" s="6">
        <f>H25/$I$24*100</f>
        <v>-85.166666666666671</v>
      </c>
      <c r="L25" s="6"/>
      <c r="N25" s="6"/>
      <c r="O25" s="6">
        <f>K25*$P$24/100</f>
        <v>-493816.51975187735</v>
      </c>
      <c r="P25" s="6"/>
    </row>
    <row r="26" spans="1:16" x14ac:dyDescent="0.25">
      <c r="B26" t="s">
        <v>45</v>
      </c>
      <c r="G26" s="2"/>
      <c r="H26" s="2"/>
      <c r="I26" s="2">
        <f>I24+H25</f>
        <v>89000</v>
      </c>
      <c r="J26" s="2"/>
      <c r="K26" s="6"/>
      <c r="L26" s="6">
        <f>I26/$I$24*100</f>
        <v>14.833333333333334</v>
      </c>
      <c r="N26" s="6"/>
      <c r="O26" s="6"/>
      <c r="P26" s="6">
        <f>L26*$P$24/100</f>
        <v>86007.182500816212</v>
      </c>
    </row>
    <row r="27" spans="1:16" x14ac:dyDescent="0.25">
      <c r="B27" t="s">
        <v>46</v>
      </c>
      <c r="G27" s="2"/>
      <c r="H27" s="2"/>
      <c r="I27" s="2"/>
      <c r="J27" s="2"/>
      <c r="K27" s="6"/>
      <c r="L27" s="6"/>
      <c r="N27" s="6"/>
      <c r="O27" s="6"/>
      <c r="P27" s="6"/>
    </row>
    <row r="28" spans="1:16" x14ac:dyDescent="0.25">
      <c r="B28" s="3" t="s">
        <v>47</v>
      </c>
      <c r="G28" s="2">
        <v>-4400</v>
      </c>
      <c r="H28" s="2"/>
      <c r="I28" s="2"/>
      <c r="J28" s="6">
        <f>G28/$I$24*100</f>
        <v>-0.73333333333333328</v>
      </c>
      <c r="K28" s="6"/>
      <c r="L28" s="6"/>
      <c r="N28" s="6">
        <f>J28*$P$24/100</f>
        <v>-4252.040483186418</v>
      </c>
      <c r="O28" s="6"/>
      <c r="P28" s="6"/>
    </row>
    <row r="29" spans="1:16" x14ac:dyDescent="0.25">
      <c r="B29" s="3" t="s">
        <v>48</v>
      </c>
      <c r="G29" s="2">
        <v>-8000</v>
      </c>
      <c r="H29" s="2"/>
      <c r="I29" s="2"/>
      <c r="J29" s="6">
        <f>G29/$I$24*100</f>
        <v>-1.3333333333333335</v>
      </c>
      <c r="K29" s="6"/>
      <c r="L29" s="6"/>
      <c r="N29" s="6">
        <f>J29*$P$24/100</f>
        <v>-7730.9826967025801</v>
      </c>
      <c r="O29" s="6"/>
      <c r="P29" s="6"/>
    </row>
    <row r="30" spans="1:16" x14ac:dyDescent="0.25">
      <c r="B30" s="3" t="s">
        <v>49</v>
      </c>
      <c r="G30" s="2">
        <v>-5600</v>
      </c>
      <c r="H30" s="2"/>
      <c r="I30" s="2"/>
      <c r="J30" s="6">
        <f>G30/$I$24*100</f>
        <v>-0.93333333333333346</v>
      </c>
      <c r="K30" s="6"/>
      <c r="L30" s="6"/>
      <c r="N30" s="6">
        <f>J30*$P$24/100</f>
        <v>-5411.6878876918063</v>
      </c>
      <c r="O30" s="6"/>
      <c r="P30" s="6"/>
    </row>
    <row r="31" spans="1:16" x14ac:dyDescent="0.25">
      <c r="B31" s="3" t="s">
        <v>50</v>
      </c>
      <c r="G31" s="2">
        <v>-20000</v>
      </c>
      <c r="H31" s="2"/>
      <c r="I31" s="2"/>
      <c r="J31" s="6">
        <f>G31/$I$24*100</f>
        <v>-3.3333333333333335</v>
      </c>
      <c r="K31" s="6"/>
      <c r="L31" s="6"/>
      <c r="N31" s="6">
        <f>J31*$P$24/100</f>
        <v>-19327.45674175645</v>
      </c>
      <c r="O31" s="6"/>
      <c r="P31" s="6"/>
    </row>
    <row r="32" spans="1:16" x14ac:dyDescent="0.25">
      <c r="B32" t="s">
        <v>51</v>
      </c>
      <c r="G32" s="2"/>
      <c r="H32" s="2">
        <f>SUM(G28:G31)</f>
        <v>-38000</v>
      </c>
      <c r="I32" s="2"/>
      <c r="J32" s="2"/>
      <c r="K32" s="6">
        <f>H32/$I$24*100</f>
        <v>-6.3333333333333339</v>
      </c>
      <c r="L32" s="6"/>
      <c r="N32" s="6"/>
      <c r="O32" s="6">
        <f>K32*$P$24/100</f>
        <v>-36722.167809337254</v>
      </c>
      <c r="P32" s="6"/>
    </row>
    <row r="33" spans="1:16" x14ac:dyDescent="0.25">
      <c r="B33" s="4" t="s">
        <v>52</v>
      </c>
      <c r="G33" s="2"/>
      <c r="H33" s="2"/>
      <c r="I33" s="2">
        <f>I26+H32</f>
        <v>51000</v>
      </c>
      <c r="J33" s="2"/>
      <c r="K33" s="6"/>
      <c r="L33" s="6">
        <f>I33/$I$24*100</f>
        <v>8.5</v>
      </c>
      <c r="N33" s="6"/>
      <c r="O33" s="6"/>
      <c r="P33" s="6">
        <f>L33*$P$24/100</f>
        <v>49285.014691478944</v>
      </c>
    </row>
    <row r="34" spans="1:16" x14ac:dyDescent="0.25">
      <c r="B34" s="3" t="s">
        <v>53</v>
      </c>
      <c r="G34" s="2"/>
      <c r="H34" s="2">
        <v>-11000</v>
      </c>
      <c r="I34" s="2"/>
      <c r="J34" s="2"/>
      <c r="K34" s="6">
        <f>H34/$I$24*100</f>
        <v>-1.8333333333333333</v>
      </c>
      <c r="L34" s="6"/>
      <c r="N34" s="6"/>
      <c r="O34" s="6">
        <f>K34*$P$24/100</f>
        <v>-10630.101207966045</v>
      </c>
      <c r="P34" s="6"/>
    </row>
    <row r="35" spans="1:16" x14ac:dyDescent="0.25">
      <c r="B35" s="4" t="s">
        <v>54</v>
      </c>
      <c r="G35" s="2"/>
      <c r="H35" s="2"/>
      <c r="I35" s="2">
        <f>I33+H34</f>
        <v>40000</v>
      </c>
      <c r="J35" s="2"/>
      <c r="K35" s="6"/>
      <c r="L35" s="6">
        <f>I35/$I$24*100</f>
        <v>6.666666666666667</v>
      </c>
      <c r="N35" s="6"/>
      <c r="O35" s="6"/>
      <c r="P35" s="6">
        <f>L35*$P$24/100</f>
        <v>38654.913483512901</v>
      </c>
    </row>
    <row r="36" spans="1:16" x14ac:dyDescent="0.25">
      <c r="B36" s="3" t="s">
        <v>23</v>
      </c>
      <c r="G36" s="2"/>
      <c r="H36" s="2">
        <f>-I35*0.4</f>
        <v>-16000</v>
      </c>
      <c r="I36" s="2"/>
      <c r="J36" s="2"/>
      <c r="K36" s="6">
        <f>H36/$I$24*100</f>
        <v>-2.666666666666667</v>
      </c>
      <c r="L36" s="6"/>
      <c r="N36" s="6"/>
      <c r="O36" s="6">
        <f>K36*$P$24/100</f>
        <v>-15461.96539340516</v>
      </c>
      <c r="P36" s="6"/>
    </row>
    <row r="37" spans="1:16" x14ac:dyDescent="0.25">
      <c r="B37" t="s">
        <v>55</v>
      </c>
      <c r="G37" s="2"/>
      <c r="H37" s="2"/>
      <c r="I37" s="2">
        <f>I35+H36</f>
        <v>24000</v>
      </c>
      <c r="J37" s="2"/>
      <c r="K37" s="6"/>
      <c r="L37" s="6">
        <f>I37/$I$24*100</f>
        <v>4</v>
      </c>
      <c r="N37" s="6"/>
      <c r="O37" s="6"/>
      <c r="P37" s="6">
        <f>L37*$P$24/100</f>
        <v>23192.94809010774</v>
      </c>
    </row>
    <row r="40" spans="1:16" x14ac:dyDescent="0.25">
      <c r="A40" t="s">
        <v>6</v>
      </c>
    </row>
    <row r="41" spans="1:16" x14ac:dyDescent="0.25">
      <c r="C41"/>
      <c r="D41"/>
      <c r="E41"/>
      <c r="F41"/>
    </row>
    <row r="42" spans="1:16" x14ac:dyDescent="0.25">
      <c r="A42" t="s">
        <v>2</v>
      </c>
      <c r="B42" t="s">
        <v>0</v>
      </c>
      <c r="C42"/>
      <c r="D42">
        <f>D7/D17</f>
        <v>2.3333333333333335</v>
      </c>
      <c r="E42"/>
      <c r="F42"/>
    </row>
    <row r="43" spans="1:16" x14ac:dyDescent="0.25">
      <c r="A43" t="s">
        <v>1</v>
      </c>
      <c r="B43" t="s">
        <v>3</v>
      </c>
      <c r="C43"/>
      <c r="D43">
        <f>(D7-D6)/D17</f>
        <v>1.3333333333333333</v>
      </c>
      <c r="E43"/>
      <c r="F43"/>
    </row>
    <row r="44" spans="1:16" x14ac:dyDescent="0.25">
      <c r="A44" t="s">
        <v>71</v>
      </c>
      <c r="B44" t="s">
        <v>72</v>
      </c>
      <c r="C44"/>
      <c r="D44">
        <f>(D3+D4)/D17</f>
        <v>0.66666666666666663</v>
      </c>
      <c r="E44"/>
      <c r="F44"/>
    </row>
    <row r="45" spans="1:16" x14ac:dyDescent="0.25">
      <c r="C45"/>
      <c r="D45"/>
      <c r="E45"/>
      <c r="F45"/>
    </row>
    <row r="46" spans="1:16" x14ac:dyDescent="0.25">
      <c r="A46" t="s">
        <v>18</v>
      </c>
      <c r="B46" t="s">
        <v>8</v>
      </c>
      <c r="C46"/>
      <c r="D46">
        <f>(D17+D18)/D11</f>
        <v>0.5</v>
      </c>
      <c r="E46"/>
      <c r="F46"/>
    </row>
    <row r="47" spans="1:16" x14ac:dyDescent="0.25">
      <c r="A47" t="s">
        <v>19</v>
      </c>
      <c r="B47" t="s">
        <v>9</v>
      </c>
      <c r="C47"/>
      <c r="D47">
        <f>(D17+D18)/(D19+D20)</f>
        <v>1</v>
      </c>
      <c r="E47"/>
      <c r="F47"/>
    </row>
    <row r="48" spans="1:16" x14ac:dyDescent="0.25">
      <c r="A48" t="s">
        <v>15</v>
      </c>
      <c r="B48" t="s">
        <v>10</v>
      </c>
      <c r="C48"/>
      <c r="D48">
        <f>ABS(I33/H34)</f>
        <v>4.6363636363636367</v>
      </c>
      <c r="E48"/>
      <c r="F48"/>
    </row>
    <row r="49" spans="1:8" x14ac:dyDescent="0.25">
      <c r="C49"/>
      <c r="D49"/>
      <c r="E49"/>
      <c r="F49"/>
    </row>
    <row r="50" spans="1:8" x14ac:dyDescent="0.25">
      <c r="A50" t="s">
        <v>22</v>
      </c>
      <c r="B50" t="s">
        <v>4</v>
      </c>
      <c r="C50"/>
      <c r="D50">
        <f>I24/D5</f>
        <v>15</v>
      </c>
      <c r="E50"/>
      <c r="F50"/>
    </row>
    <row r="51" spans="1:8" x14ac:dyDescent="0.25">
      <c r="A51" t="s">
        <v>21</v>
      </c>
      <c r="B51" t="s">
        <v>5</v>
      </c>
      <c r="C51"/>
      <c r="D51">
        <f>ABS(H25/D6)</f>
        <v>8.5166666666666675</v>
      </c>
      <c r="E51"/>
      <c r="F51"/>
    </row>
    <row r="52" spans="1:8" x14ac:dyDescent="0.25">
      <c r="A52" t="s">
        <v>73</v>
      </c>
      <c r="B52" t="s">
        <v>74</v>
      </c>
      <c r="C52"/>
      <c r="D52">
        <f>I24/D10</f>
        <v>2.3076923076923075</v>
      </c>
      <c r="E52"/>
      <c r="F52"/>
    </row>
    <row r="53" spans="1:8" x14ac:dyDescent="0.25">
      <c r="A53" t="s">
        <v>20</v>
      </c>
      <c r="B53" t="s">
        <v>7</v>
      </c>
      <c r="C53"/>
      <c r="D53">
        <f>I24/D11</f>
        <v>1.5</v>
      </c>
      <c r="E53"/>
      <c r="F53" t="s">
        <v>75</v>
      </c>
      <c r="H53" s="6">
        <f>I24/((C11+D11)/2)</f>
        <v>1.4844136566056407</v>
      </c>
    </row>
    <row r="54" spans="1:8" x14ac:dyDescent="0.25">
      <c r="C54"/>
      <c r="D54"/>
      <c r="E54"/>
      <c r="F54"/>
    </row>
    <row r="55" spans="1:8" x14ac:dyDescent="0.25">
      <c r="A55" t="s">
        <v>14</v>
      </c>
      <c r="B55" t="s">
        <v>11</v>
      </c>
      <c r="C55"/>
      <c r="D55">
        <f>I37/I24</f>
        <v>0.04</v>
      </c>
      <c r="E55"/>
      <c r="F55"/>
    </row>
    <row r="56" spans="1:8" x14ac:dyDescent="0.25">
      <c r="A56" t="s">
        <v>12</v>
      </c>
      <c r="B56" t="s">
        <v>13</v>
      </c>
      <c r="C56"/>
      <c r="D56">
        <f>I26/I24</f>
        <v>0.14833333333333334</v>
      </c>
      <c r="E56"/>
      <c r="F56"/>
    </row>
    <row r="57" spans="1:8" x14ac:dyDescent="0.25">
      <c r="A57" t="s">
        <v>16</v>
      </c>
      <c r="B57" t="s">
        <v>17</v>
      </c>
      <c r="C57"/>
      <c r="D57">
        <f>I37/D11</f>
        <v>0.06</v>
      </c>
      <c r="E57"/>
      <c r="F57"/>
    </row>
    <row r="58" spans="1:8" x14ac:dyDescent="0.25">
      <c r="C58"/>
      <c r="D58"/>
      <c r="E58"/>
      <c r="F58"/>
    </row>
    <row r="59" spans="1:8" x14ac:dyDescent="0.25">
      <c r="A59" t="s">
        <v>56</v>
      </c>
      <c r="B59" t="s">
        <v>57</v>
      </c>
      <c r="C59"/>
      <c r="D59">
        <f>I37/(D19+D20)</f>
        <v>0.12</v>
      </c>
      <c r="E59"/>
      <c r="F59"/>
    </row>
    <row r="60" spans="1:8" x14ac:dyDescent="0.25">
      <c r="A60" t="s">
        <v>58</v>
      </c>
      <c r="B60" t="s">
        <v>61</v>
      </c>
      <c r="C60"/>
      <c r="D60"/>
      <c r="E60"/>
      <c r="F60"/>
    </row>
    <row r="61" spans="1:8" x14ac:dyDescent="0.25">
      <c r="A61" t="s">
        <v>59</v>
      </c>
      <c r="B61" t="s">
        <v>60</v>
      </c>
      <c r="C61"/>
      <c r="D61">
        <f>D20/I37</f>
        <v>3.3333333333333335</v>
      </c>
      <c r="E61"/>
      <c r="F61"/>
    </row>
    <row r="62" spans="1:8" x14ac:dyDescent="0.25">
      <c r="A62" t="s">
        <v>63</v>
      </c>
      <c r="B62" t="s">
        <v>70</v>
      </c>
      <c r="D62">
        <f>I37/D19</f>
        <v>0.2</v>
      </c>
      <c r="E62"/>
      <c r="F62"/>
    </row>
    <row r="63" spans="1:8" x14ac:dyDescent="0.25">
      <c r="A63" t="s">
        <v>62</v>
      </c>
      <c r="B63" t="s">
        <v>69</v>
      </c>
      <c r="D63">
        <f>I37/20000</f>
        <v>1.2</v>
      </c>
      <c r="E63"/>
      <c r="F63"/>
    </row>
    <row r="64" spans="1:8" x14ac:dyDescent="0.25">
      <c r="E64"/>
      <c r="F64"/>
    </row>
    <row r="65" spans="4:6" x14ac:dyDescent="0.25">
      <c r="E65"/>
      <c r="F65"/>
    </row>
    <row r="73" spans="4:6" x14ac:dyDescent="0.25">
      <c r="D73">
        <f>1000*(1+(0.06/360))^(360*5)</f>
        <v>1349.8250652767397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2022-09-17T08:25:54Z</dcterms:created>
  <dcterms:modified xsi:type="dcterms:W3CDTF">2022-09-24T09:15:28Z</dcterms:modified>
</cp:coreProperties>
</file>