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ayasofting-my.sharepoint.com/personal/sergio_estupinan_mayasoft_com_co/Documents/Doctos oficina/"/>
    </mc:Choice>
  </mc:AlternateContent>
  <xr:revisionPtr revIDLastSave="0" documentId="8_{29D5DC29-0A19-4B0E-8829-D370D7529E0A}" xr6:coauthVersionLast="45" xr6:coauthVersionMax="45" xr10:uidLastSave="{00000000-0000-0000-0000-000000000000}"/>
  <bookViews>
    <workbookView xWindow="-120" yWindow="-120" windowWidth="29040" windowHeight="15840" activeTab="3" xr2:uid="{14190DCF-CD80-4555-91D2-270B6FE691D8}"/>
  </bookViews>
  <sheets>
    <sheet name="Mint prueba 2 niveles" sheetId="8" r:id="rId1"/>
    <sheet name="Mint prueba 3 niveles" sheetId="7" r:id="rId2"/>
    <sheet name="Total 2021" sheetId="9" r:id="rId3"/>
    <sheet name="Sheet1" sheetId="10" r:id="rId4"/>
    <sheet name="Total actual" sheetId="4" r:id="rId5"/>
  </sheets>
  <externalReferences>
    <externalReference r:id="rId6"/>
  </externalReferences>
  <definedNames>
    <definedName name="_xlnm._FilterDatabase" localSheetId="0" hidden="1">'Mint prueba 2 niveles'!$A$2:$K$19</definedName>
    <definedName name="_xlnm._FilterDatabase" localSheetId="1" hidden="1">'Mint prueba 3 niveles'!$A$2:$K$19</definedName>
    <definedName name="_xlnm._FilterDatabase" localSheetId="2" hidden="1">'Total 2021'!$A$1:$K$68</definedName>
    <definedName name="_xlnm._FilterDatabase" localSheetId="4" hidden="1">'Total actual'!$A$1:$J$47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6" i="9" l="1"/>
  <c r="K45" i="9"/>
  <c r="J45" i="9"/>
  <c r="E45" i="9"/>
  <c r="G47" i="9"/>
  <c r="I47" i="9"/>
  <c r="J40" i="9"/>
  <c r="J3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1" i="9"/>
  <c r="J42" i="9"/>
  <c r="J43" i="9"/>
  <c r="J44" i="9"/>
  <c r="J46" i="9"/>
  <c r="J2" i="9"/>
  <c r="H47" i="9"/>
  <c r="N3" i="4"/>
  <c r="N5" i="4"/>
  <c r="N6" i="4"/>
  <c r="N7" i="4"/>
  <c r="N8" i="4"/>
  <c r="N9" i="4"/>
  <c r="N11" i="4"/>
  <c r="N12" i="4"/>
  <c r="N14" i="4"/>
  <c r="N15" i="4"/>
  <c r="N16" i="4"/>
  <c r="N17" i="4"/>
  <c r="N18" i="4"/>
  <c r="N19" i="4"/>
  <c r="N20" i="4"/>
  <c r="N21" i="4"/>
  <c r="N22" i="4"/>
  <c r="N23" i="4"/>
  <c r="N24" i="4"/>
  <c r="N25" i="4"/>
  <c r="N27" i="4"/>
  <c r="N28" i="4"/>
  <c r="N30" i="4"/>
  <c r="N31" i="4"/>
  <c r="N32" i="4"/>
  <c r="N33" i="4"/>
  <c r="N34" i="4"/>
  <c r="N35" i="4"/>
  <c r="N36" i="4"/>
  <c r="N39" i="4"/>
  <c r="N41" i="4"/>
  <c r="N42" i="4"/>
  <c r="N45" i="4"/>
  <c r="N46" i="4"/>
  <c r="J47" i="9" l="1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N2" i="4"/>
  <c r="M2" i="4"/>
  <c r="M47" i="4" l="1"/>
  <c r="H26" i="4" l="1"/>
  <c r="N26" i="4" s="1"/>
  <c r="G32" i="8" l="1"/>
  <c r="E32" i="8"/>
  <c r="G31" i="8"/>
  <c r="E31" i="8"/>
  <c r="G30" i="8"/>
  <c r="E30" i="8"/>
  <c r="E33" i="8" s="1"/>
  <c r="I18" i="8"/>
  <c r="E18" i="8"/>
  <c r="C10" i="8"/>
  <c r="H3" i="8"/>
  <c r="G40" i="9"/>
  <c r="G22" i="9"/>
  <c r="E26" i="9"/>
  <c r="I60" i="9"/>
  <c r="F52" i="9"/>
  <c r="F51" i="9"/>
  <c r="F50" i="9"/>
  <c r="E40" i="9"/>
  <c r="E28" i="9"/>
  <c r="E22" i="9"/>
  <c r="E13" i="9"/>
  <c r="E15" i="9"/>
  <c r="E10" i="9"/>
  <c r="E36" i="9"/>
  <c r="E43" i="9"/>
  <c r="E44" i="9"/>
  <c r="E42" i="9"/>
  <c r="E39" i="9"/>
  <c r="E29" i="9"/>
  <c r="E33" i="9"/>
  <c r="E23" i="9"/>
  <c r="E32" i="9"/>
  <c r="E8" i="9"/>
  <c r="E6" i="9"/>
  <c r="E24" i="9"/>
  <c r="E35" i="9"/>
  <c r="E30" i="9"/>
  <c r="E37" i="9"/>
  <c r="E38" i="9"/>
  <c r="E34" i="9"/>
  <c r="E31" i="9"/>
  <c r="E27" i="9"/>
  <c r="E21" i="9"/>
  <c r="E20" i="9"/>
  <c r="E19" i="9"/>
  <c r="E18" i="9"/>
  <c r="E11" i="9"/>
  <c r="E9" i="9"/>
  <c r="E5" i="9"/>
  <c r="E41" i="9"/>
  <c r="E25" i="9"/>
  <c r="E17" i="9"/>
  <c r="E16" i="9"/>
  <c r="E14" i="9"/>
  <c r="E12" i="9"/>
  <c r="E7" i="9"/>
  <c r="E4" i="9"/>
  <c r="E3" i="9"/>
  <c r="E2" i="9"/>
  <c r="B47" i="9"/>
  <c r="K42" i="9"/>
  <c r="K24" i="9"/>
  <c r="K6" i="9"/>
  <c r="G38" i="7"/>
  <c r="G41" i="7"/>
  <c r="K4" i="8"/>
  <c r="K7" i="8"/>
  <c r="K8" i="8"/>
  <c r="K11" i="8"/>
  <c r="K12" i="8"/>
  <c r="K15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C12" i="8"/>
  <c r="C5" i="8"/>
  <c r="C17" i="8"/>
  <c r="J16" i="8"/>
  <c r="K16" i="8" s="1"/>
  <c r="C16" i="8"/>
  <c r="C15" i="8"/>
  <c r="J14" i="8"/>
  <c r="K14" i="8" s="1"/>
  <c r="C14" i="8"/>
  <c r="J13" i="8"/>
  <c r="K13" i="8" s="1"/>
  <c r="C13" i="8"/>
  <c r="C11" i="8"/>
  <c r="J10" i="8"/>
  <c r="K10" i="8" s="1"/>
  <c r="J9" i="8"/>
  <c r="K9" i="8" s="1"/>
  <c r="C9" i="8"/>
  <c r="C8" i="8"/>
  <c r="C7" i="8"/>
  <c r="J6" i="8"/>
  <c r="K6" i="8" s="1"/>
  <c r="C6" i="8"/>
  <c r="J5" i="8"/>
  <c r="K5" i="8" s="1"/>
  <c r="C4" i="8"/>
  <c r="J3" i="8"/>
  <c r="K3" i="8" s="1"/>
  <c r="C3" i="8"/>
  <c r="C15" i="7"/>
  <c r="C12" i="7"/>
  <c r="C6" i="7"/>
  <c r="C5" i="7"/>
  <c r="C13" i="7"/>
  <c r="C10" i="7"/>
  <c r="C16" i="7"/>
  <c r="C9" i="7"/>
  <c r="C3" i="7"/>
  <c r="C17" i="7"/>
  <c r="C14" i="7"/>
  <c r="C11" i="7"/>
  <c r="C8" i="7"/>
  <c r="C7" i="7"/>
  <c r="C4" i="7"/>
  <c r="H28" i="7"/>
  <c r="H27" i="7"/>
  <c r="E25" i="7"/>
  <c r="H26" i="7" s="1"/>
  <c r="J17" i="7"/>
  <c r="K17" i="7" s="1"/>
  <c r="G17" i="7"/>
  <c r="F17" i="7"/>
  <c r="J16" i="7"/>
  <c r="K16" i="7" s="1"/>
  <c r="G16" i="7"/>
  <c r="F16" i="7"/>
  <c r="E16" i="7"/>
  <c r="K15" i="7"/>
  <c r="G15" i="7"/>
  <c r="F15" i="7"/>
  <c r="E15" i="7"/>
  <c r="J14" i="7"/>
  <c r="G14" i="7"/>
  <c r="H14" i="7" s="1"/>
  <c r="F14" i="7"/>
  <c r="J13" i="7"/>
  <c r="K13" i="7" s="1"/>
  <c r="G13" i="7"/>
  <c r="F13" i="7"/>
  <c r="E13" i="7"/>
  <c r="K12" i="7"/>
  <c r="G12" i="7"/>
  <c r="F12" i="7"/>
  <c r="E12" i="7"/>
  <c r="K11" i="7"/>
  <c r="G11" i="7"/>
  <c r="H11" i="7" s="1"/>
  <c r="F11" i="7"/>
  <c r="J10" i="7"/>
  <c r="K10" i="7" s="1"/>
  <c r="G10" i="7"/>
  <c r="F10" i="7"/>
  <c r="E10" i="7"/>
  <c r="J9" i="7"/>
  <c r="K9" i="7" s="1"/>
  <c r="G9" i="7"/>
  <c r="F9" i="7"/>
  <c r="E9" i="7"/>
  <c r="H9" i="7" s="1"/>
  <c r="K8" i="7"/>
  <c r="G8" i="7"/>
  <c r="F8" i="7"/>
  <c r="H8" i="7" s="1"/>
  <c r="K7" i="7"/>
  <c r="G7" i="7"/>
  <c r="H7" i="7" s="1"/>
  <c r="F7" i="7"/>
  <c r="J6" i="7"/>
  <c r="K6" i="7" s="1"/>
  <c r="G6" i="7"/>
  <c r="F6" i="7"/>
  <c r="E6" i="7"/>
  <c r="J5" i="7"/>
  <c r="K5" i="7" s="1"/>
  <c r="G5" i="7"/>
  <c r="F5" i="7"/>
  <c r="E5" i="7"/>
  <c r="K4" i="7"/>
  <c r="G4" i="7"/>
  <c r="F4" i="7"/>
  <c r="J3" i="7"/>
  <c r="K3" i="7" s="1"/>
  <c r="G3" i="7"/>
  <c r="F3" i="7"/>
  <c r="E3" i="7"/>
  <c r="K3" i="4"/>
  <c r="K3" i="9" s="1"/>
  <c r="K5" i="4"/>
  <c r="K6" i="4"/>
  <c r="K7" i="4"/>
  <c r="K8" i="4"/>
  <c r="K8" i="9" s="1"/>
  <c r="K9" i="4"/>
  <c r="K9" i="9" s="1"/>
  <c r="K10" i="4"/>
  <c r="K10" i="9" s="1"/>
  <c r="K11" i="4"/>
  <c r="K12" i="4"/>
  <c r="K12" i="9" s="1"/>
  <c r="K13" i="4"/>
  <c r="K14" i="4"/>
  <c r="K15" i="4"/>
  <c r="K16" i="4"/>
  <c r="K17" i="4"/>
  <c r="K16" i="9" s="1"/>
  <c r="K18" i="4"/>
  <c r="K19" i="4"/>
  <c r="K20" i="4"/>
  <c r="K19" i="9" s="1"/>
  <c r="K21" i="4"/>
  <c r="K22" i="4"/>
  <c r="K23" i="4"/>
  <c r="K24" i="4"/>
  <c r="K23" i="9" s="1"/>
  <c r="K25" i="4"/>
  <c r="K26" i="4"/>
  <c r="K27" i="4"/>
  <c r="K26" i="9" s="1"/>
  <c r="K28" i="4"/>
  <c r="K27" i="9" s="1"/>
  <c r="K29" i="4"/>
  <c r="K30" i="4"/>
  <c r="K29" i="9" s="1"/>
  <c r="K31" i="4"/>
  <c r="K30" i="9" s="1"/>
  <c r="K32" i="4"/>
  <c r="K33" i="4"/>
  <c r="K32" i="9" s="1"/>
  <c r="K34" i="4"/>
  <c r="K35" i="4"/>
  <c r="K36" i="4"/>
  <c r="K37" i="4"/>
  <c r="K38" i="4"/>
  <c r="K37" i="9" s="1"/>
  <c r="K39" i="4"/>
  <c r="K40" i="4"/>
  <c r="K39" i="9" s="1"/>
  <c r="K41" i="4"/>
  <c r="K42" i="4"/>
  <c r="K43" i="4"/>
  <c r="K44" i="4"/>
  <c r="K45" i="4"/>
  <c r="K46" i="4"/>
  <c r="K2" i="4"/>
  <c r="K2" i="9" s="1"/>
  <c r="I25" i="4"/>
  <c r="H25" i="4"/>
  <c r="E25" i="4"/>
  <c r="G25" i="4"/>
  <c r="I14" i="4"/>
  <c r="G14" i="4"/>
  <c r="E14" i="4"/>
  <c r="I2" i="4"/>
  <c r="H11" i="4"/>
  <c r="G11" i="4"/>
  <c r="E11" i="4"/>
  <c r="H9" i="4"/>
  <c r="I9" i="4"/>
  <c r="G9" i="4"/>
  <c r="E9" i="4"/>
  <c r="E16" i="4"/>
  <c r="I16" i="4"/>
  <c r="H16" i="4"/>
  <c r="H46" i="4"/>
  <c r="I46" i="4"/>
  <c r="G46" i="4"/>
  <c r="E46" i="4"/>
  <c r="I23" i="4"/>
  <c r="H23" i="4"/>
  <c r="I40" i="4"/>
  <c r="H40" i="4"/>
  <c r="G40" i="4"/>
  <c r="E40" i="4"/>
  <c r="E23" i="4"/>
  <c r="I15" i="4"/>
  <c r="H15" i="4"/>
  <c r="G15" i="4"/>
  <c r="E15" i="4"/>
  <c r="I33" i="4"/>
  <c r="G33" i="4"/>
  <c r="E33" i="4"/>
  <c r="E24" i="4"/>
  <c r="I24" i="4"/>
  <c r="H24" i="4"/>
  <c r="G24" i="4"/>
  <c r="I8" i="4"/>
  <c r="G8" i="4"/>
  <c r="E8" i="4"/>
  <c r="I6" i="4"/>
  <c r="G6" i="4"/>
  <c r="E6" i="4"/>
  <c r="I45" i="4"/>
  <c r="H45" i="4"/>
  <c r="G45" i="4"/>
  <c r="E45" i="4"/>
  <c r="I34" i="4"/>
  <c r="H34" i="4"/>
  <c r="G34" i="4"/>
  <c r="E34" i="4"/>
  <c r="E30" i="4"/>
  <c r="I18" i="4"/>
  <c r="G18" i="4"/>
  <c r="E18" i="4"/>
  <c r="I17" i="4"/>
  <c r="E17" i="4"/>
  <c r="G17" i="4"/>
  <c r="I41" i="4"/>
  <c r="I4" i="4"/>
  <c r="G4" i="4"/>
  <c r="H4" i="4" s="1"/>
  <c r="N4" i="4" s="1"/>
  <c r="N47" i="4" s="1"/>
  <c r="E41" i="4"/>
  <c r="E4" i="4"/>
  <c r="I26" i="4"/>
  <c r="I7" i="4"/>
  <c r="G7" i="4"/>
  <c r="E26" i="4"/>
  <c r="E7" i="4"/>
  <c r="I42" i="4"/>
  <c r="I22" i="4"/>
  <c r="I20" i="4"/>
  <c r="I12" i="4"/>
  <c r="G42" i="4"/>
  <c r="G22" i="4"/>
  <c r="G20" i="4"/>
  <c r="G12" i="4"/>
  <c r="I3" i="4"/>
  <c r="G3" i="4"/>
  <c r="E42" i="4"/>
  <c r="E22" i="4"/>
  <c r="E20" i="4"/>
  <c r="E12" i="4"/>
  <c r="E3" i="4"/>
  <c r="I35" i="4"/>
  <c r="I28" i="4"/>
  <c r="G35" i="4"/>
  <c r="G28" i="4"/>
  <c r="I11" i="4"/>
  <c r="E35" i="4"/>
  <c r="E28" i="4"/>
  <c r="I39" i="4"/>
  <c r="I32" i="4"/>
  <c r="I27" i="4"/>
  <c r="I21" i="4"/>
  <c r="I19" i="4"/>
  <c r="H39" i="4"/>
  <c r="H32" i="4"/>
  <c r="H27" i="4"/>
  <c r="H21" i="4"/>
  <c r="H19" i="4"/>
  <c r="H5" i="4"/>
  <c r="G39" i="4"/>
  <c r="G32" i="4"/>
  <c r="G27" i="4"/>
  <c r="G21" i="4"/>
  <c r="G19" i="4"/>
  <c r="G5" i="4"/>
  <c r="E39" i="4"/>
  <c r="E32" i="4"/>
  <c r="E27" i="4"/>
  <c r="E21" i="4"/>
  <c r="E19" i="4"/>
  <c r="I5" i="4"/>
  <c r="E5" i="4"/>
  <c r="I43" i="4"/>
  <c r="H43" i="4"/>
  <c r="G43" i="4"/>
  <c r="E43" i="4"/>
  <c r="I44" i="4"/>
  <c r="H44" i="4"/>
  <c r="G44" i="4"/>
  <c r="E44" i="4"/>
  <c r="I10" i="4"/>
  <c r="H10" i="4"/>
  <c r="G10" i="4"/>
  <c r="E10" i="4"/>
  <c r="I31" i="4"/>
  <c r="H31" i="4"/>
  <c r="G31" i="4"/>
  <c r="E31" i="4"/>
  <c r="E29" i="4"/>
  <c r="I29" i="4"/>
  <c r="H29" i="4"/>
  <c r="G29" i="4"/>
  <c r="I38" i="4"/>
  <c r="H38" i="4"/>
  <c r="G38" i="4"/>
  <c r="E38" i="4"/>
  <c r="I13" i="4"/>
  <c r="H13" i="4"/>
  <c r="G13" i="4"/>
  <c r="E13" i="4"/>
  <c r="I37" i="4"/>
  <c r="H37" i="4"/>
  <c r="G37" i="4"/>
  <c r="E37" i="4"/>
  <c r="I36" i="4"/>
  <c r="H36" i="4"/>
  <c r="E36" i="4"/>
  <c r="E2" i="4"/>
  <c r="G2" i="4"/>
  <c r="G82" i="4"/>
  <c r="J21" i="4" s="1"/>
  <c r="H73" i="4"/>
  <c r="H2" i="4" s="1"/>
  <c r="H72" i="4"/>
  <c r="H6" i="4" s="1"/>
  <c r="H71" i="4"/>
  <c r="H8" i="4" s="1"/>
  <c r="H70" i="4"/>
  <c r="H33" i="4" s="1"/>
  <c r="H67" i="4"/>
  <c r="H17" i="4" s="1"/>
  <c r="H66" i="4"/>
  <c r="H18" i="4" s="1"/>
  <c r="H65" i="4"/>
  <c r="H63" i="4"/>
  <c r="H22" i="4" s="1"/>
  <c r="H61" i="4"/>
  <c r="H28" i="4" s="1"/>
  <c r="H59" i="4"/>
  <c r="G57" i="4"/>
  <c r="G36" i="4" s="1"/>
  <c r="B47" i="4"/>
  <c r="I30" i="4"/>
  <c r="K40" i="9" l="1"/>
  <c r="K4" i="4"/>
  <c r="K22" i="9"/>
  <c r="G33" i="8"/>
  <c r="C35" i="8" s="1"/>
  <c r="J18" i="8"/>
  <c r="K15" i="9"/>
  <c r="K28" i="9"/>
  <c r="K34" i="9"/>
  <c r="K36" i="9"/>
  <c r="K38" i="9"/>
  <c r="K13" i="9"/>
  <c r="K31" i="9"/>
  <c r="K33" i="9"/>
  <c r="K41" i="9"/>
  <c r="K46" i="9"/>
  <c r="K17" i="9"/>
  <c r="K5" i="9"/>
  <c r="K7" i="9"/>
  <c r="K21" i="9"/>
  <c r="K18" i="9"/>
  <c r="K44" i="9"/>
  <c r="K43" i="9"/>
  <c r="K14" i="9"/>
  <c r="K20" i="9"/>
  <c r="K11" i="9"/>
  <c r="K25" i="9"/>
  <c r="K4" i="9"/>
  <c r="K35" i="9"/>
  <c r="H15" i="7"/>
  <c r="H10" i="7"/>
  <c r="H12" i="7"/>
  <c r="H25" i="7"/>
  <c r="H16" i="7"/>
  <c r="H13" i="7"/>
  <c r="K18" i="8"/>
  <c r="K19" i="8" s="1"/>
  <c r="H3" i="7"/>
  <c r="K14" i="7"/>
  <c r="K18" i="7" s="1"/>
  <c r="K19" i="7" s="1"/>
  <c r="H17" i="7"/>
  <c r="H4" i="7"/>
  <c r="H5" i="7"/>
  <c r="H6" i="7"/>
  <c r="J29" i="4"/>
  <c r="J32" i="4"/>
  <c r="J24" i="4"/>
  <c r="J11" i="4"/>
  <c r="J19" i="4"/>
  <c r="J41" i="4"/>
  <c r="J44" i="4"/>
  <c r="J26" i="4"/>
  <c r="J17" i="4"/>
  <c r="J34" i="4"/>
  <c r="J27" i="4"/>
  <c r="J6" i="4"/>
  <c r="J28" i="4"/>
  <c r="J33" i="4"/>
  <c r="J40" i="4"/>
  <c r="H14" i="4"/>
  <c r="J36" i="4"/>
  <c r="J8" i="4"/>
  <c r="J13" i="4"/>
  <c r="J10" i="4"/>
  <c r="J43" i="4"/>
  <c r="J18" i="4"/>
  <c r="J45" i="4"/>
  <c r="J16" i="4"/>
  <c r="J37" i="4"/>
  <c r="J9" i="4"/>
  <c r="J5" i="4"/>
  <c r="J22" i="4"/>
  <c r="J4" i="4"/>
  <c r="J23" i="4"/>
  <c r="J15" i="4"/>
  <c r="J39" i="4"/>
  <c r="J31" i="4"/>
  <c r="J46" i="4"/>
  <c r="J38" i="4"/>
  <c r="J30" i="4"/>
  <c r="J2" i="4"/>
  <c r="H35" i="4"/>
  <c r="J35" i="4" s="1"/>
  <c r="H12" i="4"/>
  <c r="J12" i="4" s="1"/>
  <c r="H42" i="4"/>
  <c r="J42" i="4" s="1"/>
  <c r="H7" i="4"/>
  <c r="J7" i="4" s="1"/>
  <c r="H3" i="4"/>
  <c r="J3" i="4" s="1"/>
  <c r="H20" i="4"/>
  <c r="J20" i="4" s="1"/>
  <c r="J14" i="4"/>
  <c r="H18" i="8" l="1"/>
  <c r="H18" i="7"/>
  <c r="H19" i="7" s="1"/>
  <c r="J47" i="4"/>
  <c r="H19" i="8" l="1"/>
  <c r="C36" i="8"/>
  <c r="C37" i="8" s="1"/>
</calcChain>
</file>

<file path=xl/sharedStrings.xml><?xml version="1.0" encoding="utf-8"?>
<sst xmlns="http://schemas.openxmlformats.org/spreadsheetml/2006/main" count="487" uniqueCount="139">
  <si>
    <t>SEC</t>
  </si>
  <si>
    <t>EMPLOYEE</t>
  </si>
  <si>
    <t>POSITION</t>
  </si>
  <si>
    <t>CITY</t>
  </si>
  <si>
    <t>SALARY</t>
  </si>
  <si>
    <t>BONUS</t>
  </si>
  <si>
    <t>TRANSPORT
SUBSIDY</t>
  </si>
  <si>
    <t>TOTAL
COST</t>
  </si>
  <si>
    <t>CURRENT SALARY</t>
  </si>
  <si>
    <t>CURRENT BONUS</t>
  </si>
  <si>
    <t>CURRENT
COST</t>
  </si>
  <si>
    <t xml:space="preserve">Andres Felipe Arias Diaz </t>
  </si>
  <si>
    <t>Bucaramanga</t>
  </si>
  <si>
    <t>Andres Santiago Peña Rueda</t>
  </si>
  <si>
    <t xml:space="preserve">Angela Marcela Jerez Olago </t>
  </si>
  <si>
    <t>Cristian Fernando Almeida Ortega</t>
  </si>
  <si>
    <t>Cristian Gabriel Contreras García</t>
  </si>
  <si>
    <t>Cúcuta</t>
  </si>
  <si>
    <t>Darwin Yebrail Solano Vivas</t>
  </si>
  <si>
    <t>Diego Armando Martinez Salcedo</t>
  </si>
  <si>
    <t>Gilberto Gómez Gualdrón</t>
  </si>
  <si>
    <t>Jeyson Alexis Ardila Navas</t>
  </si>
  <si>
    <t>Jose David Rey</t>
  </si>
  <si>
    <t>Lynda Katherine Perez Cely</t>
  </si>
  <si>
    <t>Mayra Alejandra Perez Durán</t>
  </si>
  <si>
    <t xml:space="preserve">Mileidy Katherine Aparicio Montero </t>
  </si>
  <si>
    <t>Sergio Enrique Rojas Moncada</t>
  </si>
  <si>
    <t>New Front-end</t>
  </si>
  <si>
    <t>COP$</t>
  </si>
  <si>
    <t>EUR$</t>
  </si>
  <si>
    <t>SALARIO</t>
  </si>
  <si>
    <t>HONOR/
PR. EXTRAL.</t>
  </si>
  <si>
    <t>SUBSIDIO DE TRANSPORTE</t>
  </si>
  <si>
    <t>QA analyst</t>
  </si>
  <si>
    <t>Developer I</t>
  </si>
  <si>
    <t>Developer II</t>
  </si>
  <si>
    <t>Developer III</t>
  </si>
  <si>
    <t>Developer IV</t>
  </si>
  <si>
    <t>Developer V</t>
  </si>
  <si>
    <t>Project manager I</t>
  </si>
  <si>
    <t>Project manager II</t>
  </si>
  <si>
    <t>Project manager III</t>
  </si>
  <si>
    <t>Administrative assistant</t>
  </si>
  <si>
    <t>SENA</t>
  </si>
  <si>
    <t>Support</t>
  </si>
  <si>
    <t>Parafiscales</t>
  </si>
  <si>
    <t>PR</t>
  </si>
  <si>
    <t>CIA</t>
  </si>
  <si>
    <t>EMPLEADO</t>
  </si>
  <si>
    <t>CARGO</t>
  </si>
  <si>
    <t>CIUDAD</t>
  </si>
  <si>
    <t>COSTO</t>
  </si>
  <si>
    <t>MAYA</t>
  </si>
  <si>
    <t xml:space="preserve">Alí Numa Perez Fonseca </t>
  </si>
  <si>
    <t xml:space="preserve">Bogotá </t>
  </si>
  <si>
    <t>MINT</t>
  </si>
  <si>
    <t>Andres Felipe Jerez Prada</t>
  </si>
  <si>
    <t>Carlos Hernando Pardo Monsalve</t>
  </si>
  <si>
    <t>NA</t>
  </si>
  <si>
    <t>NONE</t>
  </si>
  <si>
    <t>Dana Valentina Estupiñan Soto</t>
  </si>
  <si>
    <t>Eduardo Corredor</t>
  </si>
  <si>
    <t xml:space="preserve">Elvis Damian Orduz Arismendi </t>
  </si>
  <si>
    <t>Enith Martinez</t>
  </si>
  <si>
    <t>Héctor Eduardo García Picón</t>
  </si>
  <si>
    <t>Ivan Jaimes Jimenez</t>
  </si>
  <si>
    <t>Javier Orlando Estupiñan Olascuaga</t>
  </si>
  <si>
    <t>Joao Antonio Maldonado Ceron</t>
  </si>
  <si>
    <t xml:space="preserve">Jorge Alexander Caballero Ortiz </t>
  </si>
  <si>
    <t>Jorge Enrique Lipez Camargo</t>
  </si>
  <si>
    <t>Juan Felipe Estupiñan Soto</t>
  </si>
  <si>
    <t>Jullie Andrea Mantilla Diaz</t>
  </si>
  <si>
    <t>Karen Ivonne Mantilla Lopez</t>
  </si>
  <si>
    <t xml:space="preserve">Laura Stella Osorio Duarte </t>
  </si>
  <si>
    <t>Liliana Marcela Castañeda Mateus</t>
  </si>
  <si>
    <t>Key account manager</t>
  </si>
  <si>
    <t>Bogotá</t>
  </si>
  <si>
    <t xml:space="preserve">Lina María Caballero Valbuena </t>
  </si>
  <si>
    <t>Luis Fernando Suarez Mantilla</t>
  </si>
  <si>
    <t>Mario Moreno</t>
  </si>
  <si>
    <t>Nubia Soto</t>
  </si>
  <si>
    <t>Olga Bautista</t>
  </si>
  <si>
    <t>Omar Arturo Contreras Vergel</t>
  </si>
  <si>
    <t>Oscar Corredor</t>
  </si>
  <si>
    <t>Oscar Javier Valencia Gallego</t>
  </si>
  <si>
    <t>Sergio Estupiñan</t>
  </si>
  <si>
    <t>Xiomara Martinez Ospino</t>
  </si>
  <si>
    <t xml:space="preserve">Yaneth Danicsa Garces Gelvez </t>
  </si>
  <si>
    <t>Yurley Andrea Sarmiento Leal</t>
  </si>
  <si>
    <t xml:space="preserve">Diseñador gráfico </t>
  </si>
  <si>
    <t>Project manager Junior</t>
  </si>
  <si>
    <t>Auxiliar administrativa</t>
  </si>
  <si>
    <t>Developer I+</t>
  </si>
  <si>
    <t>Developer II+</t>
  </si>
  <si>
    <t>Developer III+</t>
  </si>
  <si>
    <t>Developer IV+</t>
  </si>
  <si>
    <t>Developer V+</t>
  </si>
  <si>
    <t>Technical</t>
  </si>
  <si>
    <t>Manager</t>
  </si>
  <si>
    <t>Submanager</t>
  </si>
  <si>
    <t>General services</t>
  </si>
  <si>
    <t>Junior Developer</t>
  </si>
  <si>
    <t>Software architect</t>
  </si>
  <si>
    <t>Payroll asistant/Assistant</t>
  </si>
  <si>
    <t>External</t>
  </si>
  <si>
    <t>SIG coordinator</t>
  </si>
  <si>
    <t>Accountant</t>
  </si>
  <si>
    <t>Erwing Forero</t>
  </si>
  <si>
    <t>AUMENTO</t>
  </si>
  <si>
    <t>MIN
SALARY</t>
  </si>
  <si>
    <t>MIN 
BONUS</t>
  </si>
  <si>
    <t>MAX
SALARY</t>
  </si>
  <si>
    <t>MAX 
BONUS</t>
  </si>
  <si>
    <t>Developer</t>
  </si>
  <si>
    <t>Developer senior</t>
  </si>
  <si>
    <t>Project manager</t>
  </si>
  <si>
    <t>Project manager senior</t>
  </si>
  <si>
    <t>Developer master</t>
  </si>
  <si>
    <t>Project manager master</t>
  </si>
  <si>
    <t>MIN BONUS</t>
  </si>
  <si>
    <t>MAX
BONUS</t>
  </si>
  <si>
    <t>QA analyst senior</t>
  </si>
  <si>
    <t>Manager/Submanager</t>
  </si>
  <si>
    <t>Incremento IPC</t>
  </si>
  <si>
    <t>Solo cuando regrese.</t>
  </si>
  <si>
    <t>Se debe cambiar de cargo</t>
  </si>
  <si>
    <t>Va a recibir un bono mientras Lynda no esté</t>
  </si>
  <si>
    <t>Current Rate</t>
  </si>
  <si>
    <t>Current 
Invoicing</t>
  </si>
  <si>
    <t>New Rate</t>
  </si>
  <si>
    <t>New
Invoicing</t>
  </si>
  <si>
    <t>Project manager/BA</t>
  </si>
  <si>
    <t>TOTAL</t>
  </si>
  <si>
    <t>Total invoicing</t>
  </si>
  <si>
    <t>Total cost</t>
  </si>
  <si>
    <t>PROFIT</t>
  </si>
  <si>
    <t>QUANTITY</t>
  </si>
  <si>
    <t>ZZ-new developer</t>
  </si>
  <si>
    <t>----------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</si>
</sst>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43" formatCode="_-* #,##0.00_-;\-* #,##0.00_-;_-* &quot;-&quot;??_-;_-@_-"/>
    <numFmt numFmtId="164" formatCode="_-* #,##0.00_-;\-* #,##0.00_-;_-* &quot;-&quot;_-;_-@_-"/>
    <numFmt numFmtId="165" formatCode="_-* #,##0_-;\-* #,##0_-;_-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name val="Calibri"/>
      <family val="2"/>
      <scheme val="minor"/>
    </font>
    <font>
      <strike/>
      <sz val="10"/>
      <color theme="1"/>
      <name val="Calibri"/>
      <family val="2"/>
      <scheme val="minor"/>
    </font>
    <font>
      <strike/>
      <sz val="10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8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3" fontId="4" fillId="0" borderId="1" xfId="3" applyNumberFormat="1" applyFont="1" applyFill="1" applyBorder="1" applyAlignment="1">
      <alignment vertical="center"/>
    </xf>
    <xf numFmtId="3" fontId="4" fillId="0" borderId="1" xfId="0" applyNumberFormat="1" applyFont="1" applyBorder="1" applyAlignment="1">
      <alignment vertical="center"/>
    </xf>
    <xf numFmtId="3" fontId="3" fillId="0" borderId="1" xfId="0" applyNumberFormat="1" applyFont="1" applyBorder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left" vertical="center"/>
    </xf>
    <xf numFmtId="3" fontId="5" fillId="3" borderId="1" xfId="1" applyNumberFormat="1" applyFont="1" applyFill="1" applyBorder="1" applyAlignment="1">
      <alignment horizontal="right" vertical="center"/>
    </xf>
    <xf numFmtId="3" fontId="2" fillId="3" borderId="1" xfId="1" applyNumberFormat="1" applyFont="1" applyFill="1" applyBorder="1" applyAlignment="1">
      <alignment horizontal="right" vertical="center"/>
    </xf>
    <xf numFmtId="3" fontId="2" fillId="3" borderId="1" xfId="0" applyNumberFormat="1" applyFont="1" applyFill="1" applyBorder="1" applyAlignment="1">
      <alignment vertical="center"/>
    </xf>
    <xf numFmtId="0" fontId="5" fillId="3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vertical="center"/>
    </xf>
    <xf numFmtId="3" fontId="5" fillId="0" borderId="0" xfId="1" applyNumberFormat="1" applyFont="1" applyFill="1" applyBorder="1" applyAlignment="1">
      <alignment horizontal="right" vertical="center"/>
    </xf>
    <xf numFmtId="3" fontId="2" fillId="0" borderId="0" xfId="1" applyNumberFormat="1" applyFont="1" applyFill="1" applyBorder="1" applyAlignment="1">
      <alignment horizontal="right" vertical="center"/>
    </xf>
    <xf numFmtId="3" fontId="2" fillId="0" borderId="0" xfId="0" applyNumberFormat="1" applyFont="1" applyAlignment="1">
      <alignment vertical="center"/>
    </xf>
    <xf numFmtId="3" fontId="4" fillId="0" borderId="0" xfId="0" applyNumberFormat="1" applyFont="1" applyAlignment="1">
      <alignment vertical="center"/>
    </xf>
    <xf numFmtId="3" fontId="5" fillId="0" borderId="0" xfId="0" applyNumberFormat="1" applyFont="1" applyAlignment="1">
      <alignment vertical="center"/>
    </xf>
    <xf numFmtId="3" fontId="6" fillId="0" borderId="0" xfId="0" applyNumberFormat="1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3" fontId="3" fillId="0" borderId="0" xfId="0" applyNumberFormat="1" applyFont="1" applyAlignment="1">
      <alignment vertical="center"/>
    </xf>
    <xf numFmtId="0" fontId="3" fillId="0" borderId="3" xfId="0" applyFont="1" applyBorder="1" applyAlignment="1">
      <alignment horizontal="left" vertical="center"/>
    </xf>
    <xf numFmtId="0" fontId="3" fillId="0" borderId="4" xfId="0" applyFont="1" applyBorder="1" applyAlignment="1">
      <alignment vertical="center"/>
    </xf>
    <xf numFmtId="3" fontId="3" fillId="0" borderId="4" xfId="0" applyNumberFormat="1" applyFont="1" applyBorder="1" applyAlignment="1">
      <alignment vertical="center"/>
    </xf>
    <xf numFmtId="3" fontId="3" fillId="0" borderId="4" xfId="1" applyNumberFormat="1" applyFont="1" applyFill="1" applyBorder="1" applyAlignment="1">
      <alignment vertical="center"/>
    </xf>
    <xf numFmtId="0" fontId="3" fillId="0" borderId="3" xfId="0" applyFont="1" applyBorder="1" applyAlignment="1">
      <alignment vertical="center"/>
    </xf>
    <xf numFmtId="3" fontId="3" fillId="0" borderId="0" xfId="0" applyNumberFormat="1" applyFont="1" applyFill="1" applyAlignment="1">
      <alignment vertical="center"/>
    </xf>
    <xf numFmtId="164" fontId="3" fillId="0" borderId="0" xfId="2" applyNumberFormat="1" applyFont="1" applyFill="1" applyAlignment="1">
      <alignment vertical="center"/>
    </xf>
    <xf numFmtId="3" fontId="2" fillId="0" borderId="0" xfId="0" applyNumberFormat="1" applyFont="1" applyFill="1" applyBorder="1" applyAlignment="1">
      <alignment vertical="center"/>
    </xf>
    <xf numFmtId="0" fontId="2" fillId="3" borderId="1" xfId="0" applyFont="1" applyFill="1" applyBorder="1" applyAlignment="1">
      <alignment horizontal="center" vertical="center" wrapText="1"/>
    </xf>
    <xf numFmtId="3" fontId="2" fillId="3" borderId="1" xfId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3" fontId="3" fillId="0" borderId="1" xfId="1" applyNumberFormat="1" applyFont="1" applyFill="1" applyBorder="1" applyAlignment="1">
      <alignment vertical="center"/>
    </xf>
    <xf numFmtId="10" fontId="3" fillId="5" borderId="1" xfId="3" applyNumberFormat="1" applyFont="1" applyFill="1" applyBorder="1" applyAlignment="1">
      <alignment vertical="center"/>
    </xf>
    <xf numFmtId="0" fontId="0" fillId="0" borderId="1" xfId="0" applyBorder="1"/>
    <xf numFmtId="3" fontId="0" fillId="0" borderId="0" xfId="0" applyNumberFormat="1"/>
    <xf numFmtId="41" fontId="0" fillId="0" borderId="0" xfId="2" applyFont="1"/>
    <xf numFmtId="41" fontId="0" fillId="0" borderId="0" xfId="0" applyNumberFormat="1"/>
    <xf numFmtId="0" fontId="3" fillId="4" borderId="1" xfId="0" applyFont="1" applyFill="1" applyBorder="1" applyAlignment="1">
      <alignment horizontal="center" vertical="center"/>
    </xf>
    <xf numFmtId="3" fontId="3" fillId="0" borderId="0" xfId="1" applyNumberFormat="1" applyFont="1" applyFill="1" applyBorder="1" applyAlignment="1">
      <alignment vertical="center"/>
    </xf>
    <xf numFmtId="3" fontId="3" fillId="0" borderId="0" xfId="0" applyNumberFormat="1" applyFont="1" applyFill="1" applyBorder="1" applyAlignment="1">
      <alignment vertical="center"/>
    </xf>
    <xf numFmtId="9" fontId="0" fillId="0" borderId="0" xfId="3" applyFont="1"/>
    <xf numFmtId="10" fontId="0" fillId="0" borderId="0" xfId="3" applyNumberFormat="1" applyFont="1"/>
    <xf numFmtId="0" fontId="0" fillId="0" borderId="0" xfId="0" applyFill="1"/>
    <xf numFmtId="0" fontId="3" fillId="0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3" fontId="2" fillId="2" borderId="2" xfId="1" applyNumberFormat="1" applyFont="1" applyFill="1" applyBorder="1" applyAlignment="1">
      <alignment horizontal="center" vertical="center" wrapText="1"/>
    </xf>
    <xf numFmtId="3" fontId="4" fillId="0" borderId="2" xfId="3" applyNumberFormat="1" applyFont="1" applyFill="1" applyBorder="1" applyAlignment="1">
      <alignment vertical="center"/>
    </xf>
    <xf numFmtId="0" fontId="5" fillId="2" borderId="2" xfId="0" applyFont="1" applyFill="1" applyBorder="1" applyAlignment="1">
      <alignment horizontal="left" vertical="center"/>
    </xf>
    <xf numFmtId="2" fontId="5" fillId="2" borderId="2" xfId="0" applyNumberFormat="1" applyFont="1" applyFill="1" applyBorder="1" applyAlignment="1">
      <alignment horizontal="center" vertical="center"/>
    </xf>
    <xf numFmtId="3" fontId="5" fillId="2" borderId="2" xfId="1" applyNumberFormat="1" applyFont="1" applyFill="1" applyBorder="1" applyAlignment="1">
      <alignment horizontal="right" vertical="center"/>
    </xf>
    <xf numFmtId="3" fontId="5" fillId="2" borderId="2" xfId="0" applyNumberFormat="1" applyFont="1" applyFill="1" applyBorder="1" applyAlignment="1">
      <alignment vertical="center"/>
    </xf>
    <xf numFmtId="0" fontId="3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left" vertical="center"/>
    </xf>
    <xf numFmtId="0" fontId="3" fillId="0" borderId="2" xfId="0" applyFont="1" applyFill="1" applyBorder="1" applyAlignment="1">
      <alignment horizontal="left" vertical="center"/>
    </xf>
    <xf numFmtId="3" fontId="4" fillId="0" borderId="2" xfId="0" applyNumberFormat="1" applyFont="1" applyFill="1" applyBorder="1" applyAlignment="1">
      <alignment vertical="center"/>
    </xf>
    <xf numFmtId="0" fontId="3" fillId="0" borderId="2" xfId="0" quotePrefix="1" applyFont="1" applyFill="1" applyBorder="1" applyAlignment="1">
      <alignment horizontal="left" vertical="center"/>
    </xf>
    <xf numFmtId="0" fontId="4" fillId="0" borderId="2" xfId="0" applyFont="1" applyFill="1" applyBorder="1" applyAlignment="1">
      <alignment vertical="center"/>
    </xf>
    <xf numFmtId="0" fontId="3" fillId="0" borderId="2" xfId="0" applyFont="1" applyFill="1" applyBorder="1" applyAlignment="1">
      <alignment vertical="center"/>
    </xf>
    <xf numFmtId="3" fontId="3" fillId="0" borderId="3" xfId="1" applyNumberFormat="1" applyFont="1" applyFill="1" applyBorder="1" applyAlignment="1">
      <alignment vertical="center"/>
    </xf>
    <xf numFmtId="3" fontId="3" fillId="0" borderId="1" xfId="1" applyNumberFormat="1" applyFont="1" applyBorder="1" applyAlignment="1">
      <alignment vertical="center"/>
    </xf>
    <xf numFmtId="3" fontId="3" fillId="0" borderId="2" xfId="0" applyNumberFormat="1" applyFont="1" applyFill="1" applyBorder="1" applyAlignment="1">
      <alignment horizontal="left" vertical="center"/>
    </xf>
    <xf numFmtId="0" fontId="0" fillId="0" borderId="0" xfId="0" applyAlignment="1">
      <alignment horizontal="center"/>
    </xf>
    <xf numFmtId="0" fontId="7" fillId="0" borderId="3" xfId="0" applyFont="1" applyBorder="1" applyAlignment="1">
      <alignment vertical="center"/>
    </xf>
    <xf numFmtId="0" fontId="7" fillId="0" borderId="4" xfId="0" applyFont="1" applyBorder="1" applyAlignment="1">
      <alignment vertical="center"/>
    </xf>
    <xf numFmtId="3" fontId="7" fillId="0" borderId="4" xfId="0" applyNumberFormat="1" applyFont="1" applyBorder="1" applyAlignment="1">
      <alignment vertical="center"/>
    </xf>
    <xf numFmtId="3" fontId="8" fillId="0" borderId="1" xfId="0" applyNumberFormat="1" applyFont="1" applyBorder="1" applyAlignment="1">
      <alignment vertical="center"/>
    </xf>
    <xf numFmtId="0" fontId="9" fillId="0" borderId="0" xfId="0" applyFont="1"/>
    <xf numFmtId="3" fontId="7" fillId="0" borderId="4" xfId="1" applyNumberFormat="1" applyFont="1" applyFill="1" applyBorder="1" applyAlignment="1">
      <alignment vertical="center"/>
    </xf>
    <xf numFmtId="3" fontId="7" fillId="0" borderId="1" xfId="1" applyNumberFormat="1" applyFont="1" applyFill="1" applyBorder="1" applyAlignment="1">
      <alignment vertical="center"/>
    </xf>
    <xf numFmtId="41" fontId="0" fillId="0" borderId="0" xfId="2" applyFont="1" applyFill="1"/>
    <xf numFmtId="41" fontId="9" fillId="0" borderId="0" xfId="2" applyFont="1"/>
    <xf numFmtId="3" fontId="3" fillId="6" borderId="1" xfId="0" applyNumberFormat="1" applyFont="1" applyFill="1" applyBorder="1" applyAlignment="1">
      <alignment vertical="center"/>
    </xf>
    <xf numFmtId="0" fontId="3" fillId="0" borderId="0" xfId="0" applyFont="1"/>
    <xf numFmtId="0" fontId="7" fillId="0" borderId="0" xfId="0" applyFont="1"/>
    <xf numFmtId="3" fontId="3" fillId="0" borderId="0" xfId="0" applyNumberFormat="1" applyFont="1" applyFill="1"/>
    <xf numFmtId="3" fontId="3" fillId="0" borderId="0" xfId="0" applyNumberFormat="1" applyFont="1"/>
    <xf numFmtId="0" fontId="0" fillId="0" borderId="0" xfId="0" applyFont="1"/>
    <xf numFmtId="3" fontId="0" fillId="0" borderId="0" xfId="0" applyNumberFormat="1" applyFont="1"/>
    <xf numFmtId="3" fontId="3" fillId="2" borderId="0" xfId="0" applyNumberFormat="1" applyFont="1" applyFill="1"/>
    <xf numFmtId="3" fontId="0" fillId="0" borderId="0" xfId="3" applyNumberFormat="1" applyFont="1"/>
    <xf numFmtId="3" fontId="0" fillId="0" borderId="0" xfId="2" applyNumberFormat="1" applyFont="1"/>
    <xf numFmtId="3" fontId="2" fillId="2" borderId="0" xfId="1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vertical="center"/>
    </xf>
    <xf numFmtId="3" fontId="4" fillId="0" borderId="0" xfId="0" applyNumberFormat="1" applyFont="1" applyFill="1" applyBorder="1" applyAlignment="1">
      <alignment vertical="center"/>
    </xf>
    <xf numFmtId="10" fontId="3" fillId="0" borderId="0" xfId="3" applyNumberFormat="1" applyFont="1" applyFill="1" applyBorder="1" applyAlignment="1">
      <alignment vertical="center"/>
    </xf>
    <xf numFmtId="0" fontId="3" fillId="0" borderId="0" xfId="0" applyFont="1" applyBorder="1"/>
    <xf numFmtId="41" fontId="3" fillId="0" borderId="0" xfId="2" applyFont="1" applyBorder="1"/>
    <xf numFmtId="0" fontId="3" fillId="0" borderId="0" xfId="0" applyFont="1" applyFill="1" applyBorder="1"/>
    <xf numFmtId="41" fontId="3" fillId="0" borderId="0" xfId="2" applyFont="1" applyFill="1" applyBorder="1"/>
    <xf numFmtId="10" fontId="3" fillId="6" borderId="0" xfId="3" applyNumberFormat="1" applyFont="1" applyFill="1" applyBorder="1" applyAlignment="1">
      <alignment vertical="center"/>
    </xf>
    <xf numFmtId="0" fontId="3" fillId="0" borderId="0" xfId="0" applyFont="1" applyFill="1" applyBorder="1" applyAlignment="1">
      <alignment horizontal="left"/>
    </xf>
    <xf numFmtId="0" fontId="3" fillId="0" borderId="0" xfId="0" applyFont="1" applyBorder="1" applyAlignment="1">
      <alignment horizontal="center"/>
    </xf>
    <xf numFmtId="41" fontId="3" fillId="0" borderId="0" xfId="2" applyFont="1" applyBorder="1" applyAlignment="1">
      <alignment horizontal="center"/>
    </xf>
    <xf numFmtId="10" fontId="3" fillId="0" borderId="0" xfId="0" applyNumberFormat="1" applyFont="1" applyFill="1" applyBorder="1"/>
    <xf numFmtId="3" fontId="3" fillId="0" borderId="0" xfId="0" applyNumberFormat="1" applyFont="1" applyBorder="1"/>
    <xf numFmtId="3" fontId="3" fillId="0" borderId="0" xfId="3" applyNumberFormat="1" applyFont="1"/>
    <xf numFmtId="0" fontId="2" fillId="3" borderId="1" xfId="0" applyFont="1" applyFill="1" applyBorder="1" applyAlignment="1">
      <alignment horizontal="left" vertical="center"/>
    </xf>
    <xf numFmtId="10" fontId="1" fillId="0" borderId="0" xfId="3" applyNumberFormat="1" applyFont="1"/>
    <xf numFmtId="41" fontId="1" fillId="0" borderId="0" xfId="2" applyFont="1"/>
    <xf numFmtId="0" fontId="2" fillId="3" borderId="1" xfId="0" applyFont="1" applyFill="1" applyBorder="1" applyAlignment="1">
      <alignment horizontal="center" vertical="center"/>
    </xf>
    <xf numFmtId="165" fontId="3" fillId="0" borderId="0" xfId="1" applyNumberFormat="1" applyFont="1" applyAlignment="1">
      <alignment vertical="center"/>
    </xf>
    <xf numFmtId="41" fontId="3" fillId="0" borderId="0" xfId="2" applyFont="1" applyAlignment="1">
      <alignment vertical="center"/>
    </xf>
    <xf numFmtId="0" fontId="2" fillId="3" borderId="0" xfId="0" applyFont="1" applyFill="1" applyAlignment="1">
      <alignment vertical="center"/>
    </xf>
    <xf numFmtId="0" fontId="2" fillId="3" borderId="0" xfId="0" applyFont="1" applyFill="1" applyAlignment="1">
      <alignment horizontal="center" vertical="center"/>
    </xf>
    <xf numFmtId="165" fontId="2" fillId="3" borderId="0" xfId="1" applyNumberFormat="1" applyFont="1" applyFill="1" applyAlignment="1">
      <alignment horizontal="center" vertical="center"/>
    </xf>
    <xf numFmtId="165" fontId="2" fillId="3" borderId="0" xfId="1" applyNumberFormat="1" applyFont="1" applyFill="1" applyAlignment="1">
      <alignment horizontal="center" vertical="center" wrapText="1"/>
    </xf>
    <xf numFmtId="41" fontId="2" fillId="3" borderId="0" xfId="2" applyFont="1" applyFill="1" applyAlignment="1">
      <alignment horizontal="center" vertical="center"/>
    </xf>
    <xf numFmtId="165" fontId="2" fillId="3" borderId="0" xfId="1" applyNumberFormat="1" applyFont="1" applyFill="1" applyAlignment="1">
      <alignment vertical="center"/>
    </xf>
    <xf numFmtId="41" fontId="2" fillId="3" borderId="0" xfId="2" applyFont="1" applyFill="1" applyAlignment="1">
      <alignment vertical="center"/>
    </xf>
    <xf numFmtId="165" fontId="2" fillId="3" borderId="0" xfId="0" applyNumberFormat="1" applyFont="1" applyFill="1" applyAlignment="1">
      <alignment vertical="center"/>
    </xf>
    <xf numFmtId="3" fontId="2" fillId="3" borderId="0" xfId="0" applyNumberFormat="1" applyFont="1" applyFill="1"/>
    <xf numFmtId="0" fontId="3" fillId="6" borderId="2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left" vertical="center"/>
    </xf>
    <xf numFmtId="3" fontId="4" fillId="6" borderId="2" xfId="3" applyNumberFormat="1" applyFont="1" applyFill="1" applyBorder="1" applyAlignment="1">
      <alignment vertical="center"/>
    </xf>
    <xf numFmtId="3" fontId="4" fillId="6" borderId="2" xfId="0" applyNumberFormat="1" applyFont="1" applyFill="1" applyBorder="1" applyAlignment="1">
      <alignment vertical="center"/>
    </xf>
    <xf numFmtId="3" fontId="3" fillId="6" borderId="0" xfId="0" applyNumberFormat="1" applyFont="1" applyFill="1"/>
    <xf numFmtId="0" fontId="4" fillId="6" borderId="2" xfId="0" applyFont="1" applyFill="1" applyBorder="1" applyAlignment="1">
      <alignment horizontal="left" vertical="center"/>
    </xf>
    <xf numFmtId="3" fontId="3" fillId="6" borderId="2" xfId="0" applyNumberFormat="1" applyFont="1" applyFill="1" applyBorder="1" applyAlignment="1">
      <alignment horizontal="left" vertical="center"/>
    </xf>
    <xf numFmtId="3" fontId="0" fillId="0" borderId="0" xfId="0" applyNumberFormat="1" applyFill="1"/>
    <xf numFmtId="3" fontId="3" fillId="0" borderId="0" xfId="0" applyNumberFormat="1" applyFont="1" applyFill="1" applyBorder="1"/>
    <xf numFmtId="3" fontId="3" fillId="0" borderId="0" xfId="0" applyNumberFormat="1" applyFont="1" applyBorder="1" applyAlignment="1">
      <alignment horizontal="center"/>
    </xf>
    <xf numFmtId="14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</cellXfs>
  <cellStyles count="4">
    <cellStyle name="Comma" xfId="1" builtinId="3"/>
    <cellStyle name="Comma [0]" xfId="2" builtinId="6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SVN\svnDocumentos\SGC\DIRECCION\2020\SALARIOS%20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lario 2020 (2)"/>
      <sheetName val="Salario 2020"/>
      <sheetName val="Salario 2019"/>
      <sheetName val="Gastos-Costos"/>
    </sheetNames>
    <sheetDataSet>
      <sheetData sheetId="0" refreshError="1"/>
      <sheetData sheetId="1" refreshError="1"/>
      <sheetData sheetId="2" refreshError="1"/>
      <sheetData sheetId="3">
        <row r="31">
          <cell r="B31">
            <v>0.37829999999999997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EC2C2-BDE4-4DC7-A0E5-CCBFCEBC8A05}">
  <dimension ref="A2:R38"/>
  <sheetViews>
    <sheetView workbookViewId="0">
      <selection activeCell="C39" sqref="C39"/>
    </sheetView>
  </sheetViews>
  <sheetFormatPr defaultRowHeight="15" x14ac:dyDescent="0.25"/>
  <cols>
    <col min="1" max="1" width="5" customWidth="1"/>
    <col min="2" max="2" width="30.42578125" bestFit="1" customWidth="1"/>
    <col min="3" max="3" width="23.85546875" customWidth="1"/>
    <col min="4" max="4" width="11.85546875" bestFit="1" customWidth="1"/>
    <col min="5" max="6" width="11.85546875" customWidth="1"/>
    <col min="7" max="7" width="14.7109375" customWidth="1"/>
    <col min="8" max="11" width="11.85546875" customWidth="1"/>
    <col min="12" max="12" width="13.140625" customWidth="1"/>
    <col min="13" max="13" width="13.5703125" style="83" customWidth="1"/>
    <col min="14" max="14" width="11.5703125" style="38" bestFit="1" customWidth="1"/>
    <col min="15" max="18" width="13.5703125" customWidth="1"/>
  </cols>
  <sheetData>
    <row r="2" spans="1:14" ht="25.5" x14ac:dyDescent="0.25">
      <c r="A2" s="32" t="s">
        <v>0</v>
      </c>
      <c r="B2" s="32" t="s">
        <v>1</v>
      </c>
      <c r="C2" s="32" t="s">
        <v>2</v>
      </c>
      <c r="D2" s="32" t="s">
        <v>3</v>
      </c>
      <c r="E2" s="33" t="s">
        <v>4</v>
      </c>
      <c r="F2" s="33" t="s">
        <v>5</v>
      </c>
      <c r="G2" s="33" t="s">
        <v>6</v>
      </c>
      <c r="H2" s="33" t="s">
        <v>7</v>
      </c>
      <c r="I2" s="33" t="s">
        <v>8</v>
      </c>
      <c r="J2" s="33" t="s">
        <v>9</v>
      </c>
      <c r="K2" s="33" t="s">
        <v>10</v>
      </c>
    </row>
    <row r="3" spans="1:14" x14ac:dyDescent="0.25">
      <c r="A3" s="47">
        <v>1</v>
      </c>
      <c r="B3" s="2" t="s">
        <v>11</v>
      </c>
      <c r="C3" s="3" t="str">
        <f>B23</f>
        <v>Developer senior</v>
      </c>
      <c r="D3" s="3" t="s">
        <v>12</v>
      </c>
      <c r="E3" s="4">
        <v>5300000</v>
      </c>
      <c r="F3" s="4">
        <v>0</v>
      </c>
      <c r="G3" s="5">
        <v>0</v>
      </c>
      <c r="H3" s="5">
        <f t="shared" ref="H3:H16" si="0">((E3+G3)*(1+$C$26)+F3)</f>
        <v>7313999.9999999991</v>
      </c>
      <c r="I3" s="5">
        <v>3800000</v>
      </c>
      <c r="J3" s="6">
        <f>I3/12</f>
        <v>316666.66666666669</v>
      </c>
      <c r="K3" s="6">
        <f t="shared" ref="K3:K16" si="1">(I3*(1+$C$26))+J3</f>
        <v>5560666.666666667</v>
      </c>
      <c r="L3" s="38"/>
      <c r="M3" s="45"/>
      <c r="N3"/>
    </row>
    <row r="4" spans="1:14" x14ac:dyDescent="0.25">
      <c r="A4" s="47">
        <v>2</v>
      </c>
      <c r="B4" s="2" t="s">
        <v>13</v>
      </c>
      <c r="C4" s="3" t="str">
        <f>B22</f>
        <v>Developer</v>
      </c>
      <c r="D4" s="3" t="s">
        <v>12</v>
      </c>
      <c r="E4" s="4">
        <v>4000000</v>
      </c>
      <c r="F4" s="4">
        <v>0</v>
      </c>
      <c r="G4" s="5">
        <v>0</v>
      </c>
      <c r="H4" s="5">
        <f t="shared" si="0"/>
        <v>5520000</v>
      </c>
      <c r="I4" s="5">
        <v>2800000</v>
      </c>
      <c r="J4" s="6">
        <v>0</v>
      </c>
      <c r="K4" s="6">
        <f t="shared" si="1"/>
        <v>3863999.9999999995</v>
      </c>
      <c r="L4" s="38"/>
    </row>
    <row r="5" spans="1:14" x14ac:dyDescent="0.25">
      <c r="A5" s="47">
        <v>3</v>
      </c>
      <c r="B5" s="2" t="s">
        <v>14</v>
      </c>
      <c r="C5" s="3" t="str">
        <f>B25</f>
        <v>Project manager senior</v>
      </c>
      <c r="D5" s="3" t="s">
        <v>12</v>
      </c>
      <c r="E5" s="4">
        <v>7000000</v>
      </c>
      <c r="F5" s="4">
        <v>0</v>
      </c>
      <c r="G5" s="5">
        <v>0</v>
      </c>
      <c r="H5" s="5">
        <f t="shared" si="0"/>
        <v>9660000</v>
      </c>
      <c r="I5" s="5">
        <v>4600000</v>
      </c>
      <c r="J5" s="6">
        <f>I5/12</f>
        <v>383333.33333333331</v>
      </c>
      <c r="K5" s="6">
        <f t="shared" si="1"/>
        <v>6731333.3333333321</v>
      </c>
      <c r="L5" s="38"/>
      <c r="M5" s="45"/>
      <c r="N5"/>
    </row>
    <row r="6" spans="1:14" x14ac:dyDescent="0.25">
      <c r="A6" s="47">
        <v>4</v>
      </c>
      <c r="B6" s="2" t="s">
        <v>15</v>
      </c>
      <c r="C6" s="3" t="str">
        <f>B25</f>
        <v>Project manager senior</v>
      </c>
      <c r="D6" s="3" t="s">
        <v>12</v>
      </c>
      <c r="E6" s="4">
        <v>6100000</v>
      </c>
      <c r="F6" s="4">
        <v>0</v>
      </c>
      <c r="G6" s="5">
        <v>0</v>
      </c>
      <c r="H6" s="5">
        <f t="shared" si="0"/>
        <v>8418000</v>
      </c>
      <c r="I6" s="5">
        <v>4200000</v>
      </c>
      <c r="J6" s="6">
        <f>I6/12</f>
        <v>350000</v>
      </c>
      <c r="K6" s="6">
        <f t="shared" si="1"/>
        <v>6146000</v>
      </c>
      <c r="L6" s="38"/>
      <c r="M6" s="45"/>
      <c r="N6"/>
    </row>
    <row r="7" spans="1:14" x14ac:dyDescent="0.25">
      <c r="A7" s="47">
        <v>5</v>
      </c>
      <c r="B7" s="2" t="s">
        <v>16</v>
      </c>
      <c r="C7" s="3" t="str">
        <f>B22</f>
        <v>Developer</v>
      </c>
      <c r="D7" s="3" t="s">
        <v>17</v>
      </c>
      <c r="E7" s="4">
        <v>4000000</v>
      </c>
      <c r="F7" s="4">
        <v>0</v>
      </c>
      <c r="G7" s="5">
        <v>0</v>
      </c>
      <c r="H7" s="5">
        <f t="shared" si="0"/>
        <v>5520000</v>
      </c>
      <c r="I7" s="5">
        <v>2300000</v>
      </c>
      <c r="J7" s="6">
        <v>0</v>
      </c>
      <c r="K7" s="6">
        <f t="shared" si="1"/>
        <v>3173999.9999999995</v>
      </c>
      <c r="L7" s="38"/>
    </row>
    <row r="8" spans="1:14" x14ac:dyDescent="0.25">
      <c r="A8" s="47">
        <v>6</v>
      </c>
      <c r="B8" s="2" t="s">
        <v>18</v>
      </c>
      <c r="C8" s="3" t="str">
        <f>B22</f>
        <v>Developer</v>
      </c>
      <c r="D8" s="3" t="s">
        <v>17</v>
      </c>
      <c r="E8" s="4">
        <v>4600000</v>
      </c>
      <c r="F8" s="4">
        <v>0</v>
      </c>
      <c r="G8" s="5">
        <v>0</v>
      </c>
      <c r="H8" s="5">
        <f t="shared" si="0"/>
        <v>6347999.9999999991</v>
      </c>
      <c r="I8" s="5">
        <v>3200000</v>
      </c>
      <c r="J8" s="6">
        <v>0</v>
      </c>
      <c r="K8" s="6">
        <f t="shared" si="1"/>
        <v>4416000</v>
      </c>
      <c r="L8" s="38"/>
    </row>
    <row r="9" spans="1:14" x14ac:dyDescent="0.25">
      <c r="A9" s="47">
        <v>7</v>
      </c>
      <c r="B9" s="2" t="s">
        <v>19</v>
      </c>
      <c r="C9" s="3" t="str">
        <f>B23</f>
        <v>Developer senior</v>
      </c>
      <c r="D9" s="3" t="s">
        <v>12</v>
      </c>
      <c r="E9" s="4">
        <v>5300000</v>
      </c>
      <c r="F9" s="4">
        <v>0</v>
      </c>
      <c r="G9" s="5">
        <v>0</v>
      </c>
      <c r="H9" s="5">
        <f t="shared" si="0"/>
        <v>7313999.9999999991</v>
      </c>
      <c r="I9" s="5">
        <v>3800000</v>
      </c>
      <c r="J9" s="6">
        <f>I9/12</f>
        <v>316666.66666666669</v>
      </c>
      <c r="K9" s="6">
        <f t="shared" si="1"/>
        <v>5560666.666666667</v>
      </c>
      <c r="L9" s="38"/>
      <c r="M9" s="45"/>
      <c r="N9"/>
    </row>
    <row r="10" spans="1:14" x14ac:dyDescent="0.25">
      <c r="A10" s="47">
        <v>8</v>
      </c>
      <c r="B10" s="2" t="s">
        <v>20</v>
      </c>
      <c r="C10" s="3" t="str">
        <f>B23</f>
        <v>Developer senior</v>
      </c>
      <c r="D10" s="3" t="s">
        <v>12</v>
      </c>
      <c r="E10" s="4">
        <v>7000000</v>
      </c>
      <c r="F10" s="4">
        <v>0</v>
      </c>
      <c r="G10" s="5">
        <v>0</v>
      </c>
      <c r="H10" s="5">
        <f t="shared" si="0"/>
        <v>9660000</v>
      </c>
      <c r="I10" s="5">
        <v>4600000</v>
      </c>
      <c r="J10" s="6">
        <f>I10/12</f>
        <v>383333.33333333331</v>
      </c>
      <c r="K10" s="6">
        <f t="shared" si="1"/>
        <v>6731333.3333333321</v>
      </c>
      <c r="L10" s="38"/>
      <c r="M10" s="45"/>
      <c r="N10"/>
    </row>
    <row r="11" spans="1:14" x14ac:dyDescent="0.25">
      <c r="A11" s="47">
        <v>9</v>
      </c>
      <c r="B11" s="2" t="s">
        <v>21</v>
      </c>
      <c r="C11" s="3" t="str">
        <f>B22</f>
        <v>Developer</v>
      </c>
      <c r="D11" s="3" t="s">
        <v>12</v>
      </c>
      <c r="E11" s="4">
        <v>4000000</v>
      </c>
      <c r="F11" s="4">
        <v>0</v>
      </c>
      <c r="G11" s="5">
        <v>0</v>
      </c>
      <c r="H11" s="5">
        <f t="shared" si="0"/>
        <v>5520000</v>
      </c>
      <c r="I11" s="5">
        <v>2800000</v>
      </c>
      <c r="J11" s="6">
        <v>0</v>
      </c>
      <c r="K11" s="6">
        <f t="shared" si="1"/>
        <v>3863999.9999999995</v>
      </c>
      <c r="L11" s="38"/>
    </row>
    <row r="12" spans="1:14" x14ac:dyDescent="0.25">
      <c r="A12" s="47">
        <v>10</v>
      </c>
      <c r="B12" s="2" t="s">
        <v>22</v>
      </c>
      <c r="C12" s="3" t="str">
        <f>B22</f>
        <v>Developer</v>
      </c>
      <c r="D12" s="3" t="s">
        <v>12</v>
      </c>
      <c r="E12" s="4">
        <v>4000000</v>
      </c>
      <c r="F12" s="4">
        <v>0</v>
      </c>
      <c r="G12" s="5">
        <v>0</v>
      </c>
      <c r="H12" s="5">
        <f t="shared" si="0"/>
        <v>5520000</v>
      </c>
      <c r="I12" s="5">
        <v>1700000</v>
      </c>
      <c r="J12" s="6">
        <v>0</v>
      </c>
      <c r="K12" s="6">
        <f t="shared" si="1"/>
        <v>2346000</v>
      </c>
      <c r="L12" s="38"/>
      <c r="M12" s="45"/>
      <c r="N12"/>
    </row>
    <row r="13" spans="1:14" x14ac:dyDescent="0.25">
      <c r="A13" s="47">
        <v>11</v>
      </c>
      <c r="B13" s="2" t="s">
        <v>23</v>
      </c>
      <c r="C13" s="3" t="str">
        <f>B24</f>
        <v>Project manager</v>
      </c>
      <c r="D13" s="3" t="s">
        <v>12</v>
      </c>
      <c r="E13" s="4">
        <v>4000000</v>
      </c>
      <c r="F13" s="4">
        <v>0</v>
      </c>
      <c r="G13" s="5">
        <v>0</v>
      </c>
      <c r="H13" s="5">
        <f t="shared" si="0"/>
        <v>5520000</v>
      </c>
      <c r="I13" s="5">
        <v>3200000</v>
      </c>
      <c r="J13" s="6">
        <f>I13/12</f>
        <v>266666.66666666669</v>
      </c>
      <c r="K13" s="6">
        <f t="shared" si="1"/>
        <v>4682666.666666667</v>
      </c>
      <c r="L13" s="38"/>
      <c r="M13" s="45"/>
      <c r="N13"/>
    </row>
    <row r="14" spans="1:14" x14ac:dyDescent="0.25">
      <c r="A14" s="47">
        <v>12</v>
      </c>
      <c r="B14" s="2" t="s">
        <v>24</v>
      </c>
      <c r="C14" s="3" t="str">
        <f>B22</f>
        <v>Developer</v>
      </c>
      <c r="D14" s="3" t="s">
        <v>17</v>
      </c>
      <c r="E14" s="4">
        <v>4600000</v>
      </c>
      <c r="F14" s="4">
        <v>0</v>
      </c>
      <c r="G14" s="5">
        <v>0</v>
      </c>
      <c r="H14" s="5">
        <f t="shared" si="0"/>
        <v>6347999.9999999991</v>
      </c>
      <c r="I14" s="5">
        <v>3200000</v>
      </c>
      <c r="J14" s="6">
        <f>I14/12</f>
        <v>266666.66666666669</v>
      </c>
      <c r="K14" s="6">
        <f t="shared" si="1"/>
        <v>4682666.666666667</v>
      </c>
      <c r="L14" s="38"/>
    </row>
    <row r="15" spans="1:14" x14ac:dyDescent="0.25">
      <c r="A15" s="47">
        <v>13</v>
      </c>
      <c r="B15" s="2" t="s">
        <v>25</v>
      </c>
      <c r="C15" s="3" t="str">
        <f>B22</f>
        <v>Developer</v>
      </c>
      <c r="D15" s="3" t="s">
        <v>12</v>
      </c>
      <c r="E15" s="4">
        <v>4000000</v>
      </c>
      <c r="F15" s="4">
        <v>0</v>
      </c>
      <c r="G15" s="5">
        <v>0</v>
      </c>
      <c r="H15" s="5">
        <f t="shared" si="0"/>
        <v>5520000</v>
      </c>
      <c r="I15" s="5">
        <v>2800000</v>
      </c>
      <c r="J15" s="6">
        <v>0</v>
      </c>
      <c r="K15" s="6">
        <f t="shared" si="1"/>
        <v>3863999.9999999995</v>
      </c>
      <c r="L15" s="38"/>
    </row>
    <row r="16" spans="1:14" x14ac:dyDescent="0.25">
      <c r="A16" s="47">
        <v>14</v>
      </c>
      <c r="B16" s="2" t="s">
        <v>26</v>
      </c>
      <c r="C16" s="3" t="str">
        <f>B23</f>
        <v>Developer senior</v>
      </c>
      <c r="D16" s="3" t="s">
        <v>17</v>
      </c>
      <c r="E16" s="4">
        <v>5300000</v>
      </c>
      <c r="F16" s="4">
        <v>0</v>
      </c>
      <c r="G16" s="5">
        <v>0</v>
      </c>
      <c r="H16" s="5">
        <f t="shared" si="0"/>
        <v>7313999.9999999991</v>
      </c>
      <c r="I16" s="5">
        <v>3800000</v>
      </c>
      <c r="J16" s="6">
        <f>I16/12</f>
        <v>316666.66666666669</v>
      </c>
      <c r="K16" s="6">
        <f t="shared" si="1"/>
        <v>5560666.666666667</v>
      </c>
      <c r="L16" s="38"/>
      <c r="M16" s="45"/>
      <c r="N16"/>
    </row>
    <row r="17" spans="1:18" x14ac:dyDescent="0.25">
      <c r="A17" s="47">
        <v>15</v>
      </c>
      <c r="B17" s="2" t="s">
        <v>27</v>
      </c>
      <c r="C17" s="3" t="str">
        <f>B22</f>
        <v>Developer</v>
      </c>
      <c r="D17" s="3" t="s">
        <v>12</v>
      </c>
      <c r="E17" s="4">
        <v>4000000</v>
      </c>
      <c r="F17" s="4">
        <v>0</v>
      </c>
      <c r="G17" s="5">
        <v>0</v>
      </c>
      <c r="H17" s="5"/>
      <c r="I17" s="5"/>
      <c r="J17" s="6"/>
      <c r="K17" s="6"/>
      <c r="L17" s="38"/>
    </row>
    <row r="18" spans="1:18" s="80" customFormat="1" x14ac:dyDescent="0.25">
      <c r="A18" s="7"/>
      <c r="B18" s="101"/>
      <c r="C18" s="101"/>
      <c r="D18" s="101"/>
      <c r="E18" s="10">
        <f>SUM(E3:E17)</f>
        <v>73200000</v>
      </c>
      <c r="F18" s="10"/>
      <c r="G18" s="10" t="s">
        <v>28</v>
      </c>
      <c r="H18" s="11">
        <f>SUM(H3:H17)</f>
        <v>95496000</v>
      </c>
      <c r="I18" s="11">
        <f t="shared" ref="I18:J18" si="2">SUM(I3:I17)</f>
        <v>46800000</v>
      </c>
      <c r="J18" s="11">
        <f t="shared" si="2"/>
        <v>2600000</v>
      </c>
      <c r="K18" s="11">
        <f>SUM(K3:K17)</f>
        <v>67184000</v>
      </c>
      <c r="L18" s="81"/>
      <c r="M18" s="102"/>
      <c r="N18" s="81"/>
      <c r="O18" s="103"/>
      <c r="P18" s="103"/>
      <c r="Q18" s="103"/>
      <c r="R18" s="103"/>
    </row>
    <row r="19" spans="1:18" s="80" customFormat="1" x14ac:dyDescent="0.25">
      <c r="A19" s="104"/>
      <c r="B19" s="101"/>
      <c r="C19" s="101"/>
      <c r="D19" s="101"/>
      <c r="E19" s="10"/>
      <c r="F19" s="10"/>
      <c r="G19" s="10" t="s">
        <v>29</v>
      </c>
      <c r="H19" s="11">
        <f>H18/4400</f>
        <v>21703.636363636364</v>
      </c>
      <c r="I19" s="11"/>
      <c r="J19" s="11"/>
      <c r="K19" s="11">
        <f>K18/4400</f>
        <v>15269.09090909091</v>
      </c>
      <c r="M19" s="102"/>
      <c r="O19" s="103"/>
      <c r="P19" s="103"/>
      <c r="Q19" s="103"/>
      <c r="R19" s="103"/>
    </row>
    <row r="20" spans="1:18" x14ac:dyDescent="0.25">
      <c r="A20" s="13"/>
      <c r="B20" s="13"/>
      <c r="C20" s="14"/>
      <c r="D20" s="13"/>
      <c r="E20" s="15"/>
      <c r="F20" s="15"/>
      <c r="G20" s="16"/>
      <c r="H20" s="17"/>
      <c r="I20" s="18"/>
      <c r="J20" s="31"/>
      <c r="K20" s="31"/>
    </row>
    <row r="21" spans="1:18" ht="25.5" x14ac:dyDescent="0.25">
      <c r="B21" s="8"/>
      <c r="C21" s="33"/>
      <c r="D21" s="33" t="s">
        <v>109</v>
      </c>
      <c r="E21" s="33" t="s">
        <v>110</v>
      </c>
      <c r="F21" s="33" t="s">
        <v>111</v>
      </c>
      <c r="G21" s="33" t="s">
        <v>112</v>
      </c>
      <c r="J21" s="38"/>
      <c r="K21" s="38"/>
      <c r="M21"/>
      <c r="N21"/>
    </row>
    <row r="22" spans="1:18" x14ac:dyDescent="0.25">
      <c r="B22" s="3" t="s">
        <v>113</v>
      </c>
      <c r="C22" s="34"/>
      <c r="D22" s="35">
        <v>3500000</v>
      </c>
      <c r="E22" s="6">
        <v>0</v>
      </c>
      <c r="F22" s="35">
        <v>4750000</v>
      </c>
      <c r="G22" s="6">
        <v>0</v>
      </c>
      <c r="J22" s="38"/>
      <c r="K22" s="38"/>
      <c r="M22"/>
      <c r="N22"/>
    </row>
    <row r="23" spans="1:18" x14ac:dyDescent="0.25">
      <c r="B23" s="3" t="s">
        <v>114</v>
      </c>
      <c r="C23" s="34"/>
      <c r="D23" s="6">
        <v>4750000</v>
      </c>
      <c r="E23" s="6">
        <v>0</v>
      </c>
      <c r="F23" s="35">
        <v>7000000</v>
      </c>
      <c r="G23" s="6">
        <v>0</v>
      </c>
      <c r="J23" s="38"/>
      <c r="K23" s="38"/>
      <c r="M23"/>
      <c r="N23"/>
    </row>
    <row r="24" spans="1:18" x14ac:dyDescent="0.25">
      <c r="B24" s="3" t="s">
        <v>115</v>
      </c>
      <c r="C24" s="34"/>
      <c r="D24" s="35">
        <v>3500000</v>
      </c>
      <c r="E24" s="6">
        <v>0</v>
      </c>
      <c r="F24" s="35">
        <v>4750000</v>
      </c>
      <c r="G24" s="6">
        <v>0</v>
      </c>
      <c r="J24" s="38"/>
      <c r="K24" s="38"/>
      <c r="M24"/>
      <c r="N24"/>
    </row>
    <row r="25" spans="1:18" x14ac:dyDescent="0.25">
      <c r="B25" s="3" t="s">
        <v>116</v>
      </c>
      <c r="C25" s="34"/>
      <c r="D25" s="6">
        <v>4750000</v>
      </c>
      <c r="E25" s="6">
        <v>0</v>
      </c>
      <c r="F25" s="35">
        <v>7000000</v>
      </c>
      <c r="G25" s="6">
        <v>0</v>
      </c>
      <c r="J25" s="38"/>
      <c r="K25" s="38"/>
      <c r="M25"/>
      <c r="N25"/>
    </row>
    <row r="26" spans="1:18" x14ac:dyDescent="0.25">
      <c r="B26" s="34" t="s">
        <v>45</v>
      </c>
      <c r="C26" s="36">
        <v>0.38</v>
      </c>
      <c r="D26" s="44"/>
      <c r="J26" s="83"/>
      <c r="K26" s="38"/>
      <c r="M26"/>
      <c r="N26"/>
    </row>
    <row r="29" spans="1:18" s="76" customFormat="1" ht="25.5" x14ac:dyDescent="0.2">
      <c r="B29" s="107"/>
      <c r="C29" s="108" t="s">
        <v>136</v>
      </c>
      <c r="D29" s="109" t="s">
        <v>127</v>
      </c>
      <c r="E29" s="110" t="s">
        <v>128</v>
      </c>
      <c r="F29" s="111" t="s">
        <v>129</v>
      </c>
      <c r="G29" s="110" t="s">
        <v>130</v>
      </c>
      <c r="M29" s="100"/>
      <c r="N29" s="79"/>
    </row>
    <row r="30" spans="1:18" s="76" customFormat="1" ht="12.75" x14ac:dyDescent="0.2">
      <c r="B30" s="22" t="s">
        <v>113</v>
      </c>
      <c r="C30" s="22">
        <v>5</v>
      </c>
      <c r="D30" s="105">
        <v>48850</v>
      </c>
      <c r="E30" s="105">
        <f>C30*D30*174</f>
        <v>42499500</v>
      </c>
      <c r="F30" s="106">
        <v>57315.707874584994</v>
      </c>
      <c r="G30" s="105">
        <f>C30*174*F30</f>
        <v>49864665.850888945</v>
      </c>
      <c r="M30" s="100"/>
      <c r="N30" s="79"/>
    </row>
    <row r="31" spans="1:18" s="76" customFormat="1" ht="12.75" x14ac:dyDescent="0.2">
      <c r="B31" s="22" t="s">
        <v>114</v>
      </c>
      <c r="C31" s="22">
        <v>5</v>
      </c>
      <c r="D31" s="105">
        <v>53999</v>
      </c>
      <c r="E31" s="105">
        <f t="shared" ref="E31:E32" si="3">C31*D31*174</f>
        <v>46979130</v>
      </c>
      <c r="F31" s="106">
        <v>63357.473756632484</v>
      </c>
      <c r="G31" s="105">
        <f>C31*174*F31</f>
        <v>55121002.16827026</v>
      </c>
      <c r="M31" s="100"/>
      <c r="N31" s="79"/>
    </row>
    <row r="32" spans="1:18" s="76" customFormat="1" ht="12.75" x14ac:dyDescent="0.2">
      <c r="B32" s="22" t="s">
        <v>131</v>
      </c>
      <c r="C32" s="22">
        <v>4</v>
      </c>
      <c r="D32" s="105">
        <v>87840</v>
      </c>
      <c r="E32" s="105">
        <f t="shared" si="3"/>
        <v>61136640</v>
      </c>
      <c r="F32" s="106">
        <v>103063.199985</v>
      </c>
      <c r="G32" s="105">
        <f>C32*174*F32</f>
        <v>71731987.189559996</v>
      </c>
      <c r="M32" s="100"/>
      <c r="N32" s="79"/>
    </row>
    <row r="33" spans="2:14" s="76" customFormat="1" ht="12.75" x14ac:dyDescent="0.2">
      <c r="B33" s="107" t="s">
        <v>132</v>
      </c>
      <c r="C33" s="107"/>
      <c r="D33" s="112"/>
      <c r="E33" s="113">
        <f>SUM(E30:E32)</f>
        <v>150615270</v>
      </c>
      <c r="F33" s="112"/>
      <c r="G33" s="114">
        <f>SUM(G30:G32)</f>
        <v>176717655.20871919</v>
      </c>
      <c r="M33" s="100"/>
      <c r="N33" s="79"/>
    </row>
    <row r="34" spans="2:14" s="76" customFormat="1" ht="12.75" x14ac:dyDescent="0.2">
      <c r="M34" s="100"/>
      <c r="N34" s="79"/>
    </row>
    <row r="35" spans="2:14" x14ac:dyDescent="0.25">
      <c r="B35" s="22" t="s">
        <v>133</v>
      </c>
      <c r="C35" s="79">
        <f>G33*11.25</f>
        <v>1988073621.0980909</v>
      </c>
    </row>
    <row r="36" spans="2:14" x14ac:dyDescent="0.25">
      <c r="B36" s="22" t="s">
        <v>134</v>
      </c>
      <c r="C36" s="79">
        <f>(H18+14000000)*12</f>
        <v>1313952000</v>
      </c>
    </row>
    <row r="37" spans="2:14" x14ac:dyDescent="0.25">
      <c r="B37" s="107" t="s">
        <v>135</v>
      </c>
      <c r="C37" s="115">
        <f>C35-C36</f>
        <v>674121621.09809089</v>
      </c>
    </row>
    <row r="38" spans="2:14" x14ac:dyDescent="0.25">
      <c r="C38" s="38"/>
    </row>
  </sheetData>
  <autoFilter ref="A2:K19" xr:uid="{11E52A50-D12F-4458-89F8-B17BFA80FB7B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29EA6-F228-4679-965C-256FED71EBCB}">
  <sheetPr filterMode="1"/>
  <dimension ref="A2:R43"/>
  <sheetViews>
    <sheetView workbookViewId="0">
      <selection activeCell="D32" sqref="D32"/>
    </sheetView>
  </sheetViews>
  <sheetFormatPr defaultRowHeight="15" x14ac:dyDescent="0.25"/>
  <cols>
    <col min="1" max="1" width="5" customWidth="1"/>
    <col min="2" max="2" width="30.42578125" bestFit="1" customWidth="1"/>
    <col min="3" max="3" width="23.85546875" customWidth="1"/>
    <col min="4" max="4" width="11.85546875" bestFit="1" customWidth="1"/>
    <col min="5" max="11" width="11.42578125" customWidth="1"/>
    <col min="12" max="12" width="13.140625" customWidth="1"/>
    <col min="13" max="13" width="13.5703125" style="83" customWidth="1"/>
    <col min="14" max="14" width="11.5703125" style="38" bestFit="1" customWidth="1"/>
    <col min="15" max="18" width="13.5703125" customWidth="1"/>
  </cols>
  <sheetData>
    <row r="2" spans="1:14" ht="25.5" x14ac:dyDescent="0.25">
      <c r="A2" s="32" t="s">
        <v>0</v>
      </c>
      <c r="B2" s="32" t="s">
        <v>1</v>
      </c>
      <c r="C2" s="32" t="s">
        <v>2</v>
      </c>
      <c r="D2" s="32" t="s">
        <v>3</v>
      </c>
      <c r="E2" s="33" t="s">
        <v>4</v>
      </c>
      <c r="F2" s="33" t="s">
        <v>5</v>
      </c>
      <c r="G2" s="33" t="s">
        <v>6</v>
      </c>
      <c r="H2" s="33" t="s">
        <v>7</v>
      </c>
      <c r="I2" s="33" t="s">
        <v>8</v>
      </c>
      <c r="J2" s="33" t="s">
        <v>9</v>
      </c>
      <c r="K2" s="33" t="s">
        <v>10</v>
      </c>
    </row>
    <row r="3" spans="1:14" hidden="1" x14ac:dyDescent="0.25">
      <c r="A3" s="41">
        <v>1</v>
      </c>
      <c r="B3" s="2" t="s">
        <v>11</v>
      </c>
      <c r="C3" s="3" t="str">
        <f>C37</f>
        <v>Developer senior</v>
      </c>
      <c r="D3" s="3" t="s">
        <v>12</v>
      </c>
      <c r="E3" s="4">
        <f>E26</f>
        <v>5300000</v>
      </c>
      <c r="F3" s="4">
        <f>F26</f>
        <v>0</v>
      </c>
      <c r="G3" s="5">
        <f>G26</f>
        <v>0</v>
      </c>
      <c r="H3" s="5">
        <f t="shared" ref="H3:H17" si="0">((E3+G3)*(1+$D$32)+F3)</f>
        <v>7304990</v>
      </c>
      <c r="I3" s="5">
        <v>3800000</v>
      </c>
      <c r="J3" s="6">
        <f>I3/12</f>
        <v>316666.66666666669</v>
      </c>
      <c r="K3" s="6">
        <f t="shared" ref="K3:K17" si="1">(I3*(1+$D$32))+J3</f>
        <v>5554206.666666667</v>
      </c>
      <c r="L3" s="38"/>
      <c r="M3" s="45"/>
      <c r="N3"/>
    </row>
    <row r="4" spans="1:14" x14ac:dyDescent="0.25">
      <c r="A4" s="1">
        <v>2</v>
      </c>
      <c r="B4" s="2" t="s">
        <v>13</v>
      </c>
      <c r="C4" s="3" t="str">
        <f>C36</f>
        <v>Developer</v>
      </c>
      <c r="D4" s="3" t="s">
        <v>12</v>
      </c>
      <c r="E4" s="4">
        <v>3500000</v>
      </c>
      <c r="F4" s="4">
        <f>F24</f>
        <v>0</v>
      </c>
      <c r="G4" s="5">
        <f>G24</f>
        <v>0</v>
      </c>
      <c r="H4" s="5">
        <f t="shared" si="0"/>
        <v>4824050</v>
      </c>
      <c r="I4" s="5">
        <v>2800000</v>
      </c>
      <c r="J4" s="6">
        <v>0</v>
      </c>
      <c r="K4" s="6">
        <f t="shared" si="1"/>
        <v>3859240</v>
      </c>
      <c r="L4" s="38"/>
    </row>
    <row r="5" spans="1:14" hidden="1" x14ac:dyDescent="0.25">
      <c r="A5" s="41">
        <v>3</v>
      </c>
      <c r="B5" s="2" t="s">
        <v>14</v>
      </c>
      <c r="C5" s="3" t="str">
        <f>C41</f>
        <v>Project manager master</v>
      </c>
      <c r="D5" s="3" t="s">
        <v>12</v>
      </c>
      <c r="E5" s="4">
        <f>E31</f>
        <v>7000000</v>
      </c>
      <c r="F5" s="4">
        <f>F31</f>
        <v>0</v>
      </c>
      <c r="G5" s="5">
        <f>G31</f>
        <v>0</v>
      </c>
      <c r="H5" s="5">
        <f t="shared" si="0"/>
        <v>9648100</v>
      </c>
      <c r="I5" s="5">
        <v>4600000</v>
      </c>
      <c r="J5" s="6">
        <f>I5/12</f>
        <v>383333.33333333331</v>
      </c>
      <c r="K5" s="6">
        <f t="shared" si="1"/>
        <v>6723513.333333333</v>
      </c>
      <c r="L5" s="38"/>
      <c r="M5" s="45"/>
      <c r="N5"/>
    </row>
    <row r="6" spans="1:14" hidden="1" x14ac:dyDescent="0.25">
      <c r="A6" s="41">
        <v>4</v>
      </c>
      <c r="B6" s="2" t="s">
        <v>15</v>
      </c>
      <c r="C6" s="3" t="str">
        <f>C40</f>
        <v>Project manager senior</v>
      </c>
      <c r="D6" s="3" t="s">
        <v>12</v>
      </c>
      <c r="E6" s="4">
        <f>E30</f>
        <v>6100000</v>
      </c>
      <c r="F6" s="4">
        <f>F30</f>
        <v>0</v>
      </c>
      <c r="G6" s="5">
        <f>G30</f>
        <v>0</v>
      </c>
      <c r="H6" s="5">
        <f t="shared" si="0"/>
        <v>8407630</v>
      </c>
      <c r="I6" s="5">
        <v>4200000</v>
      </c>
      <c r="J6" s="6">
        <f>I6/12</f>
        <v>350000</v>
      </c>
      <c r="K6" s="6">
        <f t="shared" si="1"/>
        <v>6138860</v>
      </c>
      <c r="L6" s="38"/>
      <c r="M6" s="45"/>
      <c r="N6"/>
    </row>
    <row r="7" spans="1:14" x14ac:dyDescent="0.25">
      <c r="A7" s="1">
        <v>5</v>
      </c>
      <c r="B7" s="2" t="s">
        <v>16</v>
      </c>
      <c r="C7" s="3" t="str">
        <f>C36</f>
        <v>Developer</v>
      </c>
      <c r="D7" s="3" t="s">
        <v>17</v>
      </c>
      <c r="E7" s="4">
        <v>3500000</v>
      </c>
      <c r="F7" s="4">
        <f>F24</f>
        <v>0</v>
      </c>
      <c r="G7" s="5">
        <f>G24</f>
        <v>0</v>
      </c>
      <c r="H7" s="5">
        <f t="shared" si="0"/>
        <v>4824050</v>
      </c>
      <c r="I7" s="5">
        <v>2300000</v>
      </c>
      <c r="J7" s="6">
        <v>0</v>
      </c>
      <c r="K7" s="6">
        <f t="shared" si="1"/>
        <v>3170090</v>
      </c>
      <c r="L7" s="38"/>
    </row>
    <row r="8" spans="1:14" x14ac:dyDescent="0.25">
      <c r="A8" s="1">
        <v>6</v>
      </c>
      <c r="B8" s="2" t="s">
        <v>18</v>
      </c>
      <c r="C8" s="3" t="str">
        <f>C36</f>
        <v>Developer</v>
      </c>
      <c r="D8" s="3" t="s">
        <v>17</v>
      </c>
      <c r="E8" s="4">
        <v>4500000</v>
      </c>
      <c r="F8" s="4">
        <f t="shared" ref="E8:G9" si="2">F25</f>
        <v>0</v>
      </c>
      <c r="G8" s="5">
        <f t="shared" si="2"/>
        <v>0</v>
      </c>
      <c r="H8" s="5">
        <f t="shared" si="0"/>
        <v>6202350</v>
      </c>
      <c r="I8" s="5">
        <v>3200000</v>
      </c>
      <c r="J8" s="6">
        <v>0</v>
      </c>
      <c r="K8" s="6">
        <f t="shared" si="1"/>
        <v>4410560</v>
      </c>
      <c r="L8" s="38"/>
    </row>
    <row r="9" spans="1:14" hidden="1" x14ac:dyDescent="0.25">
      <c r="A9" s="41">
        <v>7</v>
      </c>
      <c r="B9" s="2" t="s">
        <v>19</v>
      </c>
      <c r="C9" s="3" t="str">
        <f>C37</f>
        <v>Developer senior</v>
      </c>
      <c r="D9" s="3" t="s">
        <v>12</v>
      </c>
      <c r="E9" s="4">
        <f t="shared" si="2"/>
        <v>5300000</v>
      </c>
      <c r="F9" s="4">
        <f t="shared" si="2"/>
        <v>0</v>
      </c>
      <c r="G9" s="5">
        <f t="shared" si="2"/>
        <v>0</v>
      </c>
      <c r="H9" s="5">
        <f t="shared" si="0"/>
        <v>7304990</v>
      </c>
      <c r="I9" s="5">
        <v>3800000</v>
      </c>
      <c r="J9" s="6">
        <f>I9/12</f>
        <v>316666.66666666669</v>
      </c>
      <c r="K9" s="6">
        <f t="shared" si="1"/>
        <v>5554206.666666667</v>
      </c>
      <c r="L9" s="38"/>
      <c r="M9" s="45"/>
      <c r="N9"/>
    </row>
    <row r="10" spans="1:14" hidden="1" x14ac:dyDescent="0.25">
      <c r="A10" s="41">
        <v>8</v>
      </c>
      <c r="B10" s="2" t="s">
        <v>20</v>
      </c>
      <c r="C10" s="3" t="str">
        <f>C38</f>
        <v>Developer master</v>
      </c>
      <c r="D10" s="3" t="s">
        <v>12</v>
      </c>
      <c r="E10" s="4">
        <f>E28</f>
        <v>7000000</v>
      </c>
      <c r="F10" s="4">
        <f>F28</f>
        <v>0</v>
      </c>
      <c r="G10" s="5">
        <f>G28</f>
        <v>0</v>
      </c>
      <c r="H10" s="5">
        <f t="shared" si="0"/>
        <v>9648100</v>
      </c>
      <c r="I10" s="5">
        <v>4600000</v>
      </c>
      <c r="J10" s="6">
        <f>I10/12</f>
        <v>383333.33333333331</v>
      </c>
      <c r="K10" s="6">
        <f t="shared" si="1"/>
        <v>6723513.333333333</v>
      </c>
      <c r="L10" s="38"/>
      <c r="M10" s="45"/>
      <c r="N10"/>
    </row>
    <row r="11" spans="1:14" x14ac:dyDescent="0.25">
      <c r="A11" s="1">
        <v>9</v>
      </c>
      <c r="B11" s="2" t="s">
        <v>21</v>
      </c>
      <c r="C11" s="3" t="str">
        <f>C36</f>
        <v>Developer</v>
      </c>
      <c r="D11" s="3" t="s">
        <v>12</v>
      </c>
      <c r="E11" s="4">
        <v>3500000</v>
      </c>
      <c r="F11" s="4">
        <f>F24</f>
        <v>0</v>
      </c>
      <c r="G11" s="5">
        <f>G24</f>
        <v>0</v>
      </c>
      <c r="H11" s="5">
        <f t="shared" si="0"/>
        <v>4824050</v>
      </c>
      <c r="I11" s="5">
        <v>2800000</v>
      </c>
      <c r="J11" s="6">
        <v>0</v>
      </c>
      <c r="K11" s="6">
        <f t="shared" si="1"/>
        <v>3859240</v>
      </c>
      <c r="L11" s="38"/>
    </row>
    <row r="12" spans="1:14" hidden="1" x14ac:dyDescent="0.25">
      <c r="A12" s="1">
        <v>10</v>
      </c>
      <c r="B12" s="2" t="s">
        <v>22</v>
      </c>
      <c r="C12" s="3" t="str">
        <f>C23</f>
        <v>QA analyst</v>
      </c>
      <c r="D12" s="3" t="s">
        <v>12</v>
      </c>
      <c r="E12" s="4">
        <f>E23</f>
        <v>4000000</v>
      </c>
      <c r="F12" s="4">
        <f>F24</f>
        <v>0</v>
      </c>
      <c r="G12" s="5">
        <f>G24</f>
        <v>0</v>
      </c>
      <c r="H12" s="5">
        <f t="shared" si="0"/>
        <v>5513200</v>
      </c>
      <c r="I12" s="5">
        <v>1700000</v>
      </c>
      <c r="J12" s="6">
        <v>0</v>
      </c>
      <c r="K12" s="6">
        <f t="shared" si="1"/>
        <v>2343110</v>
      </c>
      <c r="L12" s="38"/>
      <c r="M12" s="45"/>
      <c r="N12"/>
    </row>
    <row r="13" spans="1:14" hidden="1" x14ac:dyDescent="0.25">
      <c r="A13" s="1">
        <v>11</v>
      </c>
      <c r="B13" s="2" t="s">
        <v>23</v>
      </c>
      <c r="C13" s="3" t="str">
        <f>C39</f>
        <v>Project manager</v>
      </c>
      <c r="D13" s="3" t="s">
        <v>12</v>
      </c>
      <c r="E13" s="4">
        <f>E29</f>
        <v>4000000</v>
      </c>
      <c r="F13" s="4">
        <f>F29</f>
        <v>0</v>
      </c>
      <c r="G13" s="5">
        <f>G29</f>
        <v>0</v>
      </c>
      <c r="H13" s="5">
        <f t="shared" si="0"/>
        <v>5513200</v>
      </c>
      <c r="I13" s="5">
        <v>3200000</v>
      </c>
      <c r="J13" s="6">
        <f>I13/12</f>
        <v>266666.66666666669</v>
      </c>
      <c r="K13" s="6">
        <f t="shared" si="1"/>
        <v>4677226.666666667</v>
      </c>
      <c r="L13" s="38"/>
      <c r="M13" s="45"/>
      <c r="N13"/>
    </row>
    <row r="14" spans="1:14" x14ac:dyDescent="0.25">
      <c r="A14" s="1">
        <v>12</v>
      </c>
      <c r="B14" s="2" t="s">
        <v>24</v>
      </c>
      <c r="C14" s="3" t="str">
        <f>C36</f>
        <v>Developer</v>
      </c>
      <c r="D14" s="3" t="s">
        <v>17</v>
      </c>
      <c r="E14" s="4">
        <v>4500000</v>
      </c>
      <c r="F14" s="4">
        <f>F25</f>
        <v>0</v>
      </c>
      <c r="G14" s="5">
        <f>G25</f>
        <v>0</v>
      </c>
      <c r="H14" s="5">
        <f t="shared" si="0"/>
        <v>6202350</v>
      </c>
      <c r="I14" s="5">
        <v>3200000</v>
      </c>
      <c r="J14" s="6">
        <f>I14/12</f>
        <v>266666.66666666669</v>
      </c>
      <c r="K14" s="6">
        <f t="shared" si="1"/>
        <v>4677226.666666667</v>
      </c>
      <c r="L14" s="38"/>
    </row>
    <row r="15" spans="1:14" x14ac:dyDescent="0.25">
      <c r="A15" s="1">
        <v>13</v>
      </c>
      <c r="B15" s="2" t="s">
        <v>25</v>
      </c>
      <c r="C15" s="3" t="str">
        <f>C36</f>
        <v>Developer</v>
      </c>
      <c r="D15" s="3" t="s">
        <v>12</v>
      </c>
      <c r="E15" s="4">
        <f>E23</f>
        <v>4000000</v>
      </c>
      <c r="F15" s="4">
        <f>F23</f>
        <v>0</v>
      </c>
      <c r="G15" s="5">
        <f>G23</f>
        <v>0</v>
      </c>
      <c r="H15" s="5">
        <f t="shared" si="0"/>
        <v>5513200</v>
      </c>
      <c r="I15" s="5">
        <v>2800000</v>
      </c>
      <c r="J15" s="6">
        <v>0</v>
      </c>
      <c r="K15" s="6">
        <f t="shared" si="1"/>
        <v>3859240</v>
      </c>
      <c r="L15" s="38"/>
    </row>
    <row r="16" spans="1:14" hidden="1" x14ac:dyDescent="0.25">
      <c r="A16" s="41">
        <v>14</v>
      </c>
      <c r="B16" s="2" t="s">
        <v>26</v>
      </c>
      <c r="C16" s="3" t="str">
        <f>C37</f>
        <v>Developer senior</v>
      </c>
      <c r="D16" s="3" t="s">
        <v>17</v>
      </c>
      <c r="E16" s="4">
        <f>E26</f>
        <v>5300000</v>
      </c>
      <c r="F16" s="4">
        <f>F26</f>
        <v>0</v>
      </c>
      <c r="G16" s="5">
        <f>G26</f>
        <v>0</v>
      </c>
      <c r="H16" s="5">
        <f t="shared" si="0"/>
        <v>7304990</v>
      </c>
      <c r="I16" s="5">
        <v>3800000</v>
      </c>
      <c r="J16" s="6">
        <f>I16/12</f>
        <v>316666.66666666669</v>
      </c>
      <c r="K16" s="6">
        <f t="shared" si="1"/>
        <v>5554206.666666667</v>
      </c>
      <c r="L16" s="38"/>
      <c r="M16" s="45"/>
      <c r="N16"/>
    </row>
    <row r="17" spans="1:18" x14ac:dyDescent="0.25">
      <c r="A17" s="1">
        <v>15</v>
      </c>
      <c r="B17" s="2" t="s">
        <v>27</v>
      </c>
      <c r="C17" s="3" t="str">
        <f>C36</f>
        <v>Developer</v>
      </c>
      <c r="D17" s="3" t="s">
        <v>12</v>
      </c>
      <c r="E17" s="4">
        <v>3500000</v>
      </c>
      <c r="F17" s="4">
        <f>F29</f>
        <v>0</v>
      </c>
      <c r="G17" s="5">
        <f>G29</f>
        <v>0</v>
      </c>
      <c r="H17" s="5">
        <f t="shared" si="0"/>
        <v>4824050</v>
      </c>
      <c r="I17" s="5">
        <v>2800000</v>
      </c>
      <c r="J17" s="6">
        <f>I17/12</f>
        <v>233333.33333333334</v>
      </c>
      <c r="K17" s="6">
        <f t="shared" si="1"/>
        <v>4092573.3333333335</v>
      </c>
      <c r="L17" s="38"/>
    </row>
    <row r="18" spans="1:18" hidden="1" x14ac:dyDescent="0.25">
      <c r="A18" s="7"/>
      <c r="B18" s="8"/>
      <c r="C18" s="8"/>
      <c r="D18" s="8"/>
      <c r="E18" s="9"/>
      <c r="F18" s="9"/>
      <c r="G18" s="10" t="s">
        <v>28</v>
      </c>
      <c r="H18" s="11">
        <f>SUM(H3:H17)</f>
        <v>97859300</v>
      </c>
      <c r="I18" s="11"/>
      <c r="J18" s="11"/>
      <c r="K18" s="11">
        <f>SUM(K3:K17)</f>
        <v>71197013.333333328</v>
      </c>
      <c r="M18" s="45"/>
      <c r="O18" s="39"/>
      <c r="P18" s="39"/>
      <c r="Q18" s="39"/>
      <c r="R18" s="39"/>
    </row>
    <row r="19" spans="1:18" hidden="1" x14ac:dyDescent="0.25">
      <c r="A19" s="12"/>
      <c r="B19" s="8"/>
      <c r="C19" s="8"/>
      <c r="D19" s="8"/>
      <c r="E19" s="9"/>
      <c r="F19" s="9"/>
      <c r="G19" s="10" t="s">
        <v>29</v>
      </c>
      <c r="H19" s="11">
        <f>H18/4400</f>
        <v>22240.75</v>
      </c>
      <c r="I19" s="11"/>
      <c r="J19" s="11"/>
      <c r="K19" s="11">
        <f>K18/4400</f>
        <v>16181.139393939393</v>
      </c>
      <c r="M19" s="45"/>
      <c r="N19"/>
      <c r="O19" s="39"/>
      <c r="P19" s="39"/>
      <c r="Q19" s="39"/>
      <c r="R19" s="39"/>
    </row>
    <row r="20" spans="1:18" x14ac:dyDescent="0.25">
      <c r="A20" s="13"/>
      <c r="B20" s="13"/>
      <c r="C20" s="14"/>
      <c r="D20" s="13"/>
      <c r="E20" s="15"/>
      <c r="F20" s="15"/>
      <c r="G20" s="16"/>
      <c r="H20" s="17"/>
      <c r="I20" s="18"/>
      <c r="J20" s="31"/>
      <c r="K20" s="31"/>
    </row>
    <row r="21" spans="1:18" x14ac:dyDescent="0.25">
      <c r="A21" s="13"/>
      <c r="B21" s="13"/>
      <c r="C21" s="14"/>
      <c r="D21" s="13"/>
      <c r="E21" s="15"/>
      <c r="F21" s="15"/>
      <c r="G21" s="15"/>
      <c r="H21" s="19"/>
      <c r="I21" s="20"/>
      <c r="J21" s="18"/>
      <c r="K21" s="18"/>
      <c r="O21" s="40"/>
    </row>
    <row r="22" spans="1:18" ht="42" customHeight="1" x14ac:dyDescent="0.25">
      <c r="A22" s="21"/>
      <c r="B22" s="22"/>
      <c r="C22" s="8"/>
      <c r="D22" s="33"/>
      <c r="E22" s="33" t="s">
        <v>4</v>
      </c>
      <c r="F22" s="33" t="s">
        <v>5</v>
      </c>
      <c r="G22" s="33" t="s">
        <v>6</v>
      </c>
      <c r="H22" s="23"/>
      <c r="I22" s="18"/>
      <c r="J22" s="29"/>
      <c r="K22" s="29"/>
    </row>
    <row r="23" spans="1:18" x14ac:dyDescent="0.25">
      <c r="A23" s="22"/>
      <c r="B23" s="22"/>
      <c r="C23" s="3" t="s">
        <v>33</v>
      </c>
      <c r="D23" s="34"/>
      <c r="E23" s="6">
        <v>4000000</v>
      </c>
      <c r="F23" s="6">
        <v>0</v>
      </c>
      <c r="G23" s="6">
        <v>0</v>
      </c>
      <c r="H23" s="23"/>
      <c r="I23" s="18"/>
      <c r="J23" s="29"/>
      <c r="K23" s="29"/>
    </row>
    <row r="24" spans="1:18" x14ac:dyDescent="0.25">
      <c r="A24" s="22"/>
      <c r="B24" s="22"/>
      <c r="C24" s="3" t="s">
        <v>34</v>
      </c>
      <c r="D24" s="34"/>
      <c r="E24" s="35">
        <v>4000000</v>
      </c>
      <c r="F24" s="6">
        <v>0</v>
      </c>
      <c r="G24" s="6">
        <v>0</v>
      </c>
      <c r="H24" s="23"/>
      <c r="I24" s="18"/>
      <c r="J24" s="29"/>
      <c r="K24" s="29"/>
    </row>
    <row r="25" spans="1:18" x14ac:dyDescent="0.25">
      <c r="A25" s="22"/>
      <c r="B25" s="22"/>
      <c r="C25" s="3" t="s">
        <v>35</v>
      </c>
      <c r="D25" s="34"/>
      <c r="E25" s="6">
        <f>E24*1.15</f>
        <v>4600000</v>
      </c>
      <c r="F25" s="6">
        <v>0</v>
      </c>
      <c r="G25" s="6">
        <v>0</v>
      </c>
      <c r="H25" s="23">
        <f>E25-E24</f>
        <v>600000</v>
      </c>
      <c r="I25" s="18"/>
      <c r="J25" s="29"/>
      <c r="K25" s="29"/>
    </row>
    <row r="26" spans="1:18" x14ac:dyDescent="0.25">
      <c r="A26" s="22"/>
      <c r="B26" s="22"/>
      <c r="C26" s="34" t="s">
        <v>36</v>
      </c>
      <c r="D26" s="34"/>
      <c r="E26" s="6">
        <v>5300000</v>
      </c>
      <c r="F26" s="6">
        <v>0</v>
      </c>
      <c r="G26" s="6">
        <v>0</v>
      </c>
      <c r="H26" s="23">
        <f t="shared" ref="H26:H28" si="3">E26-E25</f>
        <v>700000</v>
      </c>
      <c r="I26" s="18"/>
      <c r="J26" s="29"/>
      <c r="K26" s="29"/>
    </row>
    <row r="27" spans="1:18" x14ac:dyDescent="0.25">
      <c r="A27" s="22"/>
      <c r="B27" s="22"/>
      <c r="C27" s="3" t="s">
        <v>37</v>
      </c>
      <c r="D27" s="34"/>
      <c r="E27" s="6">
        <v>6100000</v>
      </c>
      <c r="F27" s="6">
        <v>0</v>
      </c>
      <c r="G27" s="6">
        <v>0</v>
      </c>
      <c r="H27" s="23">
        <f t="shared" si="3"/>
        <v>800000</v>
      </c>
      <c r="I27" s="18"/>
      <c r="J27" s="29"/>
      <c r="K27" s="29"/>
    </row>
    <row r="28" spans="1:18" x14ac:dyDescent="0.25">
      <c r="A28" s="22"/>
      <c r="B28" s="22"/>
      <c r="C28" s="3" t="s">
        <v>38</v>
      </c>
      <c r="D28" s="34"/>
      <c r="E28" s="6">
        <v>7000000</v>
      </c>
      <c r="F28" s="6">
        <v>0</v>
      </c>
      <c r="G28" s="6">
        <v>0</v>
      </c>
      <c r="H28" s="23">
        <f t="shared" si="3"/>
        <v>900000</v>
      </c>
      <c r="I28" s="18"/>
      <c r="J28" s="30"/>
      <c r="K28" s="29"/>
    </row>
    <row r="29" spans="1:18" x14ac:dyDescent="0.25">
      <c r="A29" s="22"/>
      <c r="B29" s="22"/>
      <c r="C29" s="3" t="s">
        <v>39</v>
      </c>
      <c r="D29" s="34"/>
      <c r="E29" s="6">
        <v>4000000</v>
      </c>
      <c r="F29" s="6">
        <v>0</v>
      </c>
      <c r="G29" s="6">
        <v>0</v>
      </c>
      <c r="H29" s="23"/>
      <c r="I29" s="18"/>
      <c r="J29" s="23"/>
      <c r="K29" s="23"/>
    </row>
    <row r="30" spans="1:18" x14ac:dyDescent="0.25">
      <c r="A30" s="22"/>
      <c r="B30" s="22"/>
      <c r="C30" s="3" t="s">
        <v>40</v>
      </c>
      <c r="D30" s="34"/>
      <c r="E30" s="6">
        <v>6100000</v>
      </c>
      <c r="F30" s="6">
        <v>0</v>
      </c>
      <c r="G30" s="6">
        <v>0</v>
      </c>
      <c r="H30" s="23"/>
      <c r="I30" s="18"/>
      <c r="J30" s="23"/>
      <c r="K30" s="23"/>
    </row>
    <row r="31" spans="1:18" x14ac:dyDescent="0.25">
      <c r="A31" s="22"/>
      <c r="B31" s="22"/>
      <c r="C31" s="3" t="s">
        <v>41</v>
      </c>
      <c r="D31" s="34"/>
      <c r="E31" s="6">
        <v>7000000</v>
      </c>
      <c r="F31" s="6">
        <v>0</v>
      </c>
      <c r="G31" s="6">
        <v>0</v>
      </c>
      <c r="H31" s="23"/>
      <c r="I31" s="18"/>
      <c r="J31" s="23"/>
      <c r="K31" s="23"/>
      <c r="M31" s="84"/>
      <c r="N31" s="84"/>
    </row>
    <row r="32" spans="1:18" x14ac:dyDescent="0.25">
      <c r="C32" s="34" t="s">
        <v>45</v>
      </c>
      <c r="D32" s="36">
        <v>0.37830000000000003</v>
      </c>
      <c r="E32" s="37"/>
      <c r="F32" s="37"/>
      <c r="G32" s="37"/>
    </row>
    <row r="34" spans="3:13" x14ac:dyDescent="0.25">
      <c r="E34" s="43"/>
      <c r="F34" s="43"/>
    </row>
    <row r="35" spans="3:13" ht="25.5" x14ac:dyDescent="0.25">
      <c r="C35" s="8"/>
      <c r="D35" s="33"/>
      <c r="E35" s="33" t="s">
        <v>109</v>
      </c>
      <c r="F35" s="33" t="s">
        <v>110</v>
      </c>
      <c r="G35" s="33" t="s">
        <v>111</v>
      </c>
      <c r="H35" s="33" t="s">
        <v>112</v>
      </c>
      <c r="L35" s="45"/>
      <c r="M35" s="38"/>
    </row>
    <row r="36" spans="3:13" x14ac:dyDescent="0.25">
      <c r="C36" s="3" t="s">
        <v>113</v>
      </c>
      <c r="D36" s="34"/>
      <c r="E36" s="35">
        <v>3500000</v>
      </c>
      <c r="F36" s="6">
        <v>0</v>
      </c>
      <c r="G36" s="35">
        <v>4600000</v>
      </c>
      <c r="H36" s="6">
        <v>0</v>
      </c>
      <c r="L36" s="45"/>
      <c r="M36" s="38"/>
    </row>
    <row r="37" spans="3:13" x14ac:dyDescent="0.25">
      <c r="C37" s="3" t="s">
        <v>114</v>
      </c>
      <c r="D37" s="34"/>
      <c r="E37" s="6">
        <v>4600000</v>
      </c>
      <c r="F37" s="6">
        <v>0</v>
      </c>
      <c r="G37" s="35">
        <v>6000000</v>
      </c>
      <c r="H37" s="6">
        <v>0</v>
      </c>
      <c r="L37" s="45"/>
      <c r="M37" s="38"/>
    </row>
    <row r="38" spans="3:13" x14ac:dyDescent="0.25">
      <c r="C38" s="34" t="s">
        <v>117</v>
      </c>
      <c r="D38" s="34"/>
      <c r="E38" s="6">
        <v>6000000</v>
      </c>
      <c r="F38" s="6">
        <v>0</v>
      </c>
      <c r="G38" s="35">
        <f t="shared" ref="G38" si="4">E38*1.3</f>
        <v>7800000</v>
      </c>
      <c r="H38" s="6">
        <v>0</v>
      </c>
      <c r="L38" s="45"/>
      <c r="M38" s="38"/>
    </row>
    <row r="39" spans="3:13" x14ac:dyDescent="0.25">
      <c r="C39" s="3" t="s">
        <v>115</v>
      </c>
      <c r="D39" s="34"/>
      <c r="E39" s="35">
        <v>3500000</v>
      </c>
      <c r="F39" s="6">
        <v>0</v>
      </c>
      <c r="G39" s="35">
        <v>4600000</v>
      </c>
      <c r="H39" s="6">
        <v>0</v>
      </c>
      <c r="L39" s="45"/>
      <c r="M39" s="38"/>
    </row>
    <row r="40" spans="3:13" x14ac:dyDescent="0.25">
      <c r="C40" s="3" t="s">
        <v>116</v>
      </c>
      <c r="D40" s="34"/>
      <c r="E40" s="6">
        <v>4600000</v>
      </c>
      <c r="F40" s="6">
        <v>0</v>
      </c>
      <c r="G40" s="35">
        <v>6000000</v>
      </c>
      <c r="H40" s="6">
        <v>0</v>
      </c>
      <c r="L40" s="45"/>
      <c r="M40" s="38"/>
    </row>
    <row r="41" spans="3:13" x14ac:dyDescent="0.25">
      <c r="C41" s="3" t="s">
        <v>118</v>
      </c>
      <c r="D41" s="34"/>
      <c r="E41" s="6">
        <v>6000000</v>
      </c>
      <c r="F41" s="6">
        <v>0</v>
      </c>
      <c r="G41" s="35">
        <f t="shared" ref="G41" si="5">E41*1.3</f>
        <v>7800000</v>
      </c>
      <c r="H41" s="6">
        <v>0</v>
      </c>
      <c r="L41" s="45"/>
      <c r="M41" s="38"/>
    </row>
    <row r="42" spans="3:13" x14ac:dyDescent="0.25">
      <c r="E42" s="43"/>
      <c r="F42" s="43"/>
    </row>
    <row r="43" spans="3:13" x14ac:dyDescent="0.25">
      <c r="E43" s="44"/>
    </row>
  </sheetData>
  <autoFilter ref="A2:K19" xr:uid="{11E52A50-D12F-4458-89F8-B17BFA80FB7B}">
    <filterColumn colId="2">
      <filters>
        <filter val="Developer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E3685-C4A7-4E95-9CB5-37797096AF85}">
  <sheetPr filterMode="1"/>
  <dimension ref="A1:Q68"/>
  <sheetViews>
    <sheetView zoomScale="140" zoomScaleNormal="140" workbookViewId="0">
      <selection activeCell="E69" sqref="E69:E70"/>
    </sheetView>
  </sheetViews>
  <sheetFormatPr defaultRowHeight="12.75" x14ac:dyDescent="0.2"/>
  <cols>
    <col min="1" max="1" width="3.7109375" style="90" bestFit="1" customWidth="1"/>
    <col min="2" max="2" width="5.42578125" style="92" bestFit="1" customWidth="1"/>
    <col min="3" max="3" width="5.7109375" style="92" bestFit="1" customWidth="1"/>
    <col min="4" max="4" width="30.85546875" style="92" bestFit="1" customWidth="1"/>
    <col min="5" max="5" width="22" style="95" bestFit="1" customWidth="1"/>
    <col min="6" max="6" width="11.85546875" style="92" bestFit="1" customWidth="1"/>
    <col min="7" max="7" width="12.28515625" style="92" customWidth="1"/>
    <col min="8" max="10" width="12.28515625" style="90" customWidth="1"/>
    <col min="11" max="11" width="12.28515625" style="91" customWidth="1"/>
    <col min="12" max="12" width="36.5703125" style="90" bestFit="1" customWidth="1"/>
    <col min="13" max="13" width="12.28515625" style="99" customWidth="1"/>
    <col min="14" max="16" width="12.28515625" style="90" customWidth="1"/>
    <col min="17" max="16384" width="9.140625" style="90"/>
  </cols>
  <sheetData>
    <row r="1" spans="1:17" s="96" customFormat="1" ht="32.25" customHeight="1" x14ac:dyDescent="0.2">
      <c r="A1" s="48" t="s">
        <v>0</v>
      </c>
      <c r="B1" s="48" t="s">
        <v>46</v>
      </c>
      <c r="C1" s="48" t="s">
        <v>47</v>
      </c>
      <c r="D1" s="48" t="s">
        <v>48</v>
      </c>
      <c r="E1" s="48" t="s">
        <v>49</v>
      </c>
      <c r="F1" s="48" t="s">
        <v>50</v>
      </c>
      <c r="G1" s="49" t="s">
        <v>30</v>
      </c>
      <c r="H1" s="49" t="s">
        <v>31</v>
      </c>
      <c r="I1" s="49" t="s">
        <v>32</v>
      </c>
      <c r="J1" s="49" t="s">
        <v>51</v>
      </c>
      <c r="K1" s="49" t="s">
        <v>108</v>
      </c>
      <c r="M1" s="125"/>
      <c r="Q1" s="97"/>
    </row>
    <row r="2" spans="1:17" x14ac:dyDescent="0.2">
      <c r="A2" s="55">
        <v>1</v>
      </c>
      <c r="B2" s="55">
        <v>1</v>
      </c>
      <c r="C2" s="55" t="s">
        <v>52</v>
      </c>
      <c r="D2" s="56" t="s">
        <v>53</v>
      </c>
      <c r="E2" s="57" t="str">
        <f>D60</f>
        <v>Software architect</v>
      </c>
      <c r="F2" s="57" t="s">
        <v>54</v>
      </c>
      <c r="G2" s="50">
        <v>7800000</v>
      </c>
      <c r="H2" s="50">
        <v>650000</v>
      </c>
      <c r="I2" s="50">
        <v>0</v>
      </c>
      <c r="J2" s="58">
        <f t="shared" ref="J2:J46" si="0">((G2+I2)*(1+$F$67)+H2)</f>
        <v>11400740</v>
      </c>
      <c r="K2" s="78">
        <f>(G2+H2)-'Total actual'!K2</f>
        <v>0</v>
      </c>
      <c r="Q2" s="91"/>
    </row>
    <row r="3" spans="1:17" s="92" customFormat="1" hidden="1" x14ac:dyDescent="0.2">
      <c r="A3" s="55">
        <v>2</v>
      </c>
      <c r="B3" s="55">
        <v>1</v>
      </c>
      <c r="C3" s="55" t="s">
        <v>55</v>
      </c>
      <c r="D3" s="56" t="s">
        <v>11</v>
      </c>
      <c r="E3" s="57" t="str">
        <f>D54</f>
        <v>Developer senior</v>
      </c>
      <c r="F3" s="57" t="s">
        <v>12</v>
      </c>
      <c r="G3" s="50">
        <v>5300000</v>
      </c>
      <c r="H3" s="50">
        <v>0</v>
      </c>
      <c r="I3" s="50">
        <v>0</v>
      </c>
      <c r="J3" s="58">
        <f t="shared" si="0"/>
        <v>7304990</v>
      </c>
      <c r="K3" s="78">
        <f>(G3+H3)-'Total actual'!K3</f>
        <v>1183333.3333333335</v>
      </c>
      <c r="M3" s="124"/>
      <c r="Q3" s="93"/>
    </row>
    <row r="4" spans="1:17" s="92" customFormat="1" x14ac:dyDescent="0.2">
      <c r="A4" s="55">
        <v>3</v>
      </c>
      <c r="B4" s="55">
        <v>1</v>
      </c>
      <c r="C4" s="55" t="s">
        <v>52</v>
      </c>
      <c r="D4" s="56" t="s">
        <v>56</v>
      </c>
      <c r="E4" s="57" t="str">
        <f>D53</f>
        <v>Developer</v>
      </c>
      <c r="F4" s="57" t="s">
        <v>12</v>
      </c>
      <c r="G4" s="50">
        <v>2600000</v>
      </c>
      <c r="H4" s="50"/>
      <c r="I4" s="50">
        <v>0</v>
      </c>
      <c r="J4" s="58">
        <f t="shared" si="0"/>
        <v>3583580</v>
      </c>
      <c r="K4" s="78">
        <f>(G4+H4)-'Total actual'!K4</f>
        <v>108333.33333333349</v>
      </c>
      <c r="M4" s="124"/>
      <c r="Q4" s="93"/>
    </row>
    <row r="5" spans="1:17" s="92" customFormat="1" hidden="1" x14ac:dyDescent="0.2">
      <c r="A5" s="55">
        <v>4</v>
      </c>
      <c r="B5" s="55">
        <v>1</v>
      </c>
      <c r="C5" s="55" t="s">
        <v>55</v>
      </c>
      <c r="D5" s="56" t="s">
        <v>13</v>
      </c>
      <c r="E5" s="57" t="str">
        <f>D53</f>
        <v>Developer</v>
      </c>
      <c r="F5" s="57" t="s">
        <v>12</v>
      </c>
      <c r="G5" s="50">
        <v>4000000</v>
      </c>
      <c r="H5" s="50">
        <v>0</v>
      </c>
      <c r="I5" s="50">
        <v>0</v>
      </c>
      <c r="J5" s="58">
        <f t="shared" si="0"/>
        <v>5513200</v>
      </c>
      <c r="K5" s="78">
        <f>(G5+H5)-'Total actual'!K5</f>
        <v>1200000</v>
      </c>
      <c r="M5" s="124"/>
      <c r="Q5" s="93"/>
    </row>
    <row r="6" spans="1:17" s="92" customFormat="1" hidden="1" x14ac:dyDescent="0.2">
      <c r="A6" s="55">
        <v>5</v>
      </c>
      <c r="B6" s="55">
        <v>1</v>
      </c>
      <c r="C6" s="55" t="s">
        <v>55</v>
      </c>
      <c r="D6" s="56" t="s">
        <v>14</v>
      </c>
      <c r="E6" s="57" t="str">
        <f>D58</f>
        <v>Project manager senior</v>
      </c>
      <c r="F6" s="57" t="s">
        <v>12</v>
      </c>
      <c r="G6" s="50">
        <v>7000000</v>
      </c>
      <c r="H6" s="50">
        <v>0</v>
      </c>
      <c r="I6" s="58">
        <v>0</v>
      </c>
      <c r="J6" s="58">
        <f t="shared" si="0"/>
        <v>9648100</v>
      </c>
      <c r="K6" s="78">
        <f>(G6+H6)-'Total actual'!K6</f>
        <v>2016666.666666667</v>
      </c>
      <c r="M6" s="124"/>
      <c r="Q6" s="93"/>
    </row>
    <row r="7" spans="1:17" s="92" customFormat="1" x14ac:dyDescent="0.2">
      <c r="A7" s="55">
        <v>6</v>
      </c>
      <c r="B7" s="55">
        <v>1</v>
      </c>
      <c r="C7" s="55" t="s">
        <v>52</v>
      </c>
      <c r="D7" s="56" t="s">
        <v>57</v>
      </c>
      <c r="E7" s="57" t="str">
        <f>D54</f>
        <v>Developer senior</v>
      </c>
      <c r="F7" s="57" t="s">
        <v>12</v>
      </c>
      <c r="G7" s="50">
        <v>5300000</v>
      </c>
      <c r="H7" s="50">
        <v>0</v>
      </c>
      <c r="I7" s="50">
        <v>0</v>
      </c>
      <c r="J7" s="58">
        <f t="shared" si="0"/>
        <v>7304990</v>
      </c>
      <c r="K7" s="78">
        <f>(G7+H7)-'Total actual'!K7</f>
        <v>750000</v>
      </c>
      <c r="M7" s="124"/>
      <c r="Q7" s="93"/>
    </row>
    <row r="8" spans="1:17" s="92" customFormat="1" hidden="1" x14ac:dyDescent="0.2">
      <c r="A8" s="55">
        <v>7</v>
      </c>
      <c r="B8" s="55">
        <v>1</v>
      </c>
      <c r="C8" s="55" t="s">
        <v>55</v>
      </c>
      <c r="D8" s="56" t="s">
        <v>15</v>
      </c>
      <c r="E8" s="57" t="str">
        <f>D58</f>
        <v>Project manager senior</v>
      </c>
      <c r="F8" s="57" t="s">
        <v>12</v>
      </c>
      <c r="G8" s="50">
        <v>6100000</v>
      </c>
      <c r="H8" s="50">
        <v>0</v>
      </c>
      <c r="I8" s="58">
        <v>0</v>
      </c>
      <c r="J8" s="58">
        <f t="shared" si="0"/>
        <v>8407630</v>
      </c>
      <c r="K8" s="78">
        <f>(G8+H8)-'Total actual'!K8</f>
        <v>1550000</v>
      </c>
      <c r="M8" s="124"/>
      <c r="Q8" s="93"/>
    </row>
    <row r="9" spans="1:17" s="92" customFormat="1" hidden="1" x14ac:dyDescent="0.2">
      <c r="A9" s="55">
        <v>8</v>
      </c>
      <c r="B9" s="55">
        <v>1</v>
      </c>
      <c r="C9" s="55" t="s">
        <v>55</v>
      </c>
      <c r="D9" s="56" t="s">
        <v>16</v>
      </c>
      <c r="E9" s="57" t="str">
        <f>D53</f>
        <v>Developer</v>
      </c>
      <c r="F9" s="57" t="s">
        <v>17</v>
      </c>
      <c r="G9" s="50">
        <v>4000000</v>
      </c>
      <c r="H9" s="50">
        <v>0</v>
      </c>
      <c r="I9" s="50">
        <v>0</v>
      </c>
      <c r="J9" s="58">
        <f t="shared" si="0"/>
        <v>5513200</v>
      </c>
      <c r="K9" s="78">
        <f>(G9+H9)-'Total actual'!K9</f>
        <v>1700000</v>
      </c>
      <c r="M9" s="124"/>
      <c r="Q9" s="93"/>
    </row>
    <row r="10" spans="1:17" s="92" customFormat="1" hidden="1" x14ac:dyDescent="0.2">
      <c r="A10" s="55">
        <v>9</v>
      </c>
      <c r="B10" s="55" t="s">
        <v>58</v>
      </c>
      <c r="C10" s="55" t="s">
        <v>59</v>
      </c>
      <c r="D10" s="56" t="s">
        <v>60</v>
      </c>
      <c r="E10" s="59" t="str">
        <f>D64</f>
        <v>External</v>
      </c>
      <c r="F10" s="57" t="s">
        <v>12</v>
      </c>
      <c r="G10" s="50">
        <v>0</v>
      </c>
      <c r="H10" s="50">
        <v>3500000</v>
      </c>
      <c r="I10" s="58">
        <v>0</v>
      </c>
      <c r="J10" s="58">
        <f t="shared" si="0"/>
        <v>3500000</v>
      </c>
      <c r="K10" s="78">
        <f>(G10+H10)-'Total actual'!K10</f>
        <v>0</v>
      </c>
      <c r="M10" s="124"/>
      <c r="Q10" s="93"/>
    </row>
    <row r="11" spans="1:17" s="92" customFormat="1" hidden="1" x14ac:dyDescent="0.2">
      <c r="A11" s="55">
        <v>10</v>
      </c>
      <c r="B11" s="55">
        <v>1</v>
      </c>
      <c r="C11" s="55" t="s">
        <v>55</v>
      </c>
      <c r="D11" s="56" t="s">
        <v>18</v>
      </c>
      <c r="E11" s="57" t="str">
        <f>D53</f>
        <v>Developer</v>
      </c>
      <c r="F11" s="57" t="s">
        <v>17</v>
      </c>
      <c r="G11" s="50">
        <v>4600000</v>
      </c>
      <c r="H11" s="50">
        <v>0</v>
      </c>
      <c r="I11" s="50">
        <v>0</v>
      </c>
      <c r="J11" s="58">
        <f t="shared" si="0"/>
        <v>6340180</v>
      </c>
      <c r="K11" s="78">
        <f>(G11+H11)-'Total actual'!K11</f>
        <v>1400000</v>
      </c>
      <c r="M11" s="124"/>
      <c r="Q11" s="93"/>
    </row>
    <row r="12" spans="1:17" s="92" customFormat="1" hidden="1" x14ac:dyDescent="0.2">
      <c r="A12" s="55">
        <v>11</v>
      </c>
      <c r="B12" s="55">
        <v>1</v>
      </c>
      <c r="C12" s="55" t="s">
        <v>55</v>
      </c>
      <c r="D12" s="56" t="s">
        <v>19</v>
      </c>
      <c r="E12" s="57" t="str">
        <f>D54</f>
        <v>Developer senior</v>
      </c>
      <c r="F12" s="57" t="s">
        <v>12</v>
      </c>
      <c r="G12" s="50">
        <v>5300000</v>
      </c>
      <c r="H12" s="50">
        <v>0</v>
      </c>
      <c r="I12" s="50">
        <v>0</v>
      </c>
      <c r="J12" s="58">
        <f t="shared" si="0"/>
        <v>7304990</v>
      </c>
      <c r="K12" s="78">
        <f>(G12+H12)-'Total actual'!K12</f>
        <v>1183333.3333333335</v>
      </c>
      <c r="M12" s="124"/>
      <c r="Q12" s="93"/>
    </row>
    <row r="13" spans="1:17" s="92" customFormat="1" hidden="1" x14ac:dyDescent="0.2">
      <c r="A13" s="55">
        <v>12</v>
      </c>
      <c r="B13" s="55">
        <v>0</v>
      </c>
      <c r="C13" s="55" t="s">
        <v>59</v>
      </c>
      <c r="D13" s="60" t="s">
        <v>61</v>
      </c>
      <c r="E13" s="57" t="str">
        <f>D63</f>
        <v>Payroll asistant/Assistant</v>
      </c>
      <c r="F13" s="57" t="s">
        <v>12</v>
      </c>
      <c r="G13" s="50">
        <v>0</v>
      </c>
      <c r="H13" s="50">
        <v>900000</v>
      </c>
      <c r="I13" s="58">
        <v>0</v>
      </c>
      <c r="J13" s="58">
        <f t="shared" si="0"/>
        <v>900000</v>
      </c>
      <c r="K13" s="78">
        <f>(G13+H13)-'Total actual'!K13</f>
        <v>50000</v>
      </c>
      <c r="M13" s="124"/>
      <c r="Q13" s="93"/>
    </row>
    <row r="14" spans="1:17" s="92" customFormat="1" x14ac:dyDescent="0.2">
      <c r="A14" s="55">
        <v>13</v>
      </c>
      <c r="B14" s="55">
        <v>1</v>
      </c>
      <c r="C14" s="55" t="s">
        <v>52</v>
      </c>
      <c r="D14" s="60" t="s">
        <v>62</v>
      </c>
      <c r="E14" s="57" t="str">
        <f>D54</f>
        <v>Developer senior</v>
      </c>
      <c r="F14" s="57" t="s">
        <v>12</v>
      </c>
      <c r="G14" s="50">
        <v>5300000</v>
      </c>
      <c r="H14" s="50">
        <v>0</v>
      </c>
      <c r="I14" s="50">
        <v>0</v>
      </c>
      <c r="J14" s="58">
        <f t="shared" si="0"/>
        <v>7304990</v>
      </c>
      <c r="K14" s="78">
        <f>(G14+H14)-'Total actual'!K14</f>
        <v>1183333.3333333335</v>
      </c>
      <c r="M14" s="124"/>
      <c r="Q14" s="93"/>
    </row>
    <row r="15" spans="1:17" s="92" customFormat="1" x14ac:dyDescent="0.2">
      <c r="A15" s="55">
        <v>14</v>
      </c>
      <c r="B15" s="55">
        <v>1</v>
      </c>
      <c r="C15" s="55" t="s">
        <v>52</v>
      </c>
      <c r="D15" s="56" t="s">
        <v>107</v>
      </c>
      <c r="E15" s="57" t="str">
        <f>D53</f>
        <v>Developer</v>
      </c>
      <c r="F15" s="57" t="s">
        <v>12</v>
      </c>
      <c r="G15" s="50">
        <v>2600000</v>
      </c>
      <c r="H15" s="50"/>
      <c r="I15" s="50">
        <v>0</v>
      </c>
      <c r="J15" s="58">
        <f t="shared" si="0"/>
        <v>3583580</v>
      </c>
      <c r="K15" s="78">
        <f>(G15+H15)-'Total actual'!K16</f>
        <v>100000</v>
      </c>
      <c r="M15" s="124"/>
      <c r="Q15" s="93"/>
    </row>
    <row r="16" spans="1:17" s="92" customFormat="1" hidden="1" x14ac:dyDescent="0.2">
      <c r="A16" s="55">
        <v>15</v>
      </c>
      <c r="B16" s="55">
        <v>1</v>
      </c>
      <c r="C16" s="55" t="s">
        <v>55</v>
      </c>
      <c r="D16" s="56" t="s">
        <v>20</v>
      </c>
      <c r="E16" s="57" t="str">
        <f>D54</f>
        <v>Developer senior</v>
      </c>
      <c r="F16" s="57" t="s">
        <v>12</v>
      </c>
      <c r="G16" s="50">
        <v>7000000</v>
      </c>
      <c r="H16" s="50">
        <v>0</v>
      </c>
      <c r="I16" s="58">
        <v>0</v>
      </c>
      <c r="J16" s="58">
        <f t="shared" si="0"/>
        <v>9648100</v>
      </c>
      <c r="K16" s="78">
        <f>(G16+H16)-'Total actual'!K17</f>
        <v>2016666.666666667</v>
      </c>
      <c r="M16" s="124"/>
      <c r="Q16" s="93"/>
    </row>
    <row r="17" spans="1:17" s="92" customFormat="1" x14ac:dyDescent="0.2">
      <c r="A17" s="55">
        <v>16</v>
      </c>
      <c r="B17" s="55">
        <v>1</v>
      </c>
      <c r="C17" s="55" t="s">
        <v>52</v>
      </c>
      <c r="D17" s="56" t="s">
        <v>64</v>
      </c>
      <c r="E17" s="57" t="str">
        <f>D54</f>
        <v>Developer senior</v>
      </c>
      <c r="F17" s="57" t="s">
        <v>12</v>
      </c>
      <c r="G17" s="50">
        <v>5300000</v>
      </c>
      <c r="H17" s="50">
        <v>0</v>
      </c>
      <c r="I17" s="58">
        <v>0</v>
      </c>
      <c r="J17" s="58">
        <f t="shared" si="0"/>
        <v>7304990</v>
      </c>
      <c r="K17" s="78">
        <f>(G17+H17)-'Total actual'!K18</f>
        <v>533333.33333333302</v>
      </c>
      <c r="M17" s="124"/>
      <c r="Q17" s="93"/>
    </row>
    <row r="18" spans="1:17" s="92" customFormat="1" x14ac:dyDescent="0.2">
      <c r="A18" s="55">
        <v>17</v>
      </c>
      <c r="B18" s="55">
        <v>1</v>
      </c>
      <c r="C18" s="55" t="s">
        <v>52</v>
      </c>
      <c r="D18" s="56" t="s">
        <v>65</v>
      </c>
      <c r="E18" s="57" t="str">
        <f>D53</f>
        <v>Developer</v>
      </c>
      <c r="F18" s="57" t="s">
        <v>12</v>
      </c>
      <c r="G18" s="50">
        <v>3200000</v>
      </c>
      <c r="H18" s="50">
        <v>0</v>
      </c>
      <c r="I18" s="58">
        <v>0</v>
      </c>
      <c r="J18" s="58">
        <f t="shared" si="0"/>
        <v>4410560</v>
      </c>
      <c r="K18" s="78">
        <f>(G18+H18)-'Total actual'!K19</f>
        <v>400000</v>
      </c>
      <c r="M18" s="124"/>
      <c r="Q18" s="93"/>
    </row>
    <row r="19" spans="1:17" s="92" customFormat="1" x14ac:dyDescent="0.2">
      <c r="A19" s="55">
        <v>18</v>
      </c>
      <c r="B19" s="55">
        <v>1</v>
      </c>
      <c r="C19" s="55" t="s">
        <v>52</v>
      </c>
      <c r="D19" s="56" t="s">
        <v>66</v>
      </c>
      <c r="E19" s="57" t="str">
        <f>D53</f>
        <v>Developer</v>
      </c>
      <c r="F19" s="57" t="s">
        <v>12</v>
      </c>
      <c r="G19" s="50">
        <v>4200000</v>
      </c>
      <c r="H19" s="50">
        <v>350000</v>
      </c>
      <c r="I19" s="50">
        <v>0</v>
      </c>
      <c r="J19" s="58">
        <f t="shared" si="0"/>
        <v>6138860</v>
      </c>
      <c r="K19" s="78">
        <f>(G19+H19)-'Total actual'!K20</f>
        <v>433333.33333333349</v>
      </c>
      <c r="M19" s="124"/>
      <c r="N19" s="93"/>
      <c r="Q19" s="93"/>
    </row>
    <row r="20" spans="1:17" s="92" customFormat="1" hidden="1" x14ac:dyDescent="0.2">
      <c r="A20" s="55">
        <v>19</v>
      </c>
      <c r="B20" s="55">
        <v>1</v>
      </c>
      <c r="C20" s="55" t="s">
        <v>55</v>
      </c>
      <c r="D20" s="56" t="s">
        <v>21</v>
      </c>
      <c r="E20" s="57" t="str">
        <f>D53</f>
        <v>Developer</v>
      </c>
      <c r="F20" s="57" t="s">
        <v>12</v>
      </c>
      <c r="G20" s="50">
        <v>4000000</v>
      </c>
      <c r="H20" s="50">
        <v>0</v>
      </c>
      <c r="I20" s="50">
        <v>0</v>
      </c>
      <c r="J20" s="58">
        <f t="shared" si="0"/>
        <v>5513200</v>
      </c>
      <c r="K20" s="78">
        <f>(G20+H20)-'Total actual'!K21</f>
        <v>1200000</v>
      </c>
      <c r="M20" s="124"/>
      <c r="N20" s="93"/>
      <c r="Q20" s="93"/>
    </row>
    <row r="21" spans="1:17" s="92" customFormat="1" x14ac:dyDescent="0.2">
      <c r="A21" s="55">
        <v>20</v>
      </c>
      <c r="B21" s="55">
        <v>1</v>
      </c>
      <c r="C21" s="55" t="s">
        <v>52</v>
      </c>
      <c r="D21" s="56" t="s">
        <v>67</v>
      </c>
      <c r="E21" s="57" t="str">
        <f>D53</f>
        <v>Developer</v>
      </c>
      <c r="F21" s="57" t="s">
        <v>12</v>
      </c>
      <c r="G21" s="50">
        <v>4200000</v>
      </c>
      <c r="H21" s="50">
        <v>350000</v>
      </c>
      <c r="I21" s="50">
        <v>0</v>
      </c>
      <c r="J21" s="58">
        <f t="shared" si="0"/>
        <v>6138860</v>
      </c>
      <c r="K21" s="78">
        <f>(G21+H21)-'Total actual'!K22</f>
        <v>433333.33333333349</v>
      </c>
      <c r="M21" s="124"/>
      <c r="N21" s="93"/>
      <c r="Q21" s="93"/>
    </row>
    <row r="22" spans="1:17" s="92" customFormat="1" x14ac:dyDescent="0.2">
      <c r="A22" s="116">
        <v>21</v>
      </c>
      <c r="B22" s="116">
        <v>0</v>
      </c>
      <c r="C22" s="116" t="s">
        <v>52</v>
      </c>
      <c r="D22" s="121" t="s">
        <v>68</v>
      </c>
      <c r="E22" s="122" t="str">
        <f>D52</f>
        <v>Support</v>
      </c>
      <c r="F22" s="117" t="s">
        <v>12</v>
      </c>
      <c r="G22" s="118">
        <f>1560000+102854</f>
        <v>1662854</v>
      </c>
      <c r="H22" s="118">
        <v>0</v>
      </c>
      <c r="I22" s="119">
        <v>102854</v>
      </c>
      <c r="J22" s="119">
        <f t="shared" si="0"/>
        <v>2433675.3363999999</v>
      </c>
      <c r="K22" s="120">
        <f>(G22+H22)-'Total actual'!K23</f>
        <v>162854</v>
      </c>
      <c r="M22" s="124"/>
      <c r="N22" s="93"/>
      <c r="Q22" s="93"/>
    </row>
    <row r="23" spans="1:17" s="92" customFormat="1" x14ac:dyDescent="0.2">
      <c r="A23" s="116">
        <v>22</v>
      </c>
      <c r="B23" s="116">
        <v>1</v>
      </c>
      <c r="C23" s="116" t="s">
        <v>52</v>
      </c>
      <c r="D23" s="121" t="s">
        <v>69</v>
      </c>
      <c r="E23" s="117" t="str">
        <f>D57</f>
        <v>Project manager</v>
      </c>
      <c r="F23" s="117" t="s">
        <v>12</v>
      </c>
      <c r="G23" s="118">
        <v>3000000</v>
      </c>
      <c r="H23" s="118">
        <v>0</v>
      </c>
      <c r="I23" s="119">
        <v>0</v>
      </c>
      <c r="J23" s="119">
        <f t="shared" si="0"/>
        <v>4134900.0000000005</v>
      </c>
      <c r="K23" s="120">
        <f>(G23+H23)-'Total actual'!K24</f>
        <v>50000</v>
      </c>
      <c r="L23" s="92" t="s">
        <v>126</v>
      </c>
      <c r="M23" s="124"/>
      <c r="N23" s="93"/>
      <c r="Q23" s="93"/>
    </row>
    <row r="24" spans="1:17" s="92" customFormat="1" hidden="1" x14ac:dyDescent="0.2">
      <c r="A24" s="55">
        <v>23</v>
      </c>
      <c r="B24" s="55">
        <v>1</v>
      </c>
      <c r="C24" s="55" t="s">
        <v>55</v>
      </c>
      <c r="D24" s="56" t="s">
        <v>22</v>
      </c>
      <c r="E24" s="57" t="str">
        <f>D55</f>
        <v>QA analyst</v>
      </c>
      <c r="F24" s="57" t="s">
        <v>12</v>
      </c>
      <c r="G24" s="50">
        <v>4000000</v>
      </c>
      <c r="H24" s="50">
        <v>0</v>
      </c>
      <c r="I24" s="58">
        <v>0</v>
      </c>
      <c r="J24" s="58">
        <f t="shared" si="0"/>
        <v>5513200</v>
      </c>
      <c r="K24" s="78">
        <f>(G24+H24)-'Total actual'!K25</f>
        <v>2300000</v>
      </c>
      <c r="M24" s="124"/>
      <c r="N24" s="93"/>
      <c r="Q24" s="93"/>
    </row>
    <row r="25" spans="1:17" s="92" customFormat="1" x14ac:dyDescent="0.2">
      <c r="A25" s="55">
        <v>24</v>
      </c>
      <c r="B25" s="55">
        <v>1</v>
      </c>
      <c r="C25" s="55" t="s">
        <v>52</v>
      </c>
      <c r="D25" s="56" t="s">
        <v>70</v>
      </c>
      <c r="E25" s="57" t="str">
        <f>D54</f>
        <v>Developer senior</v>
      </c>
      <c r="F25" s="57" t="s">
        <v>12</v>
      </c>
      <c r="G25" s="50">
        <v>5300000</v>
      </c>
      <c r="H25" s="50">
        <v>0</v>
      </c>
      <c r="I25" s="50">
        <v>0</v>
      </c>
      <c r="J25" s="58">
        <f t="shared" si="0"/>
        <v>7304990</v>
      </c>
      <c r="K25" s="78">
        <f>(G25+H25)-'Total actual'!K26</f>
        <v>1183333.3333333335</v>
      </c>
      <c r="M25" s="124"/>
      <c r="N25" s="93"/>
      <c r="Q25" s="93"/>
    </row>
    <row r="26" spans="1:17" s="92" customFormat="1" x14ac:dyDescent="0.2">
      <c r="A26" s="55">
        <v>25</v>
      </c>
      <c r="B26" s="55">
        <v>0</v>
      </c>
      <c r="C26" s="55" t="s">
        <v>52</v>
      </c>
      <c r="D26" s="56" t="s">
        <v>71</v>
      </c>
      <c r="E26" s="57" t="str">
        <f>D53</f>
        <v>Developer</v>
      </c>
      <c r="F26" s="57" t="s">
        <v>12</v>
      </c>
      <c r="G26" s="50">
        <v>2850000</v>
      </c>
      <c r="H26" s="50">
        <v>0</v>
      </c>
      <c r="I26" s="58">
        <v>0</v>
      </c>
      <c r="J26" s="58">
        <f t="shared" si="0"/>
        <v>3928155</v>
      </c>
      <c r="K26" s="78">
        <f>(G26+H26)-'Total actual'!K27</f>
        <v>50000</v>
      </c>
      <c r="L26" s="92" t="s">
        <v>125</v>
      </c>
      <c r="M26" s="124"/>
      <c r="N26" s="93"/>
      <c r="Q26" s="93"/>
    </row>
    <row r="27" spans="1:17" s="92" customFormat="1" x14ac:dyDescent="0.2">
      <c r="A27" s="55">
        <v>26</v>
      </c>
      <c r="B27" s="55">
        <v>1</v>
      </c>
      <c r="C27" s="55" t="s">
        <v>52</v>
      </c>
      <c r="D27" s="56" t="s">
        <v>72</v>
      </c>
      <c r="E27" s="57" t="str">
        <f>D53</f>
        <v>Developer</v>
      </c>
      <c r="F27" s="57" t="s">
        <v>12</v>
      </c>
      <c r="G27" s="50">
        <v>3500000</v>
      </c>
      <c r="H27" s="50">
        <v>291666.66666666669</v>
      </c>
      <c r="I27" s="58">
        <v>0</v>
      </c>
      <c r="J27" s="58">
        <f t="shared" si="0"/>
        <v>5115716.666666667</v>
      </c>
      <c r="K27" s="78">
        <f>(G27+H27)-'Total actual'!K28</f>
        <v>325000</v>
      </c>
      <c r="M27" s="124"/>
      <c r="N27" s="93"/>
      <c r="Q27" s="93"/>
    </row>
    <row r="28" spans="1:17" s="92" customFormat="1" x14ac:dyDescent="0.2">
      <c r="A28" s="55">
        <v>27</v>
      </c>
      <c r="B28" s="55">
        <v>0</v>
      </c>
      <c r="C28" s="55" t="s">
        <v>52</v>
      </c>
      <c r="D28" s="56" t="s">
        <v>73</v>
      </c>
      <c r="E28" s="57" t="str">
        <f>D65</f>
        <v>SIG coordinator</v>
      </c>
      <c r="F28" s="57" t="s">
        <v>12</v>
      </c>
      <c r="G28" s="50">
        <v>0</v>
      </c>
      <c r="H28" s="50">
        <v>1500000</v>
      </c>
      <c r="I28" s="58">
        <v>0</v>
      </c>
      <c r="J28" s="58">
        <f t="shared" si="0"/>
        <v>1500000</v>
      </c>
      <c r="K28" s="78">
        <f>(G28+H28)-'Total actual'!K29</f>
        <v>50000</v>
      </c>
      <c r="M28" s="124"/>
      <c r="N28" s="93"/>
      <c r="Q28" s="93"/>
    </row>
    <row r="29" spans="1:17" s="92" customFormat="1" x14ac:dyDescent="0.2">
      <c r="A29" s="116">
        <v>28</v>
      </c>
      <c r="B29" s="116">
        <v>0</v>
      </c>
      <c r="C29" s="116" t="s">
        <v>52</v>
      </c>
      <c r="D29" s="121" t="s">
        <v>74</v>
      </c>
      <c r="E29" s="117" t="str">
        <f>D61</f>
        <v>Key account manager</v>
      </c>
      <c r="F29" s="117" t="s">
        <v>76</v>
      </c>
      <c r="G29" s="118">
        <v>3000000</v>
      </c>
      <c r="H29" s="118">
        <v>0</v>
      </c>
      <c r="I29" s="119">
        <v>0</v>
      </c>
      <c r="J29" s="119">
        <f t="shared" si="0"/>
        <v>4134900.0000000005</v>
      </c>
      <c r="K29" s="120">
        <f>(G29+H29)-'Total actual'!K30</f>
        <v>0</v>
      </c>
      <c r="M29" s="124"/>
      <c r="N29" s="93"/>
      <c r="Q29" s="93"/>
    </row>
    <row r="30" spans="1:17" s="92" customFormat="1" x14ac:dyDescent="0.2">
      <c r="A30" s="55">
        <v>29</v>
      </c>
      <c r="B30" s="55">
        <v>0</v>
      </c>
      <c r="C30" s="55" t="s">
        <v>52</v>
      </c>
      <c r="D30" s="56" t="s">
        <v>77</v>
      </c>
      <c r="E30" s="57" t="str">
        <f>D59</f>
        <v>Administrative assistant</v>
      </c>
      <c r="F30" s="57" t="s">
        <v>12</v>
      </c>
      <c r="G30" s="50">
        <v>2400000</v>
      </c>
      <c r="H30" s="50">
        <v>0</v>
      </c>
      <c r="I30" s="58">
        <v>0</v>
      </c>
      <c r="J30" s="58">
        <f t="shared" si="0"/>
        <v>3307920</v>
      </c>
      <c r="K30" s="78">
        <f>(G30+H30)-'Total actual'!K31</f>
        <v>100000</v>
      </c>
      <c r="M30" s="124"/>
      <c r="N30" s="93"/>
      <c r="Q30" s="93"/>
    </row>
    <row r="31" spans="1:17" s="92" customFormat="1" x14ac:dyDescent="0.2">
      <c r="A31" s="55">
        <v>30</v>
      </c>
      <c r="B31" s="55">
        <v>1</v>
      </c>
      <c r="C31" s="55" t="s">
        <v>52</v>
      </c>
      <c r="D31" s="56" t="s">
        <v>78</v>
      </c>
      <c r="E31" s="57" t="str">
        <f>D53</f>
        <v>Developer</v>
      </c>
      <c r="F31" s="57" t="s">
        <v>12</v>
      </c>
      <c r="G31" s="50">
        <v>3500000</v>
      </c>
      <c r="H31" s="50">
        <v>0</v>
      </c>
      <c r="I31" s="58">
        <v>0</v>
      </c>
      <c r="J31" s="58">
        <f t="shared" si="0"/>
        <v>4824050</v>
      </c>
      <c r="K31" s="78">
        <f>(G31+H31)-'Total actual'!K32</f>
        <v>700000</v>
      </c>
      <c r="M31" s="124"/>
      <c r="N31" s="93"/>
      <c r="Q31" s="93"/>
    </row>
    <row r="32" spans="1:17" s="92" customFormat="1" hidden="1" x14ac:dyDescent="0.2">
      <c r="A32" s="55">
        <v>31</v>
      </c>
      <c r="B32" s="55">
        <v>1</v>
      </c>
      <c r="C32" s="55" t="s">
        <v>55</v>
      </c>
      <c r="D32" s="56" t="s">
        <v>23</v>
      </c>
      <c r="E32" s="57" t="str">
        <f>D57</f>
        <v>Project manager</v>
      </c>
      <c r="F32" s="57" t="s">
        <v>12</v>
      </c>
      <c r="G32" s="50">
        <v>4000000</v>
      </c>
      <c r="H32" s="50">
        <v>0</v>
      </c>
      <c r="I32" s="58">
        <v>0</v>
      </c>
      <c r="J32" s="58">
        <f t="shared" si="0"/>
        <v>5513200</v>
      </c>
      <c r="K32" s="78">
        <f>(G32+H32)-'Total actual'!K33</f>
        <v>533333.33333333349</v>
      </c>
      <c r="L32" s="92" t="s">
        <v>124</v>
      </c>
      <c r="M32" s="124"/>
      <c r="N32" s="93"/>
      <c r="Q32" s="93"/>
    </row>
    <row r="33" spans="1:17" s="92" customFormat="1" x14ac:dyDescent="0.2">
      <c r="A33" s="116">
        <v>32</v>
      </c>
      <c r="B33" s="116">
        <v>0.25</v>
      </c>
      <c r="C33" s="116" t="s">
        <v>52</v>
      </c>
      <c r="D33" s="121" t="s">
        <v>79</v>
      </c>
      <c r="E33" s="117" t="str">
        <f>D61</f>
        <v>Key account manager</v>
      </c>
      <c r="F33" s="117" t="s">
        <v>12</v>
      </c>
      <c r="G33" s="118">
        <v>5000000</v>
      </c>
      <c r="H33" s="118">
        <v>0</v>
      </c>
      <c r="I33" s="119">
        <v>0</v>
      </c>
      <c r="J33" s="119">
        <f t="shared" si="0"/>
        <v>6891500</v>
      </c>
      <c r="K33" s="120">
        <f>(G33+H33)-'Total actual'!K34</f>
        <v>0</v>
      </c>
      <c r="M33" s="124"/>
      <c r="N33" s="93"/>
      <c r="Q33" s="93"/>
    </row>
    <row r="34" spans="1:17" s="92" customFormat="1" hidden="1" x14ac:dyDescent="0.2">
      <c r="A34" s="55">
        <v>33</v>
      </c>
      <c r="B34" s="55">
        <v>1</v>
      </c>
      <c r="C34" s="55" t="s">
        <v>55</v>
      </c>
      <c r="D34" s="56" t="s">
        <v>24</v>
      </c>
      <c r="E34" s="57" t="str">
        <f>D53</f>
        <v>Developer</v>
      </c>
      <c r="F34" s="57" t="s">
        <v>17</v>
      </c>
      <c r="G34" s="50">
        <v>4600000</v>
      </c>
      <c r="H34" s="50">
        <v>0</v>
      </c>
      <c r="I34" s="58">
        <v>0</v>
      </c>
      <c r="J34" s="58">
        <f t="shared" si="0"/>
        <v>6340180</v>
      </c>
      <c r="K34" s="78">
        <f>(G34+H34)-'Total actual'!K35</f>
        <v>1133333.3333333335</v>
      </c>
      <c r="M34" s="124"/>
      <c r="N34" s="93"/>
      <c r="Q34" s="93"/>
    </row>
    <row r="35" spans="1:17" s="92" customFormat="1" hidden="1" x14ac:dyDescent="0.2">
      <c r="A35" s="55">
        <v>34</v>
      </c>
      <c r="B35" s="55">
        <v>1</v>
      </c>
      <c r="C35" s="55" t="s">
        <v>55</v>
      </c>
      <c r="D35" s="56" t="s">
        <v>25</v>
      </c>
      <c r="E35" s="57" t="str">
        <f>D55</f>
        <v>QA analyst</v>
      </c>
      <c r="F35" s="57" t="s">
        <v>12</v>
      </c>
      <c r="G35" s="50">
        <v>4000000</v>
      </c>
      <c r="H35" s="50">
        <v>0</v>
      </c>
      <c r="I35" s="58">
        <v>0</v>
      </c>
      <c r="J35" s="58">
        <f t="shared" si="0"/>
        <v>5513200</v>
      </c>
      <c r="K35" s="78">
        <f>(G35+H35)-'Total actual'!K36</f>
        <v>1200000</v>
      </c>
      <c r="M35" s="124"/>
      <c r="N35" s="93"/>
      <c r="Q35" s="93"/>
    </row>
    <row r="36" spans="1:17" s="92" customFormat="1" hidden="1" x14ac:dyDescent="0.2">
      <c r="A36" s="55">
        <v>35</v>
      </c>
      <c r="B36" s="55">
        <v>0</v>
      </c>
      <c r="C36" s="55" t="s">
        <v>59</v>
      </c>
      <c r="D36" s="60" t="s">
        <v>80</v>
      </c>
      <c r="E36" s="57" t="str">
        <f>D63</f>
        <v>Payroll asistant/Assistant</v>
      </c>
      <c r="F36" s="57" t="s">
        <v>12</v>
      </c>
      <c r="G36" s="50">
        <v>0</v>
      </c>
      <c r="H36" s="50">
        <v>900000</v>
      </c>
      <c r="I36" s="58">
        <v>0</v>
      </c>
      <c r="J36" s="58">
        <f t="shared" si="0"/>
        <v>900000</v>
      </c>
      <c r="K36" s="78">
        <f>(G36+H36)-'Total actual'!K37</f>
        <v>50000</v>
      </c>
      <c r="M36" s="124"/>
      <c r="N36" s="93"/>
      <c r="Q36" s="93"/>
    </row>
    <row r="37" spans="1:17" s="92" customFormat="1" x14ac:dyDescent="0.2">
      <c r="A37" s="55">
        <v>36</v>
      </c>
      <c r="B37" s="55">
        <v>0</v>
      </c>
      <c r="C37" s="55" t="s">
        <v>52</v>
      </c>
      <c r="D37" s="60" t="s">
        <v>81</v>
      </c>
      <c r="E37" s="57" t="str">
        <f>D66</f>
        <v>Accountant</v>
      </c>
      <c r="F37" s="57" t="s">
        <v>12</v>
      </c>
      <c r="G37" s="50">
        <v>0</v>
      </c>
      <c r="H37" s="50">
        <v>900000</v>
      </c>
      <c r="I37" s="58">
        <v>0</v>
      </c>
      <c r="J37" s="58">
        <f t="shared" si="0"/>
        <v>900000</v>
      </c>
      <c r="K37" s="78">
        <f>(G37+H37)-'Total actual'!K38</f>
        <v>50000</v>
      </c>
      <c r="M37" s="124"/>
      <c r="N37" s="93"/>
      <c r="Q37" s="93"/>
    </row>
    <row r="38" spans="1:17" s="92" customFormat="1" x14ac:dyDescent="0.2">
      <c r="A38" s="55">
        <v>37</v>
      </c>
      <c r="B38" s="55">
        <v>1</v>
      </c>
      <c r="C38" s="55" t="s">
        <v>52</v>
      </c>
      <c r="D38" s="60" t="s">
        <v>82</v>
      </c>
      <c r="E38" s="57" t="str">
        <f>D53</f>
        <v>Developer</v>
      </c>
      <c r="F38" s="57" t="s">
        <v>17</v>
      </c>
      <c r="G38" s="50">
        <v>3500000</v>
      </c>
      <c r="H38" s="50">
        <v>0</v>
      </c>
      <c r="I38" s="58">
        <v>0</v>
      </c>
      <c r="J38" s="58">
        <f t="shared" si="0"/>
        <v>4824050</v>
      </c>
      <c r="K38" s="78">
        <f>(G38+H38)-'Total actual'!K39</f>
        <v>700000</v>
      </c>
      <c r="M38" s="124"/>
      <c r="N38" s="93"/>
      <c r="Q38" s="93"/>
    </row>
    <row r="39" spans="1:17" s="92" customFormat="1" x14ac:dyDescent="0.2">
      <c r="A39" s="55">
        <v>38</v>
      </c>
      <c r="B39" s="55">
        <v>0</v>
      </c>
      <c r="C39" s="55" t="s">
        <v>52</v>
      </c>
      <c r="D39" s="60" t="s">
        <v>83</v>
      </c>
      <c r="E39" s="57" t="str">
        <f>D62</f>
        <v>Manager/Submanager</v>
      </c>
      <c r="F39" s="57" t="s">
        <v>12</v>
      </c>
      <c r="G39" s="50">
        <v>0</v>
      </c>
      <c r="H39" s="50">
        <v>12500000</v>
      </c>
      <c r="I39" s="58">
        <v>0</v>
      </c>
      <c r="J39" s="58">
        <f t="shared" si="0"/>
        <v>12500000</v>
      </c>
      <c r="K39" s="78">
        <f>(G39+H39)-'Total actual'!K40</f>
        <v>500000</v>
      </c>
      <c r="M39" s="124"/>
      <c r="N39" s="93"/>
      <c r="Q39" s="93"/>
    </row>
    <row r="40" spans="1:17" s="92" customFormat="1" x14ac:dyDescent="0.2">
      <c r="A40" s="55">
        <v>39</v>
      </c>
      <c r="B40" s="55">
        <v>1</v>
      </c>
      <c r="C40" s="55" t="s">
        <v>52</v>
      </c>
      <c r="D40" s="60" t="s">
        <v>84</v>
      </c>
      <c r="E40" s="64" t="str">
        <f>D52</f>
        <v>Support</v>
      </c>
      <c r="F40" s="57" t="s">
        <v>76</v>
      </c>
      <c r="G40" s="50">
        <f>1300000</f>
        <v>1300000</v>
      </c>
      <c r="H40" s="50">
        <v>0</v>
      </c>
      <c r="I40" s="58">
        <v>102854</v>
      </c>
      <c r="J40" s="58">
        <f t="shared" si="0"/>
        <v>1933553.6682000002</v>
      </c>
      <c r="K40" s="78">
        <f>(G40+H40)-'Total actual'!K41</f>
        <v>200000</v>
      </c>
      <c r="M40" s="124"/>
      <c r="N40" s="93"/>
      <c r="Q40" s="93"/>
    </row>
    <row r="41" spans="1:17" s="92" customFormat="1" hidden="1" x14ac:dyDescent="0.2">
      <c r="A41" s="55">
        <v>40</v>
      </c>
      <c r="B41" s="55">
        <v>1</v>
      </c>
      <c r="C41" s="55" t="s">
        <v>55</v>
      </c>
      <c r="D41" s="56" t="s">
        <v>26</v>
      </c>
      <c r="E41" s="57" t="str">
        <f>D54</f>
        <v>Developer senior</v>
      </c>
      <c r="F41" s="57" t="s">
        <v>17</v>
      </c>
      <c r="G41" s="50">
        <v>5300000</v>
      </c>
      <c r="H41" s="50">
        <v>0</v>
      </c>
      <c r="I41" s="50">
        <v>0</v>
      </c>
      <c r="J41" s="58">
        <f t="shared" si="0"/>
        <v>7304990</v>
      </c>
      <c r="K41" s="78">
        <f>(G41+H41)-'Total actual'!K42</f>
        <v>1183333.3333333335</v>
      </c>
      <c r="M41" s="124"/>
      <c r="N41" s="93"/>
      <c r="Q41" s="93"/>
    </row>
    <row r="42" spans="1:17" s="92" customFormat="1" x14ac:dyDescent="0.2">
      <c r="A42" s="55">
        <v>41</v>
      </c>
      <c r="B42" s="55">
        <v>0</v>
      </c>
      <c r="C42" s="55" t="s">
        <v>52</v>
      </c>
      <c r="D42" s="60" t="s">
        <v>85</v>
      </c>
      <c r="E42" s="57" t="str">
        <f>D62</f>
        <v>Manager/Submanager</v>
      </c>
      <c r="F42" s="57" t="s">
        <v>12</v>
      </c>
      <c r="G42" s="50">
        <v>0</v>
      </c>
      <c r="H42" s="50">
        <v>12500000</v>
      </c>
      <c r="I42" s="58">
        <v>0</v>
      </c>
      <c r="J42" s="58">
        <f t="shared" si="0"/>
        <v>12500000</v>
      </c>
      <c r="K42" s="78">
        <f>(G42+H42)-'Total actual'!K43</f>
        <v>500000</v>
      </c>
      <c r="M42" s="124"/>
      <c r="N42" s="93"/>
      <c r="Q42" s="93"/>
    </row>
    <row r="43" spans="1:17" s="92" customFormat="1" hidden="1" x14ac:dyDescent="0.2">
      <c r="A43" s="55">
        <v>42</v>
      </c>
      <c r="B43" s="55" t="s">
        <v>58</v>
      </c>
      <c r="C43" s="55" t="s">
        <v>59</v>
      </c>
      <c r="D43" s="60" t="s">
        <v>86</v>
      </c>
      <c r="E43" s="57" t="str">
        <f>D64</f>
        <v>External</v>
      </c>
      <c r="F43" s="57" t="s">
        <v>12</v>
      </c>
      <c r="G43" s="50">
        <v>0</v>
      </c>
      <c r="H43" s="50">
        <v>3500000</v>
      </c>
      <c r="I43" s="58">
        <v>0</v>
      </c>
      <c r="J43" s="58">
        <f t="shared" si="0"/>
        <v>3500000</v>
      </c>
      <c r="K43" s="78">
        <f>(G43+H43)-'Total actual'!K44</f>
        <v>0</v>
      </c>
      <c r="M43" s="124"/>
      <c r="N43" s="93"/>
      <c r="Q43" s="93"/>
    </row>
    <row r="44" spans="1:17" s="92" customFormat="1" x14ac:dyDescent="0.2">
      <c r="A44" s="55">
        <v>43</v>
      </c>
      <c r="B44" s="55">
        <v>0</v>
      </c>
      <c r="C44" s="55" t="s">
        <v>52</v>
      </c>
      <c r="D44" s="56" t="s">
        <v>87</v>
      </c>
      <c r="E44" s="64" t="str">
        <f>D50</f>
        <v>SENA</v>
      </c>
      <c r="F44" s="57" t="s">
        <v>12</v>
      </c>
      <c r="G44" s="50">
        <v>438901.5</v>
      </c>
      <c r="H44" s="50">
        <v>0</v>
      </c>
      <c r="I44" s="50">
        <v>0</v>
      </c>
      <c r="J44" s="58">
        <f t="shared" si="0"/>
        <v>604937.93745000008</v>
      </c>
      <c r="K44" s="78">
        <f>(G44+H44)-'Total actual'!K45</f>
        <v>0</v>
      </c>
      <c r="M44" s="124"/>
      <c r="N44" s="93"/>
      <c r="Q44" s="93"/>
    </row>
    <row r="45" spans="1:17" hidden="1" x14ac:dyDescent="0.2">
      <c r="A45" s="55">
        <v>45</v>
      </c>
      <c r="B45" s="55">
        <v>1</v>
      </c>
      <c r="C45" s="55" t="s">
        <v>55</v>
      </c>
      <c r="D45" s="56" t="s">
        <v>88</v>
      </c>
      <c r="E45" s="64" t="str">
        <f>D54</f>
        <v>Developer senior</v>
      </c>
      <c r="F45" s="57" t="s">
        <v>12</v>
      </c>
      <c r="G45" s="50">
        <v>2000000</v>
      </c>
      <c r="H45" s="50">
        <v>0</v>
      </c>
      <c r="I45" s="50">
        <v>0</v>
      </c>
      <c r="J45" s="58">
        <f t="shared" si="0"/>
        <v>2756600</v>
      </c>
      <c r="K45" s="78">
        <f>(G45+H45)-'Total actual'!K45</f>
        <v>1561098.5</v>
      </c>
      <c r="Q45" s="91"/>
    </row>
    <row r="46" spans="1:17" hidden="1" x14ac:dyDescent="0.2">
      <c r="A46" s="55">
        <v>45</v>
      </c>
      <c r="B46" s="55">
        <v>1</v>
      </c>
      <c r="C46" s="55" t="s">
        <v>55</v>
      </c>
      <c r="D46" s="56" t="s">
        <v>137</v>
      </c>
      <c r="E46" s="64" t="str">
        <f>D53</f>
        <v>Developer</v>
      </c>
      <c r="F46" s="59" t="s">
        <v>138</v>
      </c>
      <c r="G46" s="50">
        <v>4000000</v>
      </c>
      <c r="H46" s="50">
        <v>0</v>
      </c>
      <c r="I46" s="50">
        <v>0</v>
      </c>
      <c r="J46" s="58">
        <f t="shared" si="0"/>
        <v>5513200</v>
      </c>
      <c r="K46" s="78">
        <f>(G46+H46)-'Total actual'!K46</f>
        <v>2300000</v>
      </c>
      <c r="Q46" s="91"/>
    </row>
    <row r="47" spans="1:17" hidden="1" x14ac:dyDescent="0.2">
      <c r="A47" s="51"/>
      <c r="B47" s="52">
        <f>SUM(B2:B46)</f>
        <v>31.25</v>
      </c>
      <c r="C47" s="52"/>
      <c r="D47" s="51"/>
      <c r="E47" s="51"/>
      <c r="F47" s="51"/>
      <c r="G47" s="53">
        <f>SUM(G2:G46)</f>
        <v>151151755.5</v>
      </c>
      <c r="H47" s="53">
        <f>SUM(H2:H46)</f>
        <v>37841666.666666672</v>
      </c>
      <c r="I47" s="53">
        <f>SUM(I2:I46)</f>
        <v>205708</v>
      </c>
      <c r="J47" s="53">
        <f>SUM(J2:J46)</f>
        <v>246457658.60871664</v>
      </c>
      <c r="K47" s="82"/>
      <c r="Q47" s="91"/>
    </row>
    <row r="48" spans="1:17" hidden="1" x14ac:dyDescent="0.2">
      <c r="J48" s="99"/>
      <c r="L48" s="99"/>
    </row>
    <row r="49" spans="4:12" ht="25.5" hidden="1" x14ac:dyDescent="0.2">
      <c r="D49" s="85" t="s">
        <v>49</v>
      </c>
      <c r="E49" s="85"/>
      <c r="F49" s="85" t="s">
        <v>109</v>
      </c>
      <c r="G49" s="85" t="s">
        <v>119</v>
      </c>
      <c r="H49" s="85" t="s">
        <v>111</v>
      </c>
      <c r="I49" s="85" t="s">
        <v>120</v>
      </c>
      <c r="K49" s="90"/>
      <c r="L49" s="91"/>
    </row>
    <row r="50" spans="4:12" hidden="1" x14ac:dyDescent="0.2">
      <c r="D50" s="42" t="s">
        <v>43</v>
      </c>
      <c r="E50" s="42"/>
      <c r="F50" s="43">
        <f>877803</f>
        <v>877803</v>
      </c>
      <c r="G50" s="42">
        <v>0</v>
      </c>
      <c r="H50" s="43">
        <v>877803</v>
      </c>
      <c r="I50" s="42">
        <v>0</v>
      </c>
      <c r="K50" s="90"/>
      <c r="L50" s="91"/>
    </row>
    <row r="51" spans="4:12" hidden="1" x14ac:dyDescent="0.2">
      <c r="D51" s="87" t="s">
        <v>100</v>
      </c>
      <c r="E51" s="87"/>
      <c r="F51" s="43">
        <f>877803+102854</f>
        <v>980657</v>
      </c>
      <c r="G51" s="88">
        <v>0</v>
      </c>
      <c r="H51" s="43">
        <v>877803</v>
      </c>
      <c r="I51" s="88">
        <v>0</v>
      </c>
      <c r="K51" s="90"/>
      <c r="L51" s="91"/>
    </row>
    <row r="52" spans="4:12" hidden="1" x14ac:dyDescent="0.2">
      <c r="D52" s="42" t="s">
        <v>44</v>
      </c>
      <c r="E52" s="42"/>
      <c r="F52" s="43">
        <f>1700000+102854</f>
        <v>1802854</v>
      </c>
      <c r="G52" s="88">
        <v>0</v>
      </c>
      <c r="H52" s="43">
        <v>2200000</v>
      </c>
      <c r="I52" s="88">
        <v>0</v>
      </c>
      <c r="K52" s="90"/>
      <c r="L52" s="91"/>
    </row>
    <row r="53" spans="4:12" hidden="1" x14ac:dyDescent="0.2">
      <c r="D53" s="86" t="s">
        <v>113</v>
      </c>
      <c r="E53" s="86"/>
      <c r="F53" s="42">
        <v>2500000</v>
      </c>
      <c r="G53" s="43">
        <v>0</v>
      </c>
      <c r="H53" s="42">
        <v>5000000</v>
      </c>
      <c r="I53" s="43">
        <v>0</v>
      </c>
      <c r="K53" s="90"/>
      <c r="L53" s="91"/>
    </row>
    <row r="54" spans="4:12" hidden="1" x14ac:dyDescent="0.2">
      <c r="D54" s="86" t="s">
        <v>114</v>
      </c>
      <c r="E54" s="86"/>
      <c r="F54" s="43">
        <v>5000000</v>
      </c>
      <c r="G54" s="43">
        <v>0</v>
      </c>
      <c r="H54" s="43">
        <v>7000000</v>
      </c>
      <c r="I54" s="43">
        <v>0</v>
      </c>
      <c r="K54" s="90"/>
      <c r="L54" s="91"/>
    </row>
    <row r="55" spans="4:12" hidden="1" x14ac:dyDescent="0.2">
      <c r="D55" s="86" t="s">
        <v>33</v>
      </c>
      <c r="E55" s="86"/>
      <c r="F55" s="42">
        <v>2000000</v>
      </c>
      <c r="G55" s="43">
        <v>0</v>
      </c>
      <c r="H55" s="42">
        <v>5000000</v>
      </c>
      <c r="I55" s="43">
        <v>0</v>
      </c>
      <c r="K55" s="90"/>
      <c r="L55" s="91"/>
    </row>
    <row r="56" spans="4:12" hidden="1" x14ac:dyDescent="0.2">
      <c r="D56" s="86" t="s">
        <v>121</v>
      </c>
      <c r="E56" s="86"/>
      <c r="F56" s="43">
        <v>5000000</v>
      </c>
      <c r="G56" s="43">
        <v>0</v>
      </c>
      <c r="H56" s="43">
        <v>7000000</v>
      </c>
      <c r="I56" s="43">
        <v>0</v>
      </c>
      <c r="K56" s="90"/>
      <c r="L56" s="91"/>
    </row>
    <row r="57" spans="4:12" hidden="1" x14ac:dyDescent="0.2">
      <c r="D57" s="86" t="s">
        <v>115</v>
      </c>
      <c r="E57" s="86"/>
      <c r="F57" s="42">
        <v>2500000</v>
      </c>
      <c r="G57" s="43">
        <v>0</v>
      </c>
      <c r="H57" s="42">
        <v>5000000</v>
      </c>
      <c r="I57" s="43">
        <v>0</v>
      </c>
      <c r="K57" s="90"/>
      <c r="L57" s="91"/>
    </row>
    <row r="58" spans="4:12" hidden="1" x14ac:dyDescent="0.2">
      <c r="D58" s="86" t="s">
        <v>116</v>
      </c>
      <c r="E58" s="86"/>
      <c r="F58" s="43">
        <v>5000000</v>
      </c>
      <c r="G58" s="43">
        <v>0</v>
      </c>
      <c r="H58" s="43">
        <v>7000000</v>
      </c>
      <c r="I58" s="43">
        <v>0</v>
      </c>
      <c r="K58" s="90"/>
      <c r="L58" s="91"/>
    </row>
    <row r="59" spans="4:12" hidden="1" x14ac:dyDescent="0.2">
      <c r="D59" s="86" t="s">
        <v>42</v>
      </c>
      <c r="E59" s="86"/>
      <c r="F59" s="43">
        <v>2400000</v>
      </c>
      <c r="G59" s="43">
        <v>0</v>
      </c>
      <c r="H59" s="43">
        <v>3000000</v>
      </c>
      <c r="I59" s="43"/>
      <c r="K59" s="90"/>
      <c r="L59" s="91"/>
    </row>
    <row r="60" spans="4:12" hidden="1" x14ac:dyDescent="0.2">
      <c r="D60" s="86" t="s">
        <v>102</v>
      </c>
      <c r="E60" s="86"/>
      <c r="F60" s="43">
        <v>5000000</v>
      </c>
      <c r="G60" s="43">
        <v>0</v>
      </c>
      <c r="H60" s="43">
        <v>7800000</v>
      </c>
      <c r="I60" s="43">
        <f>H60/12</f>
        <v>650000</v>
      </c>
      <c r="K60" s="90"/>
      <c r="L60" s="91"/>
    </row>
    <row r="61" spans="4:12" hidden="1" x14ac:dyDescent="0.2">
      <c r="D61" s="86" t="s">
        <v>75</v>
      </c>
      <c r="E61" s="86"/>
      <c r="F61" s="43">
        <v>3000000</v>
      </c>
      <c r="G61" s="43">
        <v>0</v>
      </c>
      <c r="H61" s="43">
        <v>5000000</v>
      </c>
      <c r="I61" s="43">
        <v>0</v>
      </c>
      <c r="K61" s="90"/>
      <c r="L61" s="91"/>
    </row>
    <row r="62" spans="4:12" hidden="1" x14ac:dyDescent="0.2">
      <c r="D62" s="87" t="s">
        <v>122</v>
      </c>
      <c r="E62" s="87"/>
      <c r="F62" s="43">
        <v>0</v>
      </c>
      <c r="G62" s="43">
        <v>13000000</v>
      </c>
      <c r="H62" s="43">
        <v>0</v>
      </c>
      <c r="I62" s="43">
        <v>13000000</v>
      </c>
      <c r="K62" s="90"/>
      <c r="L62" s="91"/>
    </row>
    <row r="63" spans="4:12" hidden="1" x14ac:dyDescent="0.2">
      <c r="D63" s="87" t="s">
        <v>103</v>
      </c>
      <c r="E63" s="87"/>
      <c r="F63" s="42">
        <v>0</v>
      </c>
      <c r="G63" s="42">
        <v>900000</v>
      </c>
      <c r="H63" s="42">
        <v>0</v>
      </c>
      <c r="I63" s="42">
        <v>900000</v>
      </c>
      <c r="K63" s="90"/>
      <c r="L63" s="91"/>
    </row>
    <row r="64" spans="4:12" hidden="1" x14ac:dyDescent="0.2">
      <c r="D64" s="87" t="s">
        <v>104</v>
      </c>
      <c r="E64" s="87"/>
      <c r="F64" s="42">
        <v>0</v>
      </c>
      <c r="G64" s="42">
        <v>3500000</v>
      </c>
      <c r="H64" s="42">
        <v>0</v>
      </c>
      <c r="I64" s="42">
        <v>3500000</v>
      </c>
      <c r="K64" s="90"/>
      <c r="L64" s="91"/>
    </row>
    <row r="65" spans="4:12" hidden="1" x14ac:dyDescent="0.2">
      <c r="D65" s="86" t="s">
        <v>105</v>
      </c>
      <c r="E65" s="86"/>
      <c r="F65" s="42">
        <v>0</v>
      </c>
      <c r="G65" s="42">
        <v>1500000</v>
      </c>
      <c r="H65" s="42">
        <v>0</v>
      </c>
      <c r="I65" s="42">
        <v>1500000</v>
      </c>
      <c r="K65" s="90"/>
      <c r="L65" s="91"/>
    </row>
    <row r="66" spans="4:12" hidden="1" x14ac:dyDescent="0.2">
      <c r="D66" s="87" t="s">
        <v>106</v>
      </c>
      <c r="E66" s="87"/>
      <c r="F66" s="42">
        <v>0</v>
      </c>
      <c r="G66" s="42">
        <v>900000</v>
      </c>
      <c r="H66" s="42">
        <v>0</v>
      </c>
      <c r="I66" s="42">
        <v>900000</v>
      </c>
      <c r="K66" s="90"/>
      <c r="L66" s="91"/>
    </row>
    <row r="67" spans="4:12" hidden="1" x14ac:dyDescent="0.2">
      <c r="D67" s="87" t="s">
        <v>45</v>
      </c>
      <c r="E67" s="87"/>
      <c r="F67" s="94">
        <v>0.37830000000000003</v>
      </c>
      <c r="G67" s="42"/>
      <c r="H67" s="89"/>
      <c r="I67" s="42"/>
      <c r="K67" s="90"/>
      <c r="L67" s="91"/>
    </row>
    <row r="68" spans="4:12" hidden="1" x14ac:dyDescent="0.2">
      <c r="D68" s="95" t="s">
        <v>123</v>
      </c>
      <c r="F68" s="98">
        <v>3.5000000000000003E-2</v>
      </c>
      <c r="K68" s="90"/>
      <c r="L68" s="91"/>
    </row>
  </sheetData>
  <autoFilter ref="A1:K68" xr:uid="{977652BC-876C-4210-86B9-10BDF3D4D5FB}">
    <filterColumn colId="2">
      <filters>
        <filter val="MAYA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B2828-5D11-494B-8712-3D8C14CB0945}">
  <dimension ref="F1:K2"/>
  <sheetViews>
    <sheetView tabSelected="1" workbookViewId="0">
      <selection activeCell="F18" sqref="F18"/>
    </sheetView>
  </sheetViews>
  <sheetFormatPr defaultRowHeight="15" x14ac:dyDescent="0.25"/>
  <cols>
    <col min="6" max="11" width="14.5703125" customWidth="1"/>
  </cols>
  <sheetData>
    <row r="1" spans="6:11" x14ac:dyDescent="0.25">
      <c r="F1" s="126">
        <v>43831</v>
      </c>
      <c r="G1" s="126"/>
      <c r="H1" s="126">
        <v>43832</v>
      </c>
      <c r="I1" s="126"/>
      <c r="J1" s="126">
        <v>43833</v>
      </c>
      <c r="K1" s="126"/>
    </row>
    <row r="2" spans="6:11" x14ac:dyDescent="0.25">
      <c r="F2" s="127">
        <v>0.33333333333333331</v>
      </c>
      <c r="G2" s="127">
        <v>0.45833333333333331</v>
      </c>
      <c r="H2" s="127">
        <v>0.33333333333333331</v>
      </c>
      <c r="I2" s="127">
        <v>0.45833333333333331</v>
      </c>
      <c r="J2" s="127">
        <v>0.33333333333333331</v>
      </c>
      <c r="K2" s="127">
        <v>0.45833333333333331</v>
      </c>
    </row>
  </sheetData>
  <mergeCells count="3">
    <mergeCell ref="F1:G1"/>
    <mergeCell ref="H1:I1"/>
    <mergeCell ref="J1:K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E0850-3ADF-4412-BD74-CEBABDFC7EC4}">
  <sheetPr filterMode="1"/>
  <dimension ref="A1:N82"/>
  <sheetViews>
    <sheetView workbookViewId="0">
      <selection activeCell="E27" sqref="E27"/>
    </sheetView>
  </sheetViews>
  <sheetFormatPr defaultRowHeight="15" x14ac:dyDescent="0.25"/>
  <cols>
    <col min="1" max="3" width="6.28515625" customWidth="1"/>
    <col min="4" max="4" width="30.42578125" bestFit="1" customWidth="1"/>
    <col min="5" max="5" width="26" customWidth="1"/>
    <col min="6" max="6" width="11.85546875" bestFit="1" customWidth="1"/>
    <col min="7" max="10" width="12.85546875" customWidth="1"/>
    <col min="11" max="11" width="12.85546875" style="76" customWidth="1"/>
    <col min="13" max="13" width="14.42578125" bestFit="1" customWidth="1"/>
    <col min="14" max="14" width="13.140625" style="39" customWidth="1"/>
  </cols>
  <sheetData>
    <row r="1" spans="1:14" ht="25.5" x14ac:dyDescent="0.25">
      <c r="A1" s="48" t="s">
        <v>0</v>
      </c>
      <c r="B1" s="48" t="s">
        <v>46</v>
      </c>
      <c r="C1" s="48" t="s">
        <v>47</v>
      </c>
      <c r="D1" s="48" t="s">
        <v>48</v>
      </c>
      <c r="E1" s="48" t="s">
        <v>49</v>
      </c>
      <c r="F1" s="48" t="s">
        <v>50</v>
      </c>
      <c r="G1" s="49" t="s">
        <v>30</v>
      </c>
      <c r="H1" s="49" t="s">
        <v>31</v>
      </c>
      <c r="I1" s="49" t="s">
        <v>32</v>
      </c>
      <c r="J1" s="49" t="s">
        <v>51</v>
      </c>
    </row>
    <row r="2" spans="1:14" s="46" customFormat="1" hidden="1" x14ac:dyDescent="0.25">
      <c r="A2" s="55">
        <v>1</v>
      </c>
      <c r="B2" s="55">
        <v>1</v>
      </c>
      <c r="C2" s="55" t="s">
        <v>52</v>
      </c>
      <c r="D2" s="56" t="s">
        <v>53</v>
      </c>
      <c r="E2" s="57" t="str">
        <f>E73</f>
        <v>Software architect</v>
      </c>
      <c r="F2" s="57" t="s">
        <v>54</v>
      </c>
      <c r="G2" s="50">
        <f>G73</f>
        <v>7800000</v>
      </c>
      <c r="H2" s="50">
        <f t="shared" ref="H2:I2" si="0">H73</f>
        <v>650000</v>
      </c>
      <c r="I2" s="50">
        <f t="shared" si="0"/>
        <v>0</v>
      </c>
      <c r="J2" s="58">
        <f t="shared" ref="J2:J24" si="1">((G2+I2)*(1+$G$82)+H2)</f>
        <v>11400739.999999998</v>
      </c>
      <c r="K2" s="78">
        <f>G2+H2</f>
        <v>8450000</v>
      </c>
      <c r="M2" s="123">
        <f>G2</f>
        <v>7800000</v>
      </c>
      <c r="N2" s="73">
        <f>H2*6</f>
        <v>3900000</v>
      </c>
    </row>
    <row r="3" spans="1:14" s="46" customFormat="1" hidden="1" x14ac:dyDescent="0.25">
      <c r="A3" s="55">
        <v>2</v>
      </c>
      <c r="B3" s="55">
        <v>1</v>
      </c>
      <c r="C3" s="55" t="s">
        <v>55</v>
      </c>
      <c r="D3" s="56" t="s">
        <v>11</v>
      </c>
      <c r="E3" s="57" t="str">
        <f>E63</f>
        <v>Developer III+</v>
      </c>
      <c r="F3" s="57" t="s">
        <v>12</v>
      </c>
      <c r="G3" s="50">
        <f>G63</f>
        <v>3800000</v>
      </c>
      <c r="H3" s="50">
        <f t="shared" ref="H3:I3" si="2">H63</f>
        <v>316666.66666666669</v>
      </c>
      <c r="I3" s="50">
        <f t="shared" si="2"/>
        <v>0</v>
      </c>
      <c r="J3" s="58">
        <f t="shared" si="1"/>
        <v>5554206.666666666</v>
      </c>
      <c r="K3" s="78">
        <f t="shared" ref="K3:K46" si="3">G3+H3</f>
        <v>4116666.6666666665</v>
      </c>
      <c r="M3" s="123">
        <f t="shared" ref="M3:M46" si="4">G3</f>
        <v>3800000</v>
      </c>
      <c r="N3" s="73">
        <f t="shared" ref="N3:N46" si="5">H3*6</f>
        <v>1900000</v>
      </c>
    </row>
    <row r="4" spans="1:14" s="46" customFormat="1" hidden="1" x14ac:dyDescent="0.25">
      <c r="A4" s="55">
        <v>3</v>
      </c>
      <c r="B4" s="55">
        <v>1</v>
      </c>
      <c r="C4" s="55" t="s">
        <v>52</v>
      </c>
      <c r="D4" s="56" t="s">
        <v>56</v>
      </c>
      <c r="E4" s="57" t="str">
        <f>E56</f>
        <v>Junior Developer</v>
      </c>
      <c r="F4" s="57" t="s">
        <v>12</v>
      </c>
      <c r="G4" s="50">
        <f>G56</f>
        <v>2300000</v>
      </c>
      <c r="H4" s="50">
        <f>G4/12</f>
        <v>191666.66666666666</v>
      </c>
      <c r="I4" s="50">
        <f t="shared" ref="I4" si="6">I56</f>
        <v>0</v>
      </c>
      <c r="J4" s="58">
        <f t="shared" si="1"/>
        <v>3361756.666666666</v>
      </c>
      <c r="K4" s="78">
        <f t="shared" si="3"/>
        <v>2491666.6666666665</v>
      </c>
      <c r="M4" s="123">
        <f t="shared" si="4"/>
        <v>2300000</v>
      </c>
      <c r="N4" s="73">
        <f t="shared" si="5"/>
        <v>1150000</v>
      </c>
    </row>
    <row r="5" spans="1:14" s="46" customFormat="1" hidden="1" x14ac:dyDescent="0.25">
      <c r="A5" s="55">
        <v>4</v>
      </c>
      <c r="B5" s="55">
        <v>1</v>
      </c>
      <c r="C5" s="55" t="s">
        <v>55</v>
      </c>
      <c r="D5" s="56" t="s">
        <v>13</v>
      </c>
      <c r="E5" s="57" t="str">
        <f>E58</f>
        <v>Developer I</v>
      </c>
      <c r="F5" s="57" t="s">
        <v>12</v>
      </c>
      <c r="G5" s="50">
        <f>G58</f>
        <v>2800000</v>
      </c>
      <c r="H5" s="50">
        <f>H58</f>
        <v>0</v>
      </c>
      <c r="I5" s="58">
        <f>I58</f>
        <v>0</v>
      </c>
      <c r="J5" s="58">
        <f t="shared" si="1"/>
        <v>3859239.9999999995</v>
      </c>
      <c r="K5" s="78">
        <f t="shared" si="3"/>
        <v>2800000</v>
      </c>
      <c r="M5" s="123">
        <f t="shared" si="4"/>
        <v>2800000</v>
      </c>
      <c r="N5" s="73">
        <f t="shared" si="5"/>
        <v>0</v>
      </c>
    </row>
    <row r="6" spans="1:14" s="46" customFormat="1" hidden="1" x14ac:dyDescent="0.25">
      <c r="A6" s="55">
        <v>5</v>
      </c>
      <c r="B6" s="55">
        <v>1</v>
      </c>
      <c r="C6" s="55" t="s">
        <v>55</v>
      </c>
      <c r="D6" s="56" t="s">
        <v>14</v>
      </c>
      <c r="E6" s="57" t="str">
        <f>E72</f>
        <v>Project manager III</v>
      </c>
      <c r="F6" s="57" t="s">
        <v>12</v>
      </c>
      <c r="G6" s="50">
        <f>G72</f>
        <v>4600000</v>
      </c>
      <c r="H6" s="50">
        <f>H72</f>
        <v>383333.33333333331</v>
      </c>
      <c r="I6" s="58">
        <f>I72</f>
        <v>0</v>
      </c>
      <c r="J6" s="58">
        <f t="shared" si="1"/>
        <v>6723513.3333333321</v>
      </c>
      <c r="K6" s="78">
        <f t="shared" si="3"/>
        <v>4983333.333333333</v>
      </c>
      <c r="M6" s="123">
        <f t="shared" si="4"/>
        <v>4600000</v>
      </c>
      <c r="N6" s="73">
        <f t="shared" si="5"/>
        <v>2300000</v>
      </c>
    </row>
    <row r="7" spans="1:14" s="46" customFormat="1" hidden="1" x14ac:dyDescent="0.25">
      <c r="A7" s="55">
        <v>6</v>
      </c>
      <c r="B7" s="55">
        <v>1</v>
      </c>
      <c r="C7" s="55" t="s">
        <v>52</v>
      </c>
      <c r="D7" s="56" t="s">
        <v>57</v>
      </c>
      <c r="E7" s="57" t="str">
        <f>E65</f>
        <v>Developer IV+</v>
      </c>
      <c r="F7" s="57" t="s">
        <v>12</v>
      </c>
      <c r="G7" s="50">
        <f>G65</f>
        <v>4200000</v>
      </c>
      <c r="H7" s="50">
        <f t="shared" ref="H7:I7" si="7">H65</f>
        <v>350000</v>
      </c>
      <c r="I7" s="50">
        <f t="shared" si="7"/>
        <v>0</v>
      </c>
      <c r="J7" s="58">
        <f t="shared" si="1"/>
        <v>6138859.9999999991</v>
      </c>
      <c r="K7" s="78">
        <f t="shared" si="3"/>
        <v>4550000</v>
      </c>
      <c r="M7" s="123">
        <f t="shared" si="4"/>
        <v>4200000</v>
      </c>
      <c r="N7" s="73">
        <f t="shared" si="5"/>
        <v>2100000</v>
      </c>
    </row>
    <row r="8" spans="1:14" s="46" customFormat="1" hidden="1" x14ac:dyDescent="0.25">
      <c r="A8" s="55">
        <v>7</v>
      </c>
      <c r="B8" s="55">
        <v>1</v>
      </c>
      <c r="C8" s="55" t="s">
        <v>55</v>
      </c>
      <c r="D8" s="56" t="s">
        <v>15</v>
      </c>
      <c r="E8" s="57" t="str">
        <f>E71</f>
        <v>Project manager II</v>
      </c>
      <c r="F8" s="57" t="s">
        <v>12</v>
      </c>
      <c r="G8" s="50">
        <f>G71</f>
        <v>4200000</v>
      </c>
      <c r="H8" s="50">
        <f>H71</f>
        <v>350000</v>
      </c>
      <c r="I8" s="58">
        <f>I71</f>
        <v>0</v>
      </c>
      <c r="J8" s="58">
        <f t="shared" si="1"/>
        <v>6138859.9999999991</v>
      </c>
      <c r="K8" s="78">
        <f t="shared" si="3"/>
        <v>4550000</v>
      </c>
      <c r="M8" s="123">
        <f t="shared" si="4"/>
        <v>4200000</v>
      </c>
      <c r="N8" s="73">
        <f t="shared" si="5"/>
        <v>2100000</v>
      </c>
    </row>
    <row r="9" spans="1:14" s="46" customFormat="1" hidden="1" x14ac:dyDescent="0.25">
      <c r="A9" s="55">
        <v>8</v>
      </c>
      <c r="B9" s="55">
        <v>1</v>
      </c>
      <c r="C9" s="55" t="s">
        <v>55</v>
      </c>
      <c r="D9" s="56" t="s">
        <v>16</v>
      </c>
      <c r="E9" s="57" t="str">
        <f>E56</f>
        <v>Junior Developer</v>
      </c>
      <c r="F9" s="57" t="s">
        <v>17</v>
      </c>
      <c r="G9" s="50">
        <f>G56</f>
        <v>2300000</v>
      </c>
      <c r="H9" s="50">
        <f t="shared" ref="H9:I9" si="8">H56</f>
        <v>0</v>
      </c>
      <c r="I9" s="50">
        <f t="shared" si="8"/>
        <v>0</v>
      </c>
      <c r="J9" s="58">
        <f t="shared" si="1"/>
        <v>3170089.9999999995</v>
      </c>
      <c r="K9" s="78">
        <f t="shared" si="3"/>
        <v>2300000</v>
      </c>
      <c r="M9" s="123">
        <f t="shared" si="4"/>
        <v>2300000</v>
      </c>
      <c r="N9" s="73">
        <f t="shared" si="5"/>
        <v>0</v>
      </c>
    </row>
    <row r="10" spans="1:14" s="46" customFormat="1" x14ac:dyDescent="0.25">
      <c r="A10" s="55">
        <v>9</v>
      </c>
      <c r="B10" s="55" t="s">
        <v>58</v>
      </c>
      <c r="C10" s="55" t="s">
        <v>59</v>
      </c>
      <c r="D10" s="56" t="s">
        <v>60</v>
      </c>
      <c r="E10" s="59" t="str">
        <f>E79</f>
        <v>External</v>
      </c>
      <c r="F10" s="57" t="s">
        <v>12</v>
      </c>
      <c r="G10" s="50">
        <f>G79</f>
        <v>0</v>
      </c>
      <c r="H10" s="50">
        <f>H79</f>
        <v>3500000</v>
      </c>
      <c r="I10" s="58">
        <f>I79</f>
        <v>0</v>
      </c>
      <c r="J10" s="58">
        <f t="shared" si="1"/>
        <v>3500000</v>
      </c>
      <c r="K10" s="78">
        <f t="shared" si="3"/>
        <v>3500000</v>
      </c>
      <c r="M10" s="123">
        <f t="shared" si="4"/>
        <v>0</v>
      </c>
      <c r="N10" s="73">
        <v>3500000</v>
      </c>
    </row>
    <row r="11" spans="1:14" s="46" customFormat="1" hidden="1" x14ac:dyDescent="0.25">
      <c r="A11" s="55">
        <v>10</v>
      </c>
      <c r="B11" s="55">
        <v>1</v>
      </c>
      <c r="C11" s="55" t="s">
        <v>55</v>
      </c>
      <c r="D11" s="56" t="s">
        <v>18</v>
      </c>
      <c r="E11" s="57" t="str">
        <f>E60</f>
        <v>Developer II</v>
      </c>
      <c r="F11" s="57" t="s">
        <v>17</v>
      </c>
      <c r="G11" s="50">
        <f>G60</f>
        <v>3200000</v>
      </c>
      <c r="H11" s="50">
        <f>H60</f>
        <v>0</v>
      </c>
      <c r="I11" s="50">
        <f>I61</f>
        <v>0</v>
      </c>
      <c r="J11" s="58">
        <f t="shared" si="1"/>
        <v>4410560</v>
      </c>
      <c r="K11" s="78">
        <f t="shared" si="3"/>
        <v>3200000</v>
      </c>
      <c r="M11" s="123">
        <f t="shared" si="4"/>
        <v>3200000</v>
      </c>
      <c r="N11" s="73">
        <f t="shared" si="5"/>
        <v>0</v>
      </c>
    </row>
    <row r="12" spans="1:14" s="46" customFormat="1" hidden="1" x14ac:dyDescent="0.25">
      <c r="A12" s="55">
        <v>11</v>
      </c>
      <c r="B12" s="55">
        <v>1</v>
      </c>
      <c r="C12" s="55" t="s">
        <v>55</v>
      </c>
      <c r="D12" s="56" t="s">
        <v>19</v>
      </c>
      <c r="E12" s="57" t="str">
        <f>E63</f>
        <v>Developer III+</v>
      </c>
      <c r="F12" s="57" t="s">
        <v>12</v>
      </c>
      <c r="G12" s="50">
        <f>G63</f>
        <v>3800000</v>
      </c>
      <c r="H12" s="50">
        <f t="shared" ref="H12:I12" si="9">H63</f>
        <v>316666.66666666669</v>
      </c>
      <c r="I12" s="50">
        <f t="shared" si="9"/>
        <v>0</v>
      </c>
      <c r="J12" s="58">
        <f t="shared" si="1"/>
        <v>5554206.666666666</v>
      </c>
      <c r="K12" s="78">
        <f t="shared" si="3"/>
        <v>4116666.6666666665</v>
      </c>
      <c r="M12" s="123">
        <f t="shared" si="4"/>
        <v>3800000</v>
      </c>
      <c r="N12" s="73">
        <f t="shared" si="5"/>
        <v>1900000</v>
      </c>
    </row>
    <row r="13" spans="1:14" s="46" customFormat="1" x14ac:dyDescent="0.25">
      <c r="A13" s="55">
        <v>12</v>
      </c>
      <c r="B13" s="55">
        <v>0</v>
      </c>
      <c r="C13" s="55" t="s">
        <v>59</v>
      </c>
      <c r="D13" s="60" t="s">
        <v>61</v>
      </c>
      <c r="E13" s="61" t="str">
        <f>E77</f>
        <v>Payroll asistant/Assistant</v>
      </c>
      <c r="F13" s="57" t="s">
        <v>12</v>
      </c>
      <c r="G13" s="50">
        <f>G77</f>
        <v>0</v>
      </c>
      <c r="H13" s="50">
        <f>H77</f>
        <v>850000</v>
      </c>
      <c r="I13" s="58">
        <f>I77</f>
        <v>0</v>
      </c>
      <c r="J13" s="58">
        <f t="shared" si="1"/>
        <v>850000</v>
      </c>
      <c r="K13" s="78">
        <f t="shared" si="3"/>
        <v>850000</v>
      </c>
      <c r="M13" s="123">
        <f t="shared" si="4"/>
        <v>0</v>
      </c>
      <c r="N13" s="73">
        <v>850000</v>
      </c>
    </row>
    <row r="14" spans="1:14" s="46" customFormat="1" hidden="1" x14ac:dyDescent="0.25">
      <c r="A14" s="55">
        <v>13</v>
      </c>
      <c r="B14" s="55">
        <v>1</v>
      </c>
      <c r="C14" s="55" t="s">
        <v>52</v>
      </c>
      <c r="D14" s="60" t="s">
        <v>62</v>
      </c>
      <c r="E14" s="57" t="str">
        <f>E63</f>
        <v>Developer III+</v>
      </c>
      <c r="F14" s="57" t="s">
        <v>12</v>
      </c>
      <c r="G14" s="50">
        <f>G63</f>
        <v>3800000</v>
      </c>
      <c r="H14" s="50">
        <f>H63</f>
        <v>316666.66666666669</v>
      </c>
      <c r="I14" s="50">
        <f>I63</f>
        <v>0</v>
      </c>
      <c r="J14" s="58">
        <f t="shared" si="1"/>
        <v>5554206.666666666</v>
      </c>
      <c r="K14" s="78">
        <f t="shared" si="3"/>
        <v>4116666.6666666665</v>
      </c>
      <c r="M14" s="123">
        <f t="shared" si="4"/>
        <v>3800000</v>
      </c>
      <c r="N14" s="73">
        <f t="shared" si="5"/>
        <v>1900000</v>
      </c>
    </row>
    <row r="15" spans="1:14" s="46" customFormat="1" hidden="1" x14ac:dyDescent="0.25">
      <c r="A15" s="55">
        <v>14</v>
      </c>
      <c r="B15" s="55">
        <v>0</v>
      </c>
      <c r="C15" s="55" t="s">
        <v>52</v>
      </c>
      <c r="D15" s="60" t="s">
        <v>63</v>
      </c>
      <c r="E15" s="61" t="str">
        <f>E53</f>
        <v>General services</v>
      </c>
      <c r="F15" s="57" t="s">
        <v>12</v>
      </c>
      <c r="G15" s="50">
        <f>G53</f>
        <v>877803</v>
      </c>
      <c r="H15" s="50">
        <f>H53</f>
        <v>0</v>
      </c>
      <c r="I15" s="58">
        <f>I53</f>
        <v>102854</v>
      </c>
      <c r="J15" s="58">
        <f t="shared" si="1"/>
        <v>1351639.5430999999</v>
      </c>
      <c r="K15" s="78">
        <f t="shared" si="3"/>
        <v>877803</v>
      </c>
      <c r="M15" s="123">
        <f t="shared" si="4"/>
        <v>877803</v>
      </c>
      <c r="N15" s="73">
        <f t="shared" si="5"/>
        <v>0</v>
      </c>
    </row>
    <row r="16" spans="1:14" s="46" customFormat="1" hidden="1" x14ac:dyDescent="0.25">
      <c r="A16" s="55">
        <v>15</v>
      </c>
      <c r="B16" s="55">
        <v>1</v>
      </c>
      <c r="C16" s="55" t="s">
        <v>52</v>
      </c>
      <c r="D16" s="56" t="s">
        <v>107</v>
      </c>
      <c r="E16" s="57" t="str">
        <f>E56</f>
        <v>Junior Developer</v>
      </c>
      <c r="F16" s="57" t="s">
        <v>12</v>
      </c>
      <c r="G16" s="50">
        <v>2500000</v>
      </c>
      <c r="H16" s="50">
        <f t="shared" ref="H16:I16" si="10">H68</f>
        <v>0</v>
      </c>
      <c r="I16" s="50">
        <f t="shared" si="10"/>
        <v>0</v>
      </c>
      <c r="J16" s="58">
        <f t="shared" si="1"/>
        <v>3445749.9999999995</v>
      </c>
      <c r="K16" s="78">
        <f t="shared" si="3"/>
        <v>2500000</v>
      </c>
      <c r="M16" s="123">
        <f t="shared" si="4"/>
        <v>2500000</v>
      </c>
      <c r="N16" s="73">
        <f t="shared" si="5"/>
        <v>0</v>
      </c>
    </row>
    <row r="17" spans="1:14" s="46" customFormat="1" hidden="1" x14ac:dyDescent="0.25">
      <c r="A17" s="55">
        <v>16</v>
      </c>
      <c r="B17" s="55">
        <v>1</v>
      </c>
      <c r="C17" s="55" t="s">
        <v>55</v>
      </c>
      <c r="D17" s="56" t="s">
        <v>20</v>
      </c>
      <c r="E17" s="57" t="str">
        <f>E67</f>
        <v>Developer V+</v>
      </c>
      <c r="F17" s="57" t="s">
        <v>12</v>
      </c>
      <c r="G17" s="50">
        <f>G67</f>
        <v>4600000</v>
      </c>
      <c r="H17" s="50">
        <f>H67</f>
        <v>383333.33333333331</v>
      </c>
      <c r="I17" s="58">
        <f>I67</f>
        <v>0</v>
      </c>
      <c r="J17" s="58">
        <f t="shared" si="1"/>
        <v>6723513.3333333321</v>
      </c>
      <c r="K17" s="78">
        <f t="shared" si="3"/>
        <v>4983333.333333333</v>
      </c>
      <c r="M17" s="123">
        <f t="shared" si="4"/>
        <v>4600000</v>
      </c>
      <c r="N17" s="73">
        <f t="shared" si="5"/>
        <v>2300000</v>
      </c>
    </row>
    <row r="18" spans="1:14" s="46" customFormat="1" hidden="1" x14ac:dyDescent="0.25">
      <c r="A18" s="55">
        <v>17</v>
      </c>
      <c r="B18" s="55">
        <v>1</v>
      </c>
      <c r="C18" s="55" t="s">
        <v>52</v>
      </c>
      <c r="D18" s="56" t="s">
        <v>64</v>
      </c>
      <c r="E18" s="57" t="str">
        <f>E66</f>
        <v>Developer V</v>
      </c>
      <c r="F18" s="57" t="s">
        <v>12</v>
      </c>
      <c r="G18" s="50">
        <f>G66</f>
        <v>4400000</v>
      </c>
      <c r="H18" s="50">
        <f>H66</f>
        <v>366666.66666666669</v>
      </c>
      <c r="I18" s="58">
        <f>I66</f>
        <v>0</v>
      </c>
      <c r="J18" s="58">
        <f t="shared" si="1"/>
        <v>6431186.666666666</v>
      </c>
      <c r="K18" s="78">
        <f t="shared" si="3"/>
        <v>4766666.666666667</v>
      </c>
      <c r="M18" s="123">
        <f t="shared" si="4"/>
        <v>4400000</v>
      </c>
      <c r="N18" s="73">
        <f t="shared" si="5"/>
        <v>2200000</v>
      </c>
    </row>
    <row r="19" spans="1:14" s="46" customFormat="1" hidden="1" x14ac:dyDescent="0.25">
      <c r="A19" s="55">
        <v>18</v>
      </c>
      <c r="B19" s="55">
        <v>1</v>
      </c>
      <c r="C19" s="55" t="s">
        <v>52</v>
      </c>
      <c r="D19" s="56" t="s">
        <v>65</v>
      </c>
      <c r="E19" s="57" t="str">
        <f>E58</f>
        <v>Developer I</v>
      </c>
      <c r="F19" s="57" t="s">
        <v>12</v>
      </c>
      <c r="G19" s="50">
        <f>G58</f>
        <v>2800000</v>
      </c>
      <c r="H19" s="50">
        <f>H58</f>
        <v>0</v>
      </c>
      <c r="I19" s="58">
        <f>I58</f>
        <v>0</v>
      </c>
      <c r="J19" s="58">
        <f t="shared" si="1"/>
        <v>3859239.9999999995</v>
      </c>
      <c r="K19" s="78">
        <f t="shared" si="3"/>
        <v>2800000</v>
      </c>
      <c r="M19" s="123">
        <f t="shared" si="4"/>
        <v>2800000</v>
      </c>
      <c r="N19" s="73">
        <f t="shared" si="5"/>
        <v>0</v>
      </c>
    </row>
    <row r="20" spans="1:14" s="46" customFormat="1" hidden="1" x14ac:dyDescent="0.25">
      <c r="A20" s="55">
        <v>19</v>
      </c>
      <c r="B20" s="55">
        <v>1</v>
      </c>
      <c r="C20" s="55" t="s">
        <v>52</v>
      </c>
      <c r="D20" s="56" t="s">
        <v>66</v>
      </c>
      <c r="E20" s="57" t="str">
        <f>E63</f>
        <v>Developer III+</v>
      </c>
      <c r="F20" s="57" t="s">
        <v>12</v>
      </c>
      <c r="G20" s="50">
        <f>G63</f>
        <v>3800000</v>
      </c>
      <c r="H20" s="50">
        <f t="shared" ref="H20:I20" si="11">H63</f>
        <v>316666.66666666669</v>
      </c>
      <c r="I20" s="50">
        <f t="shared" si="11"/>
        <v>0</v>
      </c>
      <c r="J20" s="58">
        <f t="shared" si="1"/>
        <v>5554206.666666666</v>
      </c>
      <c r="K20" s="78">
        <f t="shared" si="3"/>
        <v>4116666.6666666665</v>
      </c>
      <c r="M20" s="123">
        <f t="shared" si="4"/>
        <v>3800000</v>
      </c>
      <c r="N20" s="73">
        <f t="shared" si="5"/>
        <v>1900000</v>
      </c>
    </row>
    <row r="21" spans="1:14" s="46" customFormat="1" hidden="1" x14ac:dyDescent="0.25">
      <c r="A21" s="55">
        <v>20</v>
      </c>
      <c r="B21" s="55">
        <v>1</v>
      </c>
      <c r="C21" s="55" t="s">
        <v>55</v>
      </c>
      <c r="D21" s="56" t="s">
        <v>21</v>
      </c>
      <c r="E21" s="57" t="str">
        <f>E58</f>
        <v>Developer I</v>
      </c>
      <c r="F21" s="57" t="s">
        <v>12</v>
      </c>
      <c r="G21" s="50">
        <f>G58</f>
        <v>2800000</v>
      </c>
      <c r="H21" s="50">
        <f>H58</f>
        <v>0</v>
      </c>
      <c r="I21" s="58">
        <f>I58</f>
        <v>0</v>
      </c>
      <c r="J21" s="58">
        <f t="shared" si="1"/>
        <v>3859239.9999999995</v>
      </c>
      <c r="K21" s="78">
        <f t="shared" si="3"/>
        <v>2800000</v>
      </c>
      <c r="M21" s="123">
        <f t="shared" si="4"/>
        <v>2800000</v>
      </c>
      <c r="N21" s="73">
        <f t="shared" si="5"/>
        <v>0</v>
      </c>
    </row>
    <row r="22" spans="1:14" s="46" customFormat="1" hidden="1" x14ac:dyDescent="0.25">
      <c r="A22" s="55">
        <v>21</v>
      </c>
      <c r="B22" s="55">
        <v>1</v>
      </c>
      <c r="C22" s="55" t="s">
        <v>52</v>
      </c>
      <c r="D22" s="56" t="s">
        <v>67</v>
      </c>
      <c r="E22" s="57" t="str">
        <f>E63</f>
        <v>Developer III+</v>
      </c>
      <c r="F22" s="57" t="s">
        <v>12</v>
      </c>
      <c r="G22" s="50">
        <f>G63</f>
        <v>3800000</v>
      </c>
      <c r="H22" s="50">
        <f t="shared" ref="H22:I22" si="12">H63</f>
        <v>316666.66666666669</v>
      </c>
      <c r="I22" s="50">
        <f t="shared" si="12"/>
        <v>0</v>
      </c>
      <c r="J22" s="58">
        <f t="shared" si="1"/>
        <v>5554206.666666666</v>
      </c>
      <c r="K22" s="78">
        <f t="shared" si="3"/>
        <v>4116666.6666666665</v>
      </c>
      <c r="M22" s="123">
        <f t="shared" si="4"/>
        <v>3800000</v>
      </c>
      <c r="N22" s="73">
        <f t="shared" si="5"/>
        <v>1900000</v>
      </c>
    </row>
    <row r="23" spans="1:14" s="46" customFormat="1" hidden="1" x14ac:dyDescent="0.25">
      <c r="A23" s="55">
        <v>22</v>
      </c>
      <c r="B23" s="55">
        <v>0</v>
      </c>
      <c r="C23" s="55" t="s">
        <v>52</v>
      </c>
      <c r="D23" s="56" t="s">
        <v>68</v>
      </c>
      <c r="E23" s="64" t="str">
        <f>E55</f>
        <v>Technical</v>
      </c>
      <c r="F23" s="57" t="s">
        <v>12</v>
      </c>
      <c r="G23" s="50">
        <v>1500000</v>
      </c>
      <c r="H23" s="50">
        <f>H55</f>
        <v>0</v>
      </c>
      <c r="I23" s="58">
        <f>I55</f>
        <v>102854</v>
      </c>
      <c r="J23" s="58">
        <f t="shared" si="1"/>
        <v>2209213.6681999997</v>
      </c>
      <c r="K23" s="78">
        <f t="shared" si="3"/>
        <v>1500000</v>
      </c>
      <c r="M23" s="123">
        <f t="shared" si="4"/>
        <v>1500000</v>
      </c>
      <c r="N23" s="73">
        <f t="shared" si="5"/>
        <v>0</v>
      </c>
    </row>
    <row r="24" spans="1:14" s="46" customFormat="1" x14ac:dyDescent="0.25">
      <c r="A24" s="55">
        <v>23</v>
      </c>
      <c r="B24" s="55">
        <v>1</v>
      </c>
      <c r="C24" s="55" t="s">
        <v>59</v>
      </c>
      <c r="D24" s="56" t="s">
        <v>69</v>
      </c>
      <c r="E24" s="57" t="str">
        <f>E69</f>
        <v>Project manager Junior</v>
      </c>
      <c r="F24" s="57" t="s">
        <v>12</v>
      </c>
      <c r="G24" s="50">
        <f>G69</f>
        <v>2950000</v>
      </c>
      <c r="H24" s="50">
        <f>H69</f>
        <v>0</v>
      </c>
      <c r="I24" s="58">
        <f>I69</f>
        <v>0</v>
      </c>
      <c r="J24" s="58">
        <f t="shared" si="1"/>
        <v>4065984.9999999995</v>
      </c>
      <c r="K24" s="78">
        <f t="shared" si="3"/>
        <v>2950000</v>
      </c>
      <c r="M24" s="123">
        <f t="shared" si="4"/>
        <v>2950000</v>
      </c>
      <c r="N24" s="73">
        <f t="shared" si="5"/>
        <v>0</v>
      </c>
    </row>
    <row r="25" spans="1:14" s="46" customFormat="1" hidden="1" x14ac:dyDescent="0.25">
      <c r="A25" s="55">
        <v>24</v>
      </c>
      <c r="B25" s="55">
        <v>1</v>
      </c>
      <c r="C25" s="55" t="s">
        <v>55</v>
      </c>
      <c r="D25" s="56" t="s">
        <v>22</v>
      </c>
      <c r="E25" s="64" t="str">
        <f>E55</f>
        <v>Technical</v>
      </c>
      <c r="F25" s="57" t="s">
        <v>12</v>
      </c>
      <c r="G25" s="50">
        <f>G55</f>
        <v>1700000</v>
      </c>
      <c r="H25" s="50">
        <f>H55</f>
        <v>0</v>
      </c>
      <c r="I25" s="58">
        <f>I55</f>
        <v>102854</v>
      </c>
      <c r="J25" s="75">
        <v>2343110</v>
      </c>
      <c r="K25" s="78">
        <f t="shared" si="3"/>
        <v>1700000</v>
      </c>
      <c r="M25" s="123">
        <f t="shared" si="4"/>
        <v>1700000</v>
      </c>
      <c r="N25" s="73">
        <f t="shared" si="5"/>
        <v>0</v>
      </c>
    </row>
    <row r="26" spans="1:14" s="46" customFormat="1" hidden="1" x14ac:dyDescent="0.25">
      <c r="A26" s="55">
        <v>25</v>
      </c>
      <c r="B26" s="55">
        <v>1</v>
      </c>
      <c r="C26" s="55" t="s">
        <v>52</v>
      </c>
      <c r="D26" s="56" t="s">
        <v>70</v>
      </c>
      <c r="E26" s="57" t="str">
        <f>E65</f>
        <v>Developer IV+</v>
      </c>
      <c r="F26" s="57" t="s">
        <v>12</v>
      </c>
      <c r="G26" s="50">
        <v>3800000</v>
      </c>
      <c r="H26" s="50">
        <f>G26/12</f>
        <v>316666.66666666669</v>
      </c>
      <c r="I26" s="50">
        <f t="shared" ref="I26" si="13">I65</f>
        <v>0</v>
      </c>
      <c r="J26" s="58">
        <f t="shared" ref="J26:J46" si="14">((G26+I26)*(1+$G$82)+H26)</f>
        <v>5554206.666666666</v>
      </c>
      <c r="K26" s="78">
        <f t="shared" si="3"/>
        <v>4116666.6666666665</v>
      </c>
      <c r="M26" s="123">
        <f t="shared" si="4"/>
        <v>3800000</v>
      </c>
      <c r="N26" s="73">
        <f t="shared" si="5"/>
        <v>1900000</v>
      </c>
    </row>
    <row r="27" spans="1:14" s="46" customFormat="1" x14ac:dyDescent="0.25">
      <c r="A27" s="55">
        <v>26</v>
      </c>
      <c r="B27" s="55">
        <v>0</v>
      </c>
      <c r="C27" s="55" t="s">
        <v>59</v>
      </c>
      <c r="D27" s="56" t="s">
        <v>71</v>
      </c>
      <c r="E27" s="57" t="str">
        <f>E58</f>
        <v>Developer I</v>
      </c>
      <c r="F27" s="57" t="s">
        <v>12</v>
      </c>
      <c r="G27" s="50">
        <f>G58</f>
        <v>2800000</v>
      </c>
      <c r="H27" s="50">
        <f>H58</f>
        <v>0</v>
      </c>
      <c r="I27" s="58">
        <f>I58</f>
        <v>0</v>
      </c>
      <c r="J27" s="58">
        <f t="shared" si="14"/>
        <v>3859239.9999999995</v>
      </c>
      <c r="K27" s="78">
        <f t="shared" si="3"/>
        <v>2800000</v>
      </c>
      <c r="M27" s="123">
        <f t="shared" si="4"/>
        <v>2800000</v>
      </c>
      <c r="N27" s="73">
        <f t="shared" si="5"/>
        <v>0</v>
      </c>
    </row>
    <row r="28" spans="1:14" s="46" customFormat="1" hidden="1" x14ac:dyDescent="0.25">
      <c r="A28" s="55">
        <v>27</v>
      </c>
      <c r="B28" s="55">
        <v>1</v>
      </c>
      <c r="C28" s="55" t="s">
        <v>52</v>
      </c>
      <c r="D28" s="56" t="s">
        <v>72</v>
      </c>
      <c r="E28" s="57" t="str">
        <f>E61</f>
        <v>Developer II+</v>
      </c>
      <c r="F28" s="57" t="s">
        <v>12</v>
      </c>
      <c r="G28" s="50">
        <f>G61</f>
        <v>3200000</v>
      </c>
      <c r="H28" s="50">
        <f>H61</f>
        <v>266666.66666666669</v>
      </c>
      <c r="I28" s="58">
        <f>I61</f>
        <v>0</v>
      </c>
      <c r="J28" s="58">
        <f t="shared" si="14"/>
        <v>4677226.666666667</v>
      </c>
      <c r="K28" s="78">
        <f t="shared" si="3"/>
        <v>3466666.6666666665</v>
      </c>
      <c r="M28" s="123">
        <f t="shared" si="4"/>
        <v>3200000</v>
      </c>
      <c r="N28" s="73">
        <f t="shared" si="5"/>
        <v>1600000</v>
      </c>
    </row>
    <row r="29" spans="1:14" s="46" customFormat="1" hidden="1" x14ac:dyDescent="0.25">
      <c r="A29" s="55">
        <v>28</v>
      </c>
      <c r="B29" s="55">
        <v>0</v>
      </c>
      <c r="C29" s="55" t="s">
        <v>52</v>
      </c>
      <c r="D29" s="56" t="s">
        <v>73</v>
      </c>
      <c r="E29" s="57" t="str">
        <f>E80</f>
        <v>SIG coordinator</v>
      </c>
      <c r="F29" s="57" t="s">
        <v>12</v>
      </c>
      <c r="G29" s="50">
        <f>G80</f>
        <v>0</v>
      </c>
      <c r="H29" s="50">
        <f>H80</f>
        <v>1450000</v>
      </c>
      <c r="I29" s="58">
        <f>I80</f>
        <v>0</v>
      </c>
      <c r="J29" s="58">
        <f t="shared" si="14"/>
        <v>1450000</v>
      </c>
      <c r="K29" s="78">
        <f t="shared" si="3"/>
        <v>1450000</v>
      </c>
      <c r="M29" s="123">
        <f t="shared" si="4"/>
        <v>0</v>
      </c>
      <c r="N29" s="73">
        <v>1450000</v>
      </c>
    </row>
    <row r="30" spans="1:14" s="46" customFormat="1" hidden="1" x14ac:dyDescent="0.25">
      <c r="A30" s="55">
        <v>29</v>
      </c>
      <c r="B30" s="55">
        <v>0</v>
      </c>
      <c r="C30" s="55" t="s">
        <v>52</v>
      </c>
      <c r="D30" s="56" t="s">
        <v>74</v>
      </c>
      <c r="E30" s="57" t="str">
        <f>E74</f>
        <v>Key account manager</v>
      </c>
      <c r="F30" s="57" t="s">
        <v>76</v>
      </c>
      <c r="G30" s="50">
        <v>3000000</v>
      </c>
      <c r="H30" s="50">
        <v>0</v>
      </c>
      <c r="I30" s="58">
        <f>I80</f>
        <v>0</v>
      </c>
      <c r="J30" s="58">
        <f t="shared" si="14"/>
        <v>4134899.9999999995</v>
      </c>
      <c r="K30" s="78">
        <f t="shared" si="3"/>
        <v>3000000</v>
      </c>
      <c r="M30" s="123">
        <f t="shared" si="4"/>
        <v>3000000</v>
      </c>
      <c r="N30" s="73">
        <f t="shared" si="5"/>
        <v>0</v>
      </c>
    </row>
    <row r="31" spans="1:14" s="46" customFormat="1" hidden="1" x14ac:dyDescent="0.25">
      <c r="A31" s="55">
        <v>30</v>
      </c>
      <c r="B31" s="55">
        <v>0</v>
      </c>
      <c r="C31" s="55" t="s">
        <v>52</v>
      </c>
      <c r="D31" s="56" t="s">
        <v>77</v>
      </c>
      <c r="E31" s="57" t="str">
        <f>E68</f>
        <v>Administrative assistant</v>
      </c>
      <c r="F31" s="57" t="s">
        <v>12</v>
      </c>
      <c r="G31" s="50">
        <f>G68</f>
        <v>2300000</v>
      </c>
      <c r="H31" s="50">
        <f>H68</f>
        <v>0</v>
      </c>
      <c r="I31" s="58">
        <f>I68</f>
        <v>0</v>
      </c>
      <c r="J31" s="58">
        <f t="shared" si="14"/>
        <v>3170089.9999999995</v>
      </c>
      <c r="K31" s="78">
        <f t="shared" si="3"/>
        <v>2300000</v>
      </c>
      <c r="M31" s="123">
        <f t="shared" si="4"/>
        <v>2300000</v>
      </c>
      <c r="N31" s="73">
        <f t="shared" si="5"/>
        <v>0</v>
      </c>
    </row>
    <row r="32" spans="1:14" s="46" customFormat="1" hidden="1" x14ac:dyDescent="0.25">
      <c r="A32" s="55">
        <v>31</v>
      </c>
      <c r="B32" s="55">
        <v>1</v>
      </c>
      <c r="C32" s="55" t="s">
        <v>52</v>
      </c>
      <c r="D32" s="56" t="s">
        <v>78</v>
      </c>
      <c r="E32" s="57" t="str">
        <f>E58</f>
        <v>Developer I</v>
      </c>
      <c r="F32" s="57" t="s">
        <v>12</v>
      </c>
      <c r="G32" s="50">
        <f>G58</f>
        <v>2800000</v>
      </c>
      <c r="H32" s="50">
        <f>H58</f>
        <v>0</v>
      </c>
      <c r="I32" s="58">
        <f>I58</f>
        <v>0</v>
      </c>
      <c r="J32" s="58">
        <f t="shared" si="14"/>
        <v>3859239.9999999995</v>
      </c>
      <c r="K32" s="78">
        <f t="shared" si="3"/>
        <v>2800000</v>
      </c>
      <c r="M32" s="123">
        <f t="shared" si="4"/>
        <v>2800000</v>
      </c>
      <c r="N32" s="73">
        <f t="shared" si="5"/>
        <v>0</v>
      </c>
    </row>
    <row r="33" spans="1:14" s="46" customFormat="1" hidden="1" x14ac:dyDescent="0.25">
      <c r="A33" s="55">
        <v>32</v>
      </c>
      <c r="B33" s="55">
        <v>1</v>
      </c>
      <c r="C33" s="55" t="s">
        <v>55</v>
      </c>
      <c r="D33" s="56" t="s">
        <v>23</v>
      </c>
      <c r="E33" s="57" t="str">
        <f>E70</f>
        <v>Project manager I</v>
      </c>
      <c r="F33" s="57" t="s">
        <v>12</v>
      </c>
      <c r="G33" s="50">
        <f>G70</f>
        <v>3200000</v>
      </c>
      <c r="H33" s="50">
        <f>H70</f>
        <v>266666.66666666669</v>
      </c>
      <c r="I33" s="58">
        <f>I70</f>
        <v>0</v>
      </c>
      <c r="J33" s="58">
        <f t="shared" si="14"/>
        <v>4677226.666666667</v>
      </c>
      <c r="K33" s="78">
        <f t="shared" si="3"/>
        <v>3466666.6666666665</v>
      </c>
      <c r="M33" s="123">
        <f t="shared" si="4"/>
        <v>3200000</v>
      </c>
      <c r="N33" s="73">
        <f t="shared" si="5"/>
        <v>1600000</v>
      </c>
    </row>
    <row r="34" spans="1:14" s="46" customFormat="1" hidden="1" x14ac:dyDescent="0.25">
      <c r="A34" s="55">
        <v>33</v>
      </c>
      <c r="B34" s="55">
        <v>0.25</v>
      </c>
      <c r="C34" s="55" t="s">
        <v>52</v>
      </c>
      <c r="D34" s="56" t="s">
        <v>79</v>
      </c>
      <c r="E34" s="57" t="str">
        <f>E74</f>
        <v>Key account manager</v>
      </c>
      <c r="F34" s="57" t="s">
        <v>12</v>
      </c>
      <c r="G34" s="50">
        <f>G74</f>
        <v>5000000</v>
      </c>
      <c r="H34" s="50">
        <f>H74</f>
        <v>0</v>
      </c>
      <c r="I34" s="58">
        <f>I74</f>
        <v>0</v>
      </c>
      <c r="J34" s="58">
        <f t="shared" si="14"/>
        <v>6891499.9999999991</v>
      </c>
      <c r="K34" s="78">
        <f t="shared" si="3"/>
        <v>5000000</v>
      </c>
      <c r="M34" s="123">
        <f t="shared" si="4"/>
        <v>5000000</v>
      </c>
      <c r="N34" s="73">
        <f t="shared" si="5"/>
        <v>0</v>
      </c>
    </row>
    <row r="35" spans="1:14" s="46" customFormat="1" hidden="1" x14ac:dyDescent="0.25">
      <c r="A35" s="55">
        <v>34</v>
      </c>
      <c r="B35" s="55">
        <v>1</v>
      </c>
      <c r="C35" s="55" t="s">
        <v>55</v>
      </c>
      <c r="D35" s="56" t="s">
        <v>24</v>
      </c>
      <c r="E35" s="57" t="str">
        <f>E61</f>
        <v>Developer II+</v>
      </c>
      <c r="F35" s="57" t="s">
        <v>17</v>
      </c>
      <c r="G35" s="50">
        <f>G61</f>
        <v>3200000</v>
      </c>
      <c r="H35" s="50">
        <f>H61</f>
        <v>266666.66666666669</v>
      </c>
      <c r="I35" s="58">
        <f>I61</f>
        <v>0</v>
      </c>
      <c r="J35" s="58">
        <f t="shared" si="14"/>
        <v>4677226.666666667</v>
      </c>
      <c r="K35" s="78">
        <f t="shared" si="3"/>
        <v>3466666.6666666665</v>
      </c>
      <c r="M35" s="123">
        <f t="shared" si="4"/>
        <v>3200000</v>
      </c>
      <c r="N35" s="73">
        <f t="shared" si="5"/>
        <v>1600000</v>
      </c>
    </row>
    <row r="36" spans="1:14" s="46" customFormat="1" hidden="1" x14ac:dyDescent="0.25">
      <c r="A36" s="55">
        <v>35</v>
      </c>
      <c r="B36" s="55">
        <v>1</v>
      </c>
      <c r="C36" s="55" t="s">
        <v>55</v>
      </c>
      <c r="D36" s="56" t="s">
        <v>25</v>
      </c>
      <c r="E36" s="57" t="str">
        <f>E57</f>
        <v>QA analyst</v>
      </c>
      <c r="F36" s="57" t="s">
        <v>12</v>
      </c>
      <c r="G36" s="50">
        <f>G57</f>
        <v>2800000</v>
      </c>
      <c r="H36" s="50">
        <f>H57</f>
        <v>0</v>
      </c>
      <c r="I36" s="58">
        <f>I57</f>
        <v>0</v>
      </c>
      <c r="J36" s="58">
        <f t="shared" si="14"/>
        <v>3859239.9999999995</v>
      </c>
      <c r="K36" s="78">
        <f t="shared" si="3"/>
        <v>2800000</v>
      </c>
      <c r="M36" s="123">
        <f t="shared" si="4"/>
        <v>2800000</v>
      </c>
      <c r="N36" s="73">
        <f t="shared" si="5"/>
        <v>0</v>
      </c>
    </row>
    <row r="37" spans="1:14" s="46" customFormat="1" x14ac:dyDescent="0.25">
      <c r="A37" s="55">
        <v>36</v>
      </c>
      <c r="B37" s="55">
        <v>0</v>
      </c>
      <c r="C37" s="55" t="s">
        <v>59</v>
      </c>
      <c r="D37" s="60" t="s">
        <v>80</v>
      </c>
      <c r="E37" s="61" t="str">
        <f>E77</f>
        <v>Payroll asistant/Assistant</v>
      </c>
      <c r="F37" s="57" t="s">
        <v>12</v>
      </c>
      <c r="G37" s="50">
        <f>G77</f>
        <v>0</v>
      </c>
      <c r="H37" s="50">
        <f>H77</f>
        <v>850000</v>
      </c>
      <c r="I37" s="58">
        <f>I77</f>
        <v>0</v>
      </c>
      <c r="J37" s="58">
        <f t="shared" si="14"/>
        <v>850000</v>
      </c>
      <c r="K37" s="78">
        <f t="shared" si="3"/>
        <v>850000</v>
      </c>
      <c r="M37" s="123">
        <f t="shared" si="4"/>
        <v>0</v>
      </c>
      <c r="N37" s="73">
        <v>850000</v>
      </c>
    </row>
    <row r="38" spans="1:14" s="46" customFormat="1" hidden="1" x14ac:dyDescent="0.25">
      <c r="A38" s="55">
        <v>37</v>
      </c>
      <c r="B38" s="55">
        <v>0</v>
      </c>
      <c r="C38" s="55" t="s">
        <v>52</v>
      </c>
      <c r="D38" s="60" t="s">
        <v>81</v>
      </c>
      <c r="E38" s="61" t="str">
        <f>E81</f>
        <v>Accountant</v>
      </c>
      <c r="F38" s="57" t="s">
        <v>12</v>
      </c>
      <c r="G38" s="50">
        <f>G81</f>
        <v>0</v>
      </c>
      <c r="H38" s="50">
        <f>H81</f>
        <v>850000</v>
      </c>
      <c r="I38" s="58">
        <f>I81</f>
        <v>0</v>
      </c>
      <c r="J38" s="58">
        <f t="shared" si="14"/>
        <v>850000</v>
      </c>
      <c r="K38" s="78">
        <f t="shared" si="3"/>
        <v>850000</v>
      </c>
      <c r="M38" s="123">
        <f t="shared" si="4"/>
        <v>0</v>
      </c>
      <c r="N38" s="73">
        <v>850000</v>
      </c>
    </row>
    <row r="39" spans="1:14" s="46" customFormat="1" hidden="1" x14ac:dyDescent="0.25">
      <c r="A39" s="55">
        <v>38</v>
      </c>
      <c r="B39" s="55">
        <v>1</v>
      </c>
      <c r="C39" s="55" t="s">
        <v>52</v>
      </c>
      <c r="D39" s="60" t="s">
        <v>82</v>
      </c>
      <c r="E39" s="61" t="str">
        <f>E58</f>
        <v>Developer I</v>
      </c>
      <c r="F39" s="57" t="s">
        <v>17</v>
      </c>
      <c r="G39" s="50">
        <f>G58</f>
        <v>2800000</v>
      </c>
      <c r="H39" s="50">
        <f>H58</f>
        <v>0</v>
      </c>
      <c r="I39" s="58">
        <f>I58</f>
        <v>0</v>
      </c>
      <c r="J39" s="58">
        <f t="shared" si="14"/>
        <v>3859239.9999999995</v>
      </c>
      <c r="K39" s="78">
        <f t="shared" si="3"/>
        <v>2800000</v>
      </c>
      <c r="M39" s="123">
        <f t="shared" si="4"/>
        <v>2800000</v>
      </c>
      <c r="N39" s="73">
        <f t="shared" si="5"/>
        <v>0</v>
      </c>
    </row>
    <row r="40" spans="1:14" s="46" customFormat="1" hidden="1" x14ac:dyDescent="0.25">
      <c r="A40" s="55">
        <v>39</v>
      </c>
      <c r="B40" s="55">
        <v>0</v>
      </c>
      <c r="C40" s="55" t="s">
        <v>52</v>
      </c>
      <c r="D40" s="60" t="s">
        <v>83</v>
      </c>
      <c r="E40" s="61" t="str">
        <f>E75</f>
        <v>Submanager</v>
      </c>
      <c r="F40" s="57" t="s">
        <v>12</v>
      </c>
      <c r="G40" s="50">
        <f>G75</f>
        <v>0</v>
      </c>
      <c r="H40" s="50">
        <f>H75</f>
        <v>12000000</v>
      </c>
      <c r="I40" s="58">
        <f>I75</f>
        <v>0</v>
      </c>
      <c r="J40" s="58">
        <f t="shared" si="14"/>
        <v>12000000</v>
      </c>
      <c r="K40" s="78">
        <f t="shared" si="3"/>
        <v>12000000</v>
      </c>
      <c r="M40" s="123">
        <f t="shared" si="4"/>
        <v>0</v>
      </c>
      <c r="N40" s="73">
        <v>12000000</v>
      </c>
    </row>
    <row r="41" spans="1:14" s="46" customFormat="1" hidden="1" x14ac:dyDescent="0.25">
      <c r="A41" s="55">
        <v>40</v>
      </c>
      <c r="B41" s="55">
        <v>1</v>
      </c>
      <c r="C41" s="55" t="s">
        <v>52</v>
      </c>
      <c r="D41" s="60" t="s">
        <v>84</v>
      </c>
      <c r="E41" s="61" t="str">
        <f>E56</f>
        <v>Junior Developer</v>
      </c>
      <c r="F41" s="57" t="s">
        <v>76</v>
      </c>
      <c r="G41" s="50">
        <v>1100000</v>
      </c>
      <c r="H41" s="50">
        <v>0</v>
      </c>
      <c r="I41" s="58">
        <f>102854</f>
        <v>102854</v>
      </c>
      <c r="J41" s="58">
        <f t="shared" si="14"/>
        <v>1657893.6681999997</v>
      </c>
      <c r="K41" s="78">
        <f t="shared" si="3"/>
        <v>1100000</v>
      </c>
      <c r="M41" s="123">
        <f t="shared" si="4"/>
        <v>1100000</v>
      </c>
      <c r="N41" s="73">
        <f t="shared" si="5"/>
        <v>0</v>
      </c>
    </row>
    <row r="42" spans="1:14" s="46" customFormat="1" hidden="1" x14ac:dyDescent="0.25">
      <c r="A42" s="55">
        <v>41</v>
      </c>
      <c r="B42" s="55">
        <v>1</v>
      </c>
      <c r="C42" s="55" t="s">
        <v>55</v>
      </c>
      <c r="D42" s="56" t="s">
        <v>26</v>
      </c>
      <c r="E42" s="57" t="str">
        <f>E63</f>
        <v>Developer III+</v>
      </c>
      <c r="F42" s="57" t="s">
        <v>17</v>
      </c>
      <c r="G42" s="50">
        <f>G63</f>
        <v>3800000</v>
      </c>
      <c r="H42" s="50">
        <f t="shared" ref="H42:I42" si="15">H63</f>
        <v>316666.66666666669</v>
      </c>
      <c r="I42" s="50">
        <f t="shared" si="15"/>
        <v>0</v>
      </c>
      <c r="J42" s="58">
        <f t="shared" si="14"/>
        <v>5554206.666666666</v>
      </c>
      <c r="K42" s="78">
        <f t="shared" si="3"/>
        <v>4116666.6666666665</v>
      </c>
      <c r="M42" s="123">
        <f t="shared" si="4"/>
        <v>3800000</v>
      </c>
      <c r="N42" s="73">
        <f t="shared" si="5"/>
        <v>1900000</v>
      </c>
    </row>
    <row r="43" spans="1:14" s="46" customFormat="1" hidden="1" x14ac:dyDescent="0.25">
      <c r="A43" s="55">
        <v>42</v>
      </c>
      <c r="B43" s="55">
        <v>0</v>
      </c>
      <c r="C43" s="55" t="s">
        <v>52</v>
      </c>
      <c r="D43" s="60" t="s">
        <v>85</v>
      </c>
      <c r="E43" s="61" t="str">
        <f>E76</f>
        <v>Manager</v>
      </c>
      <c r="F43" s="57" t="s">
        <v>12</v>
      </c>
      <c r="G43" s="50">
        <f>G76</f>
        <v>0</v>
      </c>
      <c r="H43" s="50">
        <f>H76</f>
        <v>12000000</v>
      </c>
      <c r="I43" s="58">
        <f>I76</f>
        <v>0</v>
      </c>
      <c r="J43" s="58">
        <f t="shared" si="14"/>
        <v>12000000</v>
      </c>
      <c r="K43" s="78">
        <f t="shared" si="3"/>
        <v>12000000</v>
      </c>
      <c r="M43" s="123">
        <f t="shared" si="4"/>
        <v>0</v>
      </c>
      <c r="N43" s="73">
        <v>12000000</v>
      </c>
    </row>
    <row r="44" spans="1:14" s="46" customFormat="1" x14ac:dyDescent="0.25">
      <c r="A44" s="55">
        <v>43</v>
      </c>
      <c r="B44" s="55" t="s">
        <v>58</v>
      </c>
      <c r="C44" s="55" t="s">
        <v>59</v>
      </c>
      <c r="D44" s="60" t="s">
        <v>86</v>
      </c>
      <c r="E44" s="61" t="str">
        <f>E79</f>
        <v>External</v>
      </c>
      <c r="F44" s="57" t="s">
        <v>12</v>
      </c>
      <c r="G44" s="50">
        <f>G79</f>
        <v>0</v>
      </c>
      <c r="H44" s="50">
        <f>H79</f>
        <v>3500000</v>
      </c>
      <c r="I44" s="58">
        <f>I79</f>
        <v>0</v>
      </c>
      <c r="J44" s="58">
        <f t="shared" si="14"/>
        <v>3500000</v>
      </c>
      <c r="K44" s="78">
        <f t="shared" si="3"/>
        <v>3500000</v>
      </c>
      <c r="M44" s="123">
        <f t="shared" si="4"/>
        <v>0</v>
      </c>
      <c r="N44" s="73">
        <v>3500000</v>
      </c>
    </row>
    <row r="45" spans="1:14" s="46" customFormat="1" hidden="1" x14ac:dyDescent="0.25">
      <c r="A45" s="55">
        <v>44</v>
      </c>
      <c r="B45" s="55">
        <v>0</v>
      </c>
      <c r="C45" s="55" t="s">
        <v>52</v>
      </c>
      <c r="D45" s="56" t="s">
        <v>87</v>
      </c>
      <c r="E45" s="64" t="str">
        <f>E52</f>
        <v>SENA</v>
      </c>
      <c r="F45" s="57" t="s">
        <v>12</v>
      </c>
      <c r="G45" s="50">
        <f>G52/2</f>
        <v>438901.5</v>
      </c>
      <c r="H45" s="50">
        <f>H52</f>
        <v>0</v>
      </c>
      <c r="I45" s="50">
        <f>I52</f>
        <v>0</v>
      </c>
      <c r="J45" s="58">
        <f t="shared" si="14"/>
        <v>604937.93744999997</v>
      </c>
      <c r="K45" s="78">
        <f t="shared" si="3"/>
        <v>438901.5</v>
      </c>
      <c r="M45" s="123">
        <f t="shared" si="4"/>
        <v>438901.5</v>
      </c>
      <c r="N45" s="73">
        <f t="shared" si="5"/>
        <v>0</v>
      </c>
    </row>
    <row r="46" spans="1:14" s="46" customFormat="1" hidden="1" x14ac:dyDescent="0.25">
      <c r="A46" s="55">
        <v>45</v>
      </c>
      <c r="B46" s="55">
        <v>1</v>
      </c>
      <c r="C46" s="55" t="s">
        <v>52</v>
      </c>
      <c r="D46" s="56" t="s">
        <v>88</v>
      </c>
      <c r="E46" s="64" t="str">
        <f>E55</f>
        <v>Technical</v>
      </c>
      <c r="F46" s="57" t="s">
        <v>12</v>
      </c>
      <c r="G46" s="50">
        <f>G55</f>
        <v>1700000</v>
      </c>
      <c r="H46" s="50">
        <f t="shared" ref="H46:I46" si="16">H55</f>
        <v>0</v>
      </c>
      <c r="I46" s="50">
        <f t="shared" si="16"/>
        <v>102854</v>
      </c>
      <c r="J46" s="58">
        <f t="shared" si="14"/>
        <v>2484873.6681999997</v>
      </c>
      <c r="K46" s="78">
        <f t="shared" si="3"/>
        <v>1700000</v>
      </c>
      <c r="M46" s="123">
        <f t="shared" si="4"/>
        <v>1700000</v>
      </c>
      <c r="N46" s="73">
        <f t="shared" si="5"/>
        <v>0</v>
      </c>
    </row>
    <row r="47" spans="1:14" hidden="1" x14ac:dyDescent="0.25">
      <c r="A47" s="51"/>
      <c r="B47" s="52">
        <f>SUM(B2:B46)</f>
        <v>30.25</v>
      </c>
      <c r="C47" s="52"/>
      <c r="D47" s="51"/>
      <c r="E47" s="51"/>
      <c r="F47" s="51"/>
      <c r="G47" s="53"/>
      <c r="H47" s="53"/>
      <c r="I47" s="53"/>
      <c r="J47" s="54">
        <f>SUM(J2:J46)</f>
        <v>201784780.15181661</v>
      </c>
      <c r="M47" s="38">
        <f t="shared" ref="M47:N47" si="17">SUM(M2:M46)</f>
        <v>116466704.5</v>
      </c>
      <c r="N47" s="39">
        <f t="shared" si="17"/>
        <v>69150000</v>
      </c>
    </row>
    <row r="51" spans="5:14" ht="25.5" x14ac:dyDescent="0.25">
      <c r="E51" s="49" t="s">
        <v>49</v>
      </c>
      <c r="F51" s="49"/>
      <c r="G51" s="49" t="s">
        <v>30</v>
      </c>
      <c r="H51" s="49" t="s">
        <v>31</v>
      </c>
      <c r="I51" s="49" t="s">
        <v>32</v>
      </c>
    </row>
    <row r="52" spans="5:14" x14ac:dyDescent="0.25">
      <c r="E52" s="62" t="s">
        <v>43</v>
      </c>
      <c r="F52" s="25"/>
      <c r="G52" s="26">
        <v>877803</v>
      </c>
      <c r="H52" s="35">
        <v>0</v>
      </c>
      <c r="I52" s="35">
        <v>0</v>
      </c>
    </row>
    <row r="53" spans="5:14" x14ac:dyDescent="0.25">
      <c r="E53" s="28" t="s">
        <v>100</v>
      </c>
      <c r="F53" s="25"/>
      <c r="G53" s="26">
        <v>877803</v>
      </c>
      <c r="H53" s="5">
        <v>0</v>
      </c>
      <c r="I53" s="5">
        <v>102854</v>
      </c>
    </row>
    <row r="54" spans="5:14" s="70" customFormat="1" x14ac:dyDescent="0.25">
      <c r="E54" s="66" t="s">
        <v>89</v>
      </c>
      <c r="F54" s="67"/>
      <c r="G54" s="68">
        <v>1500000</v>
      </c>
      <c r="H54" s="69"/>
      <c r="I54" s="69"/>
      <c r="K54" s="77"/>
      <c r="N54" s="74"/>
    </row>
    <row r="55" spans="5:14" x14ac:dyDescent="0.25">
      <c r="E55" s="62" t="s">
        <v>97</v>
      </c>
      <c r="F55" s="25"/>
      <c r="G55" s="26">
        <v>1700000</v>
      </c>
      <c r="H55" s="5">
        <v>0</v>
      </c>
      <c r="I55" s="5">
        <v>102854</v>
      </c>
    </row>
    <row r="56" spans="5:14" x14ac:dyDescent="0.25">
      <c r="E56" s="24" t="s">
        <v>101</v>
      </c>
      <c r="F56" s="25"/>
      <c r="G56" s="26">
        <v>2300000</v>
      </c>
      <c r="H56" s="6">
        <v>0</v>
      </c>
      <c r="I56" s="6">
        <v>0</v>
      </c>
    </row>
    <row r="57" spans="5:14" x14ac:dyDescent="0.25">
      <c r="E57" s="24" t="s">
        <v>33</v>
      </c>
      <c r="F57" s="25"/>
      <c r="G57" s="26">
        <f>2800000</f>
        <v>2800000</v>
      </c>
      <c r="H57" s="6">
        <v>0</v>
      </c>
      <c r="I57" s="6">
        <v>0</v>
      </c>
    </row>
    <row r="58" spans="5:14" x14ac:dyDescent="0.25">
      <c r="E58" s="24" t="s">
        <v>34</v>
      </c>
      <c r="F58" s="25"/>
      <c r="G58" s="27">
        <v>2800000</v>
      </c>
      <c r="H58" s="6">
        <v>0</v>
      </c>
      <c r="I58" s="6">
        <v>0</v>
      </c>
    </row>
    <row r="59" spans="5:14" x14ac:dyDescent="0.25">
      <c r="E59" s="24" t="s">
        <v>92</v>
      </c>
      <c r="F59" s="25"/>
      <c r="G59" s="26">
        <v>2800000</v>
      </c>
      <c r="H59" s="6">
        <f>G59/12</f>
        <v>233333.33333333334</v>
      </c>
      <c r="I59" s="6">
        <v>0</v>
      </c>
    </row>
    <row r="60" spans="5:14" x14ac:dyDescent="0.25">
      <c r="E60" s="24" t="s">
        <v>35</v>
      </c>
      <c r="F60" s="25"/>
      <c r="G60" s="26">
        <v>3200000</v>
      </c>
      <c r="H60" s="6">
        <v>0</v>
      </c>
      <c r="I60" s="6">
        <v>0</v>
      </c>
    </row>
    <row r="61" spans="5:14" x14ac:dyDescent="0.25">
      <c r="E61" s="24" t="s">
        <v>93</v>
      </c>
      <c r="F61" s="25"/>
      <c r="G61" s="26">
        <v>3200000</v>
      </c>
      <c r="H61" s="6">
        <f>G61/12</f>
        <v>266666.66666666669</v>
      </c>
      <c r="I61" s="6">
        <v>0</v>
      </c>
    </row>
    <row r="62" spans="5:14" x14ac:dyDescent="0.25">
      <c r="E62" s="24" t="s">
        <v>36</v>
      </c>
      <c r="F62" s="25"/>
      <c r="G62" s="26">
        <v>3800000</v>
      </c>
      <c r="H62" s="6"/>
      <c r="I62" s="6">
        <v>0</v>
      </c>
    </row>
    <row r="63" spans="5:14" x14ac:dyDescent="0.25">
      <c r="E63" s="28" t="s">
        <v>94</v>
      </c>
      <c r="F63" s="25"/>
      <c r="G63" s="26">
        <v>3800000</v>
      </c>
      <c r="H63" s="6">
        <f>G63/12</f>
        <v>316666.66666666669</v>
      </c>
      <c r="I63" s="6">
        <v>0</v>
      </c>
    </row>
    <row r="64" spans="5:14" x14ac:dyDescent="0.25">
      <c r="E64" s="24" t="s">
        <v>37</v>
      </c>
      <c r="F64" s="25"/>
      <c r="G64" s="26">
        <v>4200000</v>
      </c>
      <c r="H64" s="6">
        <v>0</v>
      </c>
      <c r="I64" s="6">
        <v>0</v>
      </c>
    </row>
    <row r="65" spans="5:14" x14ac:dyDescent="0.25">
      <c r="E65" s="24" t="s">
        <v>95</v>
      </c>
      <c r="F65" s="25"/>
      <c r="G65" s="26">
        <v>4200000</v>
      </c>
      <c r="H65" s="6">
        <f>G65/12</f>
        <v>350000</v>
      </c>
      <c r="I65" s="6">
        <v>0</v>
      </c>
    </row>
    <row r="66" spans="5:14" x14ac:dyDescent="0.25">
      <c r="E66" s="24" t="s">
        <v>38</v>
      </c>
      <c r="F66" s="25"/>
      <c r="G66" s="26">
        <v>4400000</v>
      </c>
      <c r="H66" s="6">
        <f>G66/12</f>
        <v>366666.66666666669</v>
      </c>
      <c r="I66" s="6">
        <v>0</v>
      </c>
      <c r="J66" s="65"/>
    </row>
    <row r="67" spans="5:14" x14ac:dyDescent="0.25">
      <c r="E67" s="24" t="s">
        <v>96</v>
      </c>
      <c r="F67" s="25"/>
      <c r="G67" s="26">
        <v>4600000</v>
      </c>
      <c r="H67" s="6">
        <f>G67/12</f>
        <v>383333.33333333331</v>
      </c>
      <c r="I67" s="6">
        <v>0</v>
      </c>
    </row>
    <row r="68" spans="5:14" x14ac:dyDescent="0.25">
      <c r="E68" s="24" t="s">
        <v>42</v>
      </c>
      <c r="F68" s="25"/>
      <c r="G68" s="26">
        <v>2300000</v>
      </c>
      <c r="H68" s="6"/>
      <c r="I68" s="6">
        <v>0</v>
      </c>
    </row>
    <row r="69" spans="5:14" x14ac:dyDescent="0.25">
      <c r="E69" s="24" t="s">
        <v>90</v>
      </c>
      <c r="F69" s="25"/>
      <c r="G69" s="26">
        <v>2950000</v>
      </c>
      <c r="H69" s="6">
        <v>0</v>
      </c>
      <c r="I69" s="6">
        <v>0</v>
      </c>
    </row>
    <row r="70" spans="5:14" x14ac:dyDescent="0.25">
      <c r="E70" s="24" t="s">
        <v>39</v>
      </c>
      <c r="F70" s="25"/>
      <c r="G70" s="26">
        <v>3200000</v>
      </c>
      <c r="H70" s="6">
        <f>G70/12</f>
        <v>266666.66666666669</v>
      </c>
      <c r="I70" s="6">
        <v>0</v>
      </c>
    </row>
    <row r="71" spans="5:14" x14ac:dyDescent="0.25">
      <c r="E71" s="24" t="s">
        <v>40</v>
      </c>
      <c r="F71" s="25"/>
      <c r="G71" s="26">
        <v>4200000</v>
      </c>
      <c r="H71" s="6">
        <f>G71/12</f>
        <v>350000</v>
      </c>
      <c r="I71" s="6">
        <v>0</v>
      </c>
    </row>
    <row r="72" spans="5:14" x14ac:dyDescent="0.25">
      <c r="E72" s="24" t="s">
        <v>41</v>
      </c>
      <c r="F72" s="25"/>
      <c r="G72" s="26">
        <v>4600000</v>
      </c>
      <c r="H72" s="6">
        <f>G72/12</f>
        <v>383333.33333333331</v>
      </c>
      <c r="I72" s="6">
        <v>0</v>
      </c>
    </row>
    <row r="73" spans="5:14" x14ac:dyDescent="0.25">
      <c r="E73" s="24" t="s">
        <v>102</v>
      </c>
      <c r="F73" s="25"/>
      <c r="G73" s="26">
        <v>7800000</v>
      </c>
      <c r="H73" s="6">
        <f>G73/12</f>
        <v>650000</v>
      </c>
      <c r="I73" s="6">
        <v>0</v>
      </c>
    </row>
    <row r="74" spans="5:14" x14ac:dyDescent="0.25">
      <c r="E74" s="24" t="s">
        <v>75</v>
      </c>
      <c r="F74" s="25"/>
      <c r="G74" s="26">
        <v>5000000</v>
      </c>
      <c r="H74" s="6">
        <v>0</v>
      </c>
      <c r="I74" s="6">
        <v>0</v>
      </c>
    </row>
    <row r="75" spans="5:14" x14ac:dyDescent="0.25">
      <c r="E75" s="28" t="s">
        <v>99</v>
      </c>
      <c r="F75" s="25"/>
      <c r="G75" s="26">
        <v>0</v>
      </c>
      <c r="H75" s="6">
        <v>12000000</v>
      </c>
      <c r="I75" s="6">
        <v>0</v>
      </c>
    </row>
    <row r="76" spans="5:14" x14ac:dyDescent="0.25">
      <c r="E76" s="28" t="s">
        <v>98</v>
      </c>
      <c r="F76" s="25"/>
      <c r="G76" s="26">
        <v>0</v>
      </c>
      <c r="H76" s="6">
        <v>12000000</v>
      </c>
      <c r="I76" s="6">
        <v>0</v>
      </c>
    </row>
    <row r="77" spans="5:14" x14ac:dyDescent="0.25">
      <c r="E77" s="28" t="s">
        <v>103</v>
      </c>
      <c r="F77" s="25"/>
      <c r="G77" s="27">
        <v>0</v>
      </c>
      <c r="H77" s="35">
        <v>850000</v>
      </c>
      <c r="I77" s="35">
        <v>0</v>
      </c>
    </row>
    <row r="78" spans="5:14" s="70" customFormat="1" x14ac:dyDescent="0.25">
      <c r="E78" s="66" t="s">
        <v>91</v>
      </c>
      <c r="F78" s="67"/>
      <c r="G78" s="71">
        <v>0</v>
      </c>
      <c r="H78" s="72">
        <v>1068452</v>
      </c>
      <c r="I78" s="72">
        <v>0</v>
      </c>
      <c r="K78" s="77"/>
      <c r="N78" s="74"/>
    </row>
    <row r="79" spans="5:14" x14ac:dyDescent="0.25">
      <c r="E79" s="28" t="s">
        <v>104</v>
      </c>
      <c r="F79" s="25"/>
      <c r="G79" s="27">
        <v>0</v>
      </c>
      <c r="H79" s="35">
        <v>3500000</v>
      </c>
      <c r="I79" s="35">
        <v>0</v>
      </c>
    </row>
    <row r="80" spans="5:14" x14ac:dyDescent="0.25">
      <c r="E80" s="24" t="s">
        <v>105</v>
      </c>
      <c r="F80" s="25"/>
      <c r="G80" s="27">
        <v>0</v>
      </c>
      <c r="H80" s="35">
        <v>1450000</v>
      </c>
      <c r="I80" s="35">
        <v>0</v>
      </c>
    </row>
    <row r="81" spans="5:9" x14ac:dyDescent="0.25">
      <c r="E81" s="28" t="s">
        <v>106</v>
      </c>
      <c r="F81" s="25"/>
      <c r="G81" s="27">
        <v>0</v>
      </c>
      <c r="H81" s="35">
        <v>850000</v>
      </c>
      <c r="I81" s="35">
        <v>0</v>
      </c>
    </row>
    <row r="82" spans="5:9" x14ac:dyDescent="0.25">
      <c r="E82" s="34" t="s">
        <v>45</v>
      </c>
      <c r="F82" s="34"/>
      <c r="G82" s="36">
        <f>'[1]Gastos-Costos'!B31</f>
        <v>0.37829999999999997</v>
      </c>
      <c r="H82" s="63"/>
      <c r="I82" s="63"/>
    </row>
  </sheetData>
  <autoFilter ref="A1:J47" xr:uid="{D7AFD53E-642F-4CF4-8939-42782BE19122}">
    <filterColumn colId="2">
      <filters>
        <filter val="NONE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Mint prueba 2 niveles</vt:lpstr>
      <vt:lpstr>Mint prueba 3 niveles</vt:lpstr>
      <vt:lpstr>Total 2021</vt:lpstr>
      <vt:lpstr>Sheet1</vt:lpstr>
      <vt:lpstr>Total actual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sergio.estupinan</dc:creator>
  <cp:lastModifiedBy>Sergio Estupiñan</cp:lastModifiedBy>
  <dcterms:created xsi:type="dcterms:W3CDTF">2020-11-21T16:21:28Z</dcterms:created>
  <dcterms:modified xsi:type="dcterms:W3CDTF">2020-11-27T16:10:22Z</dcterms:modified>
</cp:coreProperties>
</file>