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hughes\projects\VolFe\benchmarking\"/>
    </mc:Choice>
  </mc:AlternateContent>
  <xr:revisionPtr revIDLastSave="0" documentId="8_{DDC18204-FDB6-4F98-A043-711EF49CB80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" i="1" l="1"/>
  <c r="K10" i="1" s="1"/>
  <c r="U5" i="1"/>
  <c r="L10" i="1" s="1"/>
  <c r="G10" i="1"/>
  <c r="H10" i="1"/>
  <c r="I10" i="1"/>
  <c r="J10" i="1"/>
  <c r="M10" i="1"/>
  <c r="N10" i="1"/>
  <c r="O10" i="1"/>
  <c r="P10" i="1"/>
  <c r="P5" i="1"/>
  <c r="F5" i="1"/>
  <c r="T10" i="1" l="1"/>
  <c r="Q10" i="1"/>
  <c r="M14" i="1" l="1"/>
  <c r="M18" i="1" s="1"/>
  <c r="J14" i="1"/>
  <c r="O14" i="1"/>
  <c r="O18" i="1" s="1"/>
  <c r="P14" i="1"/>
  <c r="P18" i="1" s="1"/>
  <c r="K14" i="1"/>
  <c r="K18" i="1" s="1"/>
  <c r="L14" i="1"/>
  <c r="L18" i="1" s="1"/>
  <c r="G14" i="1"/>
  <c r="H14" i="1"/>
  <c r="H18" i="1" s="1"/>
  <c r="I14" i="1"/>
  <c r="I18" i="1" s="1"/>
  <c r="N14" i="1"/>
  <c r="N18" i="1" s="1"/>
  <c r="K22" i="1" l="1"/>
  <c r="G18" i="1"/>
  <c r="J18" i="1"/>
  <c r="M24" i="1"/>
  <c r="K24" i="1"/>
</calcChain>
</file>

<file path=xl/sharedStrings.xml><?xml version="1.0" encoding="utf-8"?>
<sst xmlns="http://schemas.openxmlformats.org/spreadsheetml/2006/main" count="54" uniqueCount="44">
  <si>
    <t>Kress and Carmichael (1991)</t>
  </si>
  <si>
    <t>T (K)</t>
  </si>
  <si>
    <t>1/T</t>
  </si>
  <si>
    <t>SiO2</t>
  </si>
  <si>
    <t>Al2O3</t>
  </si>
  <si>
    <t>MgO</t>
  </si>
  <si>
    <t>CaO</t>
  </si>
  <si>
    <t>FeO</t>
  </si>
  <si>
    <t>TiO2</t>
  </si>
  <si>
    <t>K2O</t>
  </si>
  <si>
    <t>Na2O</t>
  </si>
  <si>
    <t>MnO</t>
  </si>
  <si>
    <t>Total</t>
  </si>
  <si>
    <t>XFe3+</t>
  </si>
  <si>
    <t>XFe2+</t>
  </si>
  <si>
    <t>Fe3+/Fetot molar</t>
  </si>
  <si>
    <t>Fe2+/Fetot molar</t>
  </si>
  <si>
    <t>Fe0.67O</t>
  </si>
  <si>
    <t>Sum</t>
  </si>
  <si>
    <t>SiO2 mol</t>
  </si>
  <si>
    <t>Al2O3mol</t>
  </si>
  <si>
    <t>MgOmol</t>
  </si>
  <si>
    <t>CaOmol</t>
  </si>
  <si>
    <t>FeO  mol</t>
  </si>
  <si>
    <t>Fe0.67O mol</t>
  </si>
  <si>
    <t>TiO2  mol</t>
  </si>
  <si>
    <t>K2O mol</t>
  </si>
  <si>
    <t>Na2O mol</t>
  </si>
  <si>
    <t>MnO mol</t>
  </si>
  <si>
    <t>SiO2 mol/T</t>
  </si>
  <si>
    <t>Al2O3mol/T</t>
  </si>
  <si>
    <t>MgOmol/T</t>
  </si>
  <si>
    <t>CaO/T</t>
  </si>
  <si>
    <t>FeO  mol/T</t>
  </si>
  <si>
    <t>Fe0.67O/T</t>
  </si>
  <si>
    <t>TiO2  mol/T</t>
  </si>
  <si>
    <t>K2O mol/T</t>
  </si>
  <si>
    <t>Na2O mol/T</t>
  </si>
  <si>
    <t>MnO mol/T</t>
  </si>
  <si>
    <t>Log CS2-</t>
  </si>
  <si>
    <t>calc</t>
  </si>
  <si>
    <t>Log CS6+</t>
  </si>
  <si>
    <t>nonlinear</t>
  </si>
  <si>
    <t>XFe3+/FeT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</si>
</sst>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2" fontId="0" fillId="2" borderId="0" xfId="0" applyNumberFormat="1" applyFill="1"/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3" borderId="0" xfId="0" applyFill="1"/>
    <xf numFmtId="0" fontId="2" fillId="2" borderId="0" xfId="0" applyFont="1" applyFill="1"/>
    <xf numFmtId="2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88900</xdr:rowOff>
    </xdr:from>
    <xdr:to>
      <xdr:col>3</xdr:col>
      <xdr:colOff>774700</xdr:colOff>
      <xdr:row>15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336672-269F-6B1B-A676-9A125A4F2C04}"/>
            </a:ext>
          </a:extLst>
        </xdr:cNvPr>
        <xdr:cNvSpPr txBox="1"/>
      </xdr:nvSpPr>
      <xdr:spPr>
        <a:xfrm>
          <a:off x="76200" y="279400"/>
          <a:ext cx="3175000" cy="27178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temperature in E5, composition in  G5:O5 and</a:t>
          </a:r>
        </a:p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mole fractions Fe</a:t>
          </a:r>
          <a:r>
            <a:rPr lang="en-GB" sz="16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 </a:t>
          </a:r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Fe</a:t>
          </a:r>
          <a:r>
            <a:rPr lang="en-GB" sz="16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2+ </a:t>
          </a:r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S5 and T5.</a:t>
          </a:r>
        </a:p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Sulfide and sulfate capacities appear in K22 and K24 respectively.</a:t>
          </a:r>
        </a:p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“nonlinear” refers to sulfate capacity with logT term we used</a:t>
          </a:r>
        </a:p>
        <a:p>
          <a:r>
            <a:rPr lang="en-GB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extrapolation to  temperatures below 1473K.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E4" workbookViewId="0">
      <selection activeCell="P14" sqref="P14"/>
    </sheetView>
  </sheetViews>
  <sheetFormatPr defaultColWidth="10.6640625" defaultRowHeight="15.5" x14ac:dyDescent="0.35"/>
  <sheetData>
    <row r="1" spans="1:22" x14ac:dyDescent="0.35">
      <c r="A1" s="12"/>
      <c r="B1" s="12"/>
      <c r="C1" s="12"/>
      <c r="D1" s="12"/>
    </row>
    <row r="2" spans="1:22" x14ac:dyDescent="0.35">
      <c r="A2" s="13"/>
      <c r="B2" s="13"/>
      <c r="C2" s="13"/>
      <c r="D2" s="13"/>
    </row>
    <row r="3" spans="1:22" ht="19" customHeight="1" x14ac:dyDescent="0.35">
      <c r="A3" s="13"/>
      <c r="B3" s="13"/>
      <c r="C3" s="13"/>
      <c r="D3" s="13"/>
      <c r="S3" t="s">
        <v>0</v>
      </c>
    </row>
    <row r="4" spans="1:22" ht="16" thickBot="1" x14ac:dyDescent="0.4">
      <c r="A4" s="13"/>
      <c r="B4" s="13"/>
      <c r="C4" s="13"/>
      <c r="D4" s="13"/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/>
      <c r="S4" s="1" t="s">
        <v>13</v>
      </c>
      <c r="T4" s="1" t="s">
        <v>14</v>
      </c>
      <c r="U4" s="1" t="s">
        <v>15</v>
      </c>
      <c r="V4" s="1" t="s">
        <v>16</v>
      </c>
    </row>
    <row r="5" spans="1:22" x14ac:dyDescent="0.35">
      <c r="A5" s="13"/>
      <c r="B5" s="13"/>
      <c r="C5" s="13"/>
      <c r="D5" s="13"/>
      <c r="E5" s="9">
        <v>1473</v>
      </c>
      <c r="F5">
        <f>1/E5</f>
        <v>6.7888662593346908E-4</v>
      </c>
      <c r="G5" s="10">
        <v>51.29</v>
      </c>
      <c r="H5" s="10">
        <v>13.7</v>
      </c>
      <c r="I5" s="10">
        <v>6.7</v>
      </c>
      <c r="J5" s="11">
        <v>11.03</v>
      </c>
      <c r="K5" s="10">
        <v>11.04</v>
      </c>
      <c r="L5" s="10">
        <v>2.5</v>
      </c>
      <c r="M5" s="10">
        <v>0.43</v>
      </c>
      <c r="N5" s="10">
        <v>2.27</v>
      </c>
      <c r="O5" s="10">
        <v>0.02</v>
      </c>
      <c r="P5" s="2">
        <f>SUM(G5:O5)</f>
        <v>98.97999999999999</v>
      </c>
      <c r="Q5" s="3"/>
      <c r="S5" s="9">
        <v>0.1</v>
      </c>
      <c r="T5" s="9">
        <v>0.9</v>
      </c>
      <c r="U5">
        <f>S5/(S5+T5)</f>
        <v>0.1</v>
      </c>
      <c r="V5">
        <f>T5/(T5+S5)</f>
        <v>0.9</v>
      </c>
    </row>
    <row r="6" spans="1:22" x14ac:dyDescent="0.35">
      <c r="A6" s="12"/>
      <c r="B6" s="12"/>
      <c r="C6" s="12"/>
      <c r="D6" s="12"/>
    </row>
    <row r="7" spans="1:22" x14ac:dyDescent="0.35">
      <c r="A7" s="12"/>
      <c r="B7" s="12"/>
      <c r="C7" s="12"/>
      <c r="D7" s="12"/>
    </row>
    <row r="8" spans="1:22" x14ac:dyDescent="0.35">
      <c r="A8" s="12"/>
      <c r="B8" s="12"/>
      <c r="C8" s="12"/>
      <c r="D8" s="12"/>
    </row>
    <row r="9" spans="1:22" ht="16" thickBot="1" x14ac:dyDescent="0.4">
      <c r="A9" s="12"/>
      <c r="B9" s="12"/>
      <c r="C9" s="12"/>
      <c r="D9" s="12"/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17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18</v>
      </c>
      <c r="T9" s="7" t="s">
        <v>43</v>
      </c>
    </row>
    <row r="10" spans="1:22" x14ac:dyDescent="0.35">
      <c r="A10" s="12"/>
      <c r="B10" s="12"/>
      <c r="C10" s="12"/>
      <c r="D10" s="12"/>
      <c r="G10">
        <f>G5/((28.0855/2)+16)</f>
        <v>1.7072338584184206</v>
      </c>
      <c r="H10">
        <f>H5/((26.981539*0.67)+16)</f>
        <v>0.4020232494370567</v>
      </c>
      <c r="I10">
        <f>I5/40.32</f>
        <v>0.16617063492063491</v>
      </c>
      <c r="J10">
        <f>J5/56.06</f>
        <v>0.19675347841598287</v>
      </c>
      <c r="K10">
        <f>(K5/71.85)*V5</f>
        <v>0.13828810020876828</v>
      </c>
      <c r="L10">
        <f>(K5/71.85)*U5/0.667</f>
        <v>2.3036498452235259E-2</v>
      </c>
      <c r="M10">
        <f>L5/((47.867/2)+16)</f>
        <v>6.2604079281806016E-2</v>
      </c>
      <c r="N10">
        <f>M5/94.2</f>
        <v>4.5647558386411888E-3</v>
      </c>
      <c r="O10">
        <f>N5/61.88</f>
        <v>3.6683904330963156E-2</v>
      </c>
      <c r="P10">
        <f>O5/70.94</f>
        <v>2.8192839018889202E-4</v>
      </c>
      <c r="Q10">
        <f>SUM(G10:P10)</f>
        <v>2.7376404876946978</v>
      </c>
      <c r="T10">
        <f>0.667*L10/(0.667*L10+K10)</f>
        <v>9.9999999999999992E-2</v>
      </c>
    </row>
    <row r="13" spans="1:22" ht="16" thickBot="1" x14ac:dyDescent="0.4"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</row>
    <row r="14" spans="1:22" x14ac:dyDescent="0.35">
      <c r="G14" s="5">
        <f t="shared" ref="G14:P14" si="0">G10/$Q$10</f>
        <v>0.62361506782654352</v>
      </c>
      <c r="H14" s="5">
        <f t="shared" si="0"/>
        <v>0.1468502717007926</v>
      </c>
      <c r="I14" s="5">
        <f t="shared" si="0"/>
        <v>6.0698486769007159E-2</v>
      </c>
      <c r="J14" s="5">
        <f t="shared" si="0"/>
        <v>7.1869728439640485E-2</v>
      </c>
      <c r="K14" s="5">
        <f t="shared" si="0"/>
        <v>5.0513608645968489E-2</v>
      </c>
      <c r="L14" s="5">
        <f>L10/$Q$10</f>
        <v>8.4147274106227687E-3</v>
      </c>
      <c r="M14" s="5">
        <f t="shared" si="0"/>
        <v>2.2867896483560347E-2</v>
      </c>
      <c r="N14" s="5">
        <f t="shared" si="0"/>
        <v>1.6674051465702356E-3</v>
      </c>
      <c r="O14" s="5">
        <f t="shared" si="0"/>
        <v>1.3399825322518445E-2</v>
      </c>
      <c r="P14" s="5">
        <f t="shared" si="0"/>
        <v>1.0298225477600868E-4</v>
      </c>
    </row>
    <row r="17" spans="7:17" ht="16" thickBot="1" x14ac:dyDescent="0.4">
      <c r="G17" s="4" t="s">
        <v>29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O17" s="4" t="s">
        <v>37</v>
      </c>
      <c r="P17" s="4" t="s">
        <v>38</v>
      </c>
      <c r="Q17" s="1"/>
    </row>
    <row r="18" spans="7:17" x14ac:dyDescent="0.35">
      <c r="G18" s="5">
        <f t="shared" ref="G18:P18" si="1">G14*1000/$E5</f>
        <v>0.42336392927803362</v>
      </c>
      <c r="H18" s="5">
        <f t="shared" si="1"/>
        <v>9.9694685472364292E-2</v>
      </c>
      <c r="I18" s="5">
        <f t="shared" si="1"/>
        <v>4.1207390881878588E-2</v>
      </c>
      <c r="J18" s="5">
        <f t="shared" si="1"/>
        <v>4.8791397447142212E-2</v>
      </c>
      <c r="K18" s="5">
        <f t="shared" si="1"/>
        <v>3.4293013337385263E-2</v>
      </c>
      <c r="L18" s="5">
        <f t="shared" si="1"/>
        <v>5.7126458999475684E-3</v>
      </c>
      <c r="M18" s="5">
        <f t="shared" si="1"/>
        <v>1.5524709085920128E-2</v>
      </c>
      <c r="N18" s="5">
        <f t="shared" si="1"/>
        <v>1.1319790540191687E-3</v>
      </c>
      <c r="O18" s="5">
        <f t="shared" si="1"/>
        <v>9.0969622013024071E-3</v>
      </c>
      <c r="P18" s="5">
        <f t="shared" si="1"/>
        <v>6.9913275475905426E-5</v>
      </c>
      <c r="Q18" s="6"/>
    </row>
    <row r="22" spans="7:17" x14ac:dyDescent="0.35">
      <c r="J22" s="7" t="s">
        <v>39</v>
      </c>
      <c r="K22">
        <f>0.225+(-1109*G$14+25237*K$14+12705*P$14+5214*J$14+19829*N$14-8879.108)/E$5</f>
        <v>-5.1292328842761536</v>
      </c>
      <c r="L22" t="s">
        <v>40</v>
      </c>
    </row>
    <row r="23" spans="7:17" x14ac:dyDescent="0.35">
      <c r="M23" s="8" t="s">
        <v>42</v>
      </c>
    </row>
    <row r="24" spans="7:17" x14ac:dyDescent="0.35">
      <c r="J24" s="7" t="s">
        <v>41</v>
      </c>
      <c r="K24">
        <f>(-12.948+(15602*J14+28649*O14+9496*I14+4194*H14+16016*P14+29244.229)/E5)</f>
        <v>8.7379228326165723</v>
      </c>
      <c r="L24" t="s">
        <v>40</v>
      </c>
      <c r="M24" s="8">
        <f>-213.645+55.029*LOG(E5)+(15076*J14+25696*O14+9543*I14+4316*H14+16158*P14+68254)/E5</f>
        <v>8.8287454234935439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CRPG</dc:creator>
  <cp:lastModifiedBy>Ery Hughes</cp:lastModifiedBy>
  <dcterms:created xsi:type="dcterms:W3CDTF">2023-06-20T12:04:21Z</dcterms:created>
  <dcterms:modified xsi:type="dcterms:W3CDTF">2025-02-04T07:46:49Z</dcterms:modified>
</cp:coreProperties>
</file>