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Прога\Excel\"/>
    </mc:Choice>
  </mc:AlternateContent>
  <xr:revisionPtr revIDLastSave="0" documentId="13_ncr:1_{E33D5741-026F-4240-AFE9-44E95A821298}" xr6:coauthVersionLast="47" xr6:coauthVersionMax="47" xr10:uidLastSave="{00000000-0000-0000-0000-000000000000}"/>
  <bookViews>
    <workbookView xWindow="-108" yWindow="-108" windowWidth="23256" windowHeight="12576" xr2:uid="{F06244E1-7E01-4221-B52D-4B51C6C866AC}"/>
  </bookViews>
  <sheets>
    <sheet name="Лист1" sheetId="1" r:id="rId1"/>
  </sheets>
  <definedNames>
    <definedName name="solver_adj" localSheetId="0" hidden="1">Лист1!$H$14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Лист1!$H$17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Лист1!$H$17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Лист1!$Q$17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5.12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F4" i="1"/>
  <c r="D6" i="1"/>
  <c r="E6" i="1"/>
  <c r="C6" i="1"/>
  <c r="H6" i="1"/>
  <c r="I4" i="1"/>
  <c r="H4" i="1"/>
  <c r="F5" i="1"/>
  <c r="E17" i="1"/>
  <c r="B17" i="1"/>
  <c r="Q17" i="1"/>
  <c r="C3" i="1"/>
  <c r="C8" i="1" s="1"/>
  <c r="D9" i="1" s="1"/>
  <c r="D3" i="1"/>
  <c r="E3" i="1"/>
  <c r="B3" i="1"/>
  <c r="N19" i="1"/>
  <c r="B6" i="1"/>
  <c r="F2" i="1"/>
  <c r="B2" i="1"/>
  <c r="H17" i="1" l="1"/>
  <c r="C10" i="1"/>
  <c r="D8" i="1"/>
  <c r="C11" i="1"/>
  <c r="B7" i="1"/>
  <c r="B11" i="1" s="1"/>
  <c r="Q14" i="1"/>
  <c r="F7" i="1" s="1"/>
  <c r="D10" i="1" l="1"/>
  <c r="E9" i="1"/>
  <c r="E8" i="1" s="1"/>
  <c r="E11" i="1" s="1"/>
  <c r="D11" i="1"/>
  <c r="E10" i="1" l="1"/>
  <c r="F9" i="1" s="1"/>
  <c r="F8" i="1"/>
  <c r="F11" i="1" l="1"/>
  <c r="J9" i="1" l="1"/>
  <c r="G11" i="1"/>
</calcChain>
</file>

<file path=xl/sharedStrings.xml><?xml version="1.0" encoding="utf-8"?>
<sst xmlns="http://schemas.openxmlformats.org/spreadsheetml/2006/main" count="49" uniqueCount="35">
  <si>
    <t>Депозит</t>
  </si>
  <si>
    <t>Облигация</t>
  </si>
  <si>
    <t>Портфель</t>
  </si>
  <si>
    <t>Ивенстиционный счёт</t>
  </si>
  <si>
    <t>Итого</t>
  </si>
  <si>
    <t>Сумма</t>
  </si>
  <si>
    <t>Срок</t>
  </si>
  <si>
    <t>Процентное начисление</t>
  </si>
  <si>
    <t>Период</t>
  </si>
  <si>
    <t>Кредит</t>
  </si>
  <si>
    <t>Обязательство(кредит)</t>
  </si>
  <si>
    <t>Номинал</t>
  </si>
  <si>
    <t>Купон</t>
  </si>
  <si>
    <t>Акции</t>
  </si>
  <si>
    <t>Стоимость</t>
  </si>
  <si>
    <t>Цена исполнения</t>
  </si>
  <si>
    <t>ИИС</t>
  </si>
  <si>
    <t>Доходность</t>
  </si>
  <si>
    <t>Риск</t>
  </si>
  <si>
    <t>Срок погашения</t>
  </si>
  <si>
    <t>Акция + опцион</t>
  </si>
  <si>
    <t>Предельный риск</t>
  </si>
  <si>
    <t>Безрисковая ставка</t>
  </si>
  <si>
    <t>Итоговая доходность</t>
  </si>
  <si>
    <t>Цена акции</t>
  </si>
  <si>
    <t>Цена опциона</t>
  </si>
  <si>
    <t>Пополнение от купонов</t>
  </si>
  <si>
    <t>% от купонов</t>
  </si>
  <si>
    <t>Начисление</t>
  </si>
  <si>
    <t>Опциональная цена</t>
  </si>
  <si>
    <t>Эффеткивная ставка</t>
  </si>
  <si>
    <t>ЧПС</t>
  </si>
  <si>
    <t>ВСД</t>
  </si>
  <si>
    <t>Рыночная цена при закрытии</t>
  </si>
  <si>
    <t>Сохранённые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</si>
</sst>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164" formatCode="0.0%"/>
    <numFmt numFmtId="166" formatCode="0.0000%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3" borderId="7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0" fontId="0" fillId="4" borderId="0" xfId="0" applyFill="1"/>
    <xf numFmtId="8" fontId="0" fillId="3" borderId="7" xfId="0" applyNumberFormat="1" applyFill="1" applyBorder="1"/>
    <xf numFmtId="8" fontId="0" fillId="0" borderId="0" xfId="0" applyNumberFormat="1"/>
    <xf numFmtId="164" fontId="0" fillId="0" borderId="0" xfId="0" applyNumberFormat="1"/>
    <xf numFmtId="0" fontId="0" fillId="2" borderId="0" xfId="0" applyFill="1" applyBorder="1"/>
    <xf numFmtId="166" fontId="0" fillId="0" borderId="0" xfId="0" applyNumberFormat="1"/>
    <xf numFmtId="10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9041-BC75-44C4-B6CF-884CA122DA13}">
  <dimension ref="A1:Q20"/>
  <sheetViews>
    <sheetView tabSelected="1" workbookViewId="0">
      <selection activeCell="K18" sqref="K18"/>
    </sheetView>
  </sheetViews>
  <sheetFormatPr defaultRowHeight="14.4" x14ac:dyDescent="0.3"/>
  <cols>
    <col min="1" max="1" width="22.5546875" bestFit="1" customWidth="1"/>
    <col min="2" max="2" width="10.5546875" bestFit="1" customWidth="1"/>
    <col min="4" max="4" width="22.5546875" bestFit="1" customWidth="1"/>
    <col min="5" max="5" width="12.6640625" bestFit="1" customWidth="1"/>
    <col min="6" max="6" width="20.109375" customWidth="1"/>
    <col min="7" max="7" width="22.5546875" bestFit="1" customWidth="1"/>
    <col min="10" max="10" width="26.77734375" bestFit="1" customWidth="1"/>
    <col min="13" max="13" width="22.5546875" bestFit="1" customWidth="1"/>
    <col min="16" max="16" width="22.5546875" bestFit="1" customWidth="1"/>
  </cols>
  <sheetData>
    <row r="1" spans="1:17" x14ac:dyDescent="0.3">
      <c r="A1" s="8"/>
      <c r="B1" s="7">
        <v>0</v>
      </c>
      <c r="C1" s="7">
        <v>1</v>
      </c>
      <c r="D1" s="7">
        <v>2</v>
      </c>
      <c r="E1" s="7">
        <v>3</v>
      </c>
      <c r="F1" s="7">
        <v>4</v>
      </c>
      <c r="G1" t="s">
        <v>23</v>
      </c>
      <c r="H1" t="s">
        <v>34</v>
      </c>
    </row>
    <row r="2" spans="1:17" x14ac:dyDescent="0.3">
      <c r="A2" s="9" t="s">
        <v>0</v>
      </c>
      <c r="B2" s="9">
        <f>-B14</f>
        <v>-20000</v>
      </c>
      <c r="C2" s="9">
        <v>0</v>
      </c>
      <c r="D2" s="9">
        <v>0</v>
      </c>
      <c r="E2" s="9">
        <v>0</v>
      </c>
      <c r="F2" s="9">
        <f>$B$14*POWER(1+$B$16/100/$B$15,F1*$B$15)</f>
        <v>27513.322008675819</v>
      </c>
    </row>
    <row r="3" spans="1:17" x14ac:dyDescent="0.3">
      <c r="A3" s="9" t="s">
        <v>1</v>
      </c>
      <c r="B3" s="9">
        <f>-H14</f>
        <v>-100000</v>
      </c>
      <c r="C3" s="9">
        <f>$H$14*$H$15 / 100</f>
        <v>4000</v>
      </c>
      <c r="D3" s="9">
        <f t="shared" ref="D3" si="0">$H$14*$H$15 / 100</f>
        <v>4000</v>
      </c>
      <c r="E3" s="9">
        <f>$H$14*(1 + $H$15 / 100)</f>
        <v>104000</v>
      </c>
      <c r="F3" s="9"/>
    </row>
    <row r="4" spans="1:17" x14ac:dyDescent="0.3">
      <c r="A4" s="9" t="s">
        <v>20</v>
      </c>
      <c r="B4" s="9">
        <f>-(K14 + K14 / K17 * K18)</f>
        <v>-105000</v>
      </c>
      <c r="C4" s="9"/>
      <c r="D4" s="9"/>
      <c r="E4" s="9"/>
      <c r="F4" s="9">
        <f>K19 *  K14 / K17</f>
        <v>90000</v>
      </c>
      <c r="H4">
        <f>-(K14 + K14 / K17 * K18)</f>
        <v>-105000</v>
      </c>
      <c r="I4">
        <f>K19 *  K14 / K17</f>
        <v>90000</v>
      </c>
    </row>
    <row r="5" spans="1:17" x14ac:dyDescent="0.3">
      <c r="A5" s="9" t="s">
        <v>2</v>
      </c>
      <c r="B5" s="9">
        <v>-100000</v>
      </c>
      <c r="C5" s="9">
        <v>0</v>
      </c>
      <c r="D5" s="9">
        <v>0</v>
      </c>
      <c r="E5" s="9">
        <v>0</v>
      </c>
      <c r="F5" s="9">
        <f>N14 * (1 + N19 / 100) ^ F1</f>
        <v>131079.601</v>
      </c>
    </row>
    <row r="6" spans="1:17" x14ac:dyDescent="0.3">
      <c r="A6" s="9" t="s">
        <v>10</v>
      </c>
      <c r="B6" s="9">
        <f>E14</f>
        <v>150000</v>
      </c>
      <c r="C6" s="9">
        <f>-$E$14*($E$16/ 100 + $E$16/ 100 /((1 + $E$16/ 100)^$E$15 - 1))</f>
        <v>-62452.34708392599</v>
      </c>
      <c r="D6" s="9">
        <f t="shared" ref="D6:E6" si="1">-$E$14*($E$16/ 100 + $E$16/ 100 /((1 + $E$16/ 100)^$E$15 - 1))</f>
        <v>-62452.34708392599</v>
      </c>
      <c r="E6" s="9">
        <f t="shared" si="1"/>
        <v>-62452.34708392599</v>
      </c>
      <c r="F6" s="9"/>
      <c r="H6">
        <f>-$E$14*($E$16/ 100 + $E$16/ 100 /((1 + $E$16/ 100)^$E$15 - 1))</f>
        <v>-62452.34708392599</v>
      </c>
    </row>
    <row r="7" spans="1:17" x14ac:dyDescent="0.3">
      <c r="A7" s="9" t="s">
        <v>3</v>
      </c>
      <c r="B7" s="9">
        <f>-(400000+SUM(B3:B5))</f>
        <v>-95000</v>
      </c>
      <c r="C7" s="9"/>
      <c r="D7" s="9"/>
      <c r="E7" s="9"/>
      <c r="F7" s="15">
        <f>-FV(Q16 / 12,12*Q15,0,Q14)</f>
        <v>115985.05872741499</v>
      </c>
    </row>
    <row r="8" spans="1:17" x14ac:dyDescent="0.3">
      <c r="A8" s="9" t="s">
        <v>26</v>
      </c>
      <c r="B8" s="9">
        <v>0</v>
      </c>
      <c r="C8" s="9">
        <f>-C3</f>
        <v>-4000</v>
      </c>
      <c r="D8" s="9">
        <f>-D3  - D9</f>
        <v>-4204.6475915269339</v>
      </c>
      <c r="E8" s="9">
        <f>-E3 - E9</f>
        <v>-104419.76534223331</v>
      </c>
      <c r="F8" s="9">
        <f>-SUM(C8:E8)</f>
        <v>112624.41293376024</v>
      </c>
    </row>
    <row r="9" spans="1:17" x14ac:dyDescent="0.3">
      <c r="A9" s="9" t="s">
        <v>27</v>
      </c>
      <c r="B9" s="9">
        <v>0</v>
      </c>
      <c r="C9" s="9"/>
      <c r="D9" s="9">
        <f>-(C8 * (1 + Q16 / 12) ^ 12 - C8)</f>
        <v>204.64759152693387</v>
      </c>
      <c r="E9" s="9">
        <f>-(C8+D8)*(1+Q16/12)^12+D8+C8</f>
        <v>419.76534223331055</v>
      </c>
      <c r="F9" s="9">
        <f>E10 * (1 + Q16 / 12) ^ 12 - E10</f>
        <v>5762.0787135072169</v>
      </c>
      <c r="I9" t="s">
        <v>31</v>
      </c>
      <c r="J9" s="16">
        <f>NPV(Q17,B11:F11)</f>
        <v>-42063.145127327531</v>
      </c>
    </row>
    <row r="10" spans="1:17" x14ac:dyDescent="0.3">
      <c r="A10" s="14" t="s">
        <v>28</v>
      </c>
      <c r="B10" s="14"/>
      <c r="C10" s="14">
        <f>C8+C9</f>
        <v>-4000</v>
      </c>
      <c r="D10" s="14">
        <f>D8+ C8</f>
        <v>-8204.647591526933</v>
      </c>
      <c r="E10" s="14">
        <f>-(E8 + D10)</f>
        <v>112624.41293376024</v>
      </c>
      <c r="F10" s="14"/>
    </row>
    <row r="11" spans="1:17" x14ac:dyDescent="0.3">
      <c r="A11" s="7" t="s">
        <v>4</v>
      </c>
      <c r="B11" s="7">
        <f>SUM(B2:B9)</f>
        <v>-270000</v>
      </c>
      <c r="C11" s="7">
        <f t="shared" ref="C11:F11" si="2">SUM(C2:C9)</f>
        <v>-62452.34708392599</v>
      </c>
      <c r="D11" s="7">
        <f t="shared" si="2"/>
        <v>-62452.34708392599</v>
      </c>
      <c r="E11" s="7">
        <f t="shared" si="2"/>
        <v>-62452.34708392599</v>
      </c>
      <c r="F11" s="7">
        <f t="shared" si="2"/>
        <v>482964.47338335827</v>
      </c>
      <c r="G11" s="17">
        <f>IRR(B11:F11)</f>
        <v>1.7217991414133715E-2</v>
      </c>
    </row>
    <row r="12" spans="1:17" ht="15" thickBot="1" x14ac:dyDescent="0.35"/>
    <row r="13" spans="1:17" x14ac:dyDescent="0.3">
      <c r="A13" s="1" t="s">
        <v>0</v>
      </c>
      <c r="B13" s="2"/>
      <c r="D13" s="1" t="s">
        <v>9</v>
      </c>
      <c r="E13" s="2"/>
      <c r="G13" s="1" t="s">
        <v>1</v>
      </c>
      <c r="H13" s="2"/>
      <c r="J13" s="1" t="s">
        <v>13</v>
      </c>
      <c r="K13" s="2"/>
      <c r="M13" s="1" t="s">
        <v>2</v>
      </c>
      <c r="N13" s="2"/>
      <c r="P13" s="1" t="s">
        <v>16</v>
      </c>
      <c r="Q13" s="2"/>
    </row>
    <row r="14" spans="1:17" x14ac:dyDescent="0.3">
      <c r="A14" s="3" t="s">
        <v>5</v>
      </c>
      <c r="B14" s="4">
        <v>20000</v>
      </c>
      <c r="D14" s="3" t="s">
        <v>5</v>
      </c>
      <c r="E14" s="4">
        <v>150000</v>
      </c>
      <c r="G14" s="3" t="s">
        <v>11</v>
      </c>
      <c r="H14" s="4">
        <v>100000</v>
      </c>
      <c r="J14" s="3" t="s">
        <v>14</v>
      </c>
      <c r="K14" s="4">
        <v>100000</v>
      </c>
      <c r="M14" s="3" t="s">
        <v>14</v>
      </c>
      <c r="N14" s="4">
        <v>100000</v>
      </c>
      <c r="P14" s="3" t="s">
        <v>14</v>
      </c>
      <c r="Q14" s="4">
        <f>400000+SUM(B3:B5)</f>
        <v>95000</v>
      </c>
    </row>
    <row r="15" spans="1:17" x14ac:dyDescent="0.3">
      <c r="A15" s="3" t="s">
        <v>8</v>
      </c>
      <c r="B15" s="4">
        <v>12</v>
      </c>
      <c r="D15" s="3" t="s">
        <v>8</v>
      </c>
      <c r="E15" s="4">
        <v>3</v>
      </c>
      <c r="G15" s="3" t="s">
        <v>12</v>
      </c>
      <c r="H15" s="4">
        <v>4</v>
      </c>
      <c r="J15" s="3" t="s">
        <v>15</v>
      </c>
      <c r="K15" s="4">
        <v>3</v>
      </c>
      <c r="M15" s="3" t="s">
        <v>17</v>
      </c>
      <c r="N15" s="4">
        <v>10</v>
      </c>
      <c r="P15" s="3" t="s">
        <v>6</v>
      </c>
      <c r="Q15" s="4">
        <v>4</v>
      </c>
    </row>
    <row r="16" spans="1:17" ht="15" thickBot="1" x14ac:dyDescent="0.35">
      <c r="A16" s="5" t="s">
        <v>7</v>
      </c>
      <c r="B16" s="6">
        <v>8</v>
      </c>
      <c r="D16" s="5" t="s">
        <v>7</v>
      </c>
      <c r="E16" s="6">
        <v>12</v>
      </c>
      <c r="G16" s="11" t="s">
        <v>19</v>
      </c>
      <c r="H16" s="6">
        <v>3</v>
      </c>
      <c r="J16" s="5" t="s">
        <v>7</v>
      </c>
      <c r="K16" s="6"/>
      <c r="M16" s="3" t="s">
        <v>18</v>
      </c>
      <c r="N16" s="4">
        <v>25</v>
      </c>
      <c r="P16" s="5" t="s">
        <v>7</v>
      </c>
      <c r="Q16" s="20">
        <v>0.05</v>
      </c>
    </row>
    <row r="17" spans="1:17" x14ac:dyDescent="0.3">
      <c r="A17" s="18" t="s">
        <v>30</v>
      </c>
      <c r="B17">
        <f>EFFECT(B16 / 100, 4 * 12)</f>
        <v>8.3214931082344235E-2</v>
      </c>
      <c r="D17" s="18" t="s">
        <v>30</v>
      </c>
      <c r="E17">
        <f>EFFECT(E16 / 100, 4 * 12)</f>
        <v>0.12732802103993168</v>
      </c>
      <c r="G17" s="10" t="s">
        <v>32</v>
      </c>
      <c r="H17" s="19">
        <f>IRR(B3:E3)</f>
        <v>4.0000000000000036E-2</v>
      </c>
      <c r="J17" s="10" t="s">
        <v>24</v>
      </c>
      <c r="K17" s="10">
        <v>10000</v>
      </c>
      <c r="M17" s="12" t="s">
        <v>21</v>
      </c>
      <c r="N17" s="13">
        <v>10</v>
      </c>
      <c r="P17" s="10" t="s">
        <v>30</v>
      </c>
      <c r="Q17">
        <f>EFFECT(Q16, 4 * 12)</f>
        <v>5.1243738877390088E-2</v>
      </c>
    </row>
    <row r="18" spans="1:17" x14ac:dyDescent="0.3">
      <c r="J18" s="10" t="s">
        <v>25</v>
      </c>
      <c r="K18" s="10">
        <v>500</v>
      </c>
      <c r="M18" s="12" t="s">
        <v>22</v>
      </c>
      <c r="N18" s="13">
        <v>5</v>
      </c>
    </row>
    <row r="19" spans="1:17" ht="15" thickBot="1" x14ac:dyDescent="0.35">
      <c r="J19" s="10" t="s">
        <v>29</v>
      </c>
      <c r="K19" s="10">
        <v>9000</v>
      </c>
      <c r="M19" s="11" t="s">
        <v>23</v>
      </c>
      <c r="N19" s="6">
        <f xml:space="preserve"> N17 / N16 * N15 + (1 - N17 / N16) * N18</f>
        <v>7</v>
      </c>
    </row>
    <row r="20" spans="1:17" x14ac:dyDescent="0.3">
      <c r="J20" s="10" t="s">
        <v>33</v>
      </c>
      <c r="K20" s="10">
        <v>8500</v>
      </c>
      <c r="M20" s="10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2021-10-19T05:33:57Z</dcterms:created>
  <dcterms:modified xsi:type="dcterms:W3CDTF">2021-10-20T16:00:19Z</dcterms:modified>
</cp:coreProperties>
</file>