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3"/>
  <workbookPr/>
  <mc:AlternateContent xmlns:mc="http://schemas.openxmlformats.org/markup-compatibility/2006">
    <mc:Choice Requires="x15">
      <x15ac:absPath xmlns:x15ac="http://schemas.microsoft.com/office/spreadsheetml/2010/11/ac" url="/Users/eriksaucedo/Documents/Nuclear/Soil Samples/"/>
    </mc:Choice>
  </mc:AlternateContent>
  <xr:revisionPtr revIDLastSave="0" documentId="13_ncr:1_{F0BCA68A-F086-D34F-A60A-6C27FF9A5960}" xr6:coauthVersionLast="47" xr6:coauthVersionMax="47" xr10:uidLastSave="{00000000-0000-0000-0000-000000000000}"/>
  <bookViews>
    <workbookView xWindow="0" yWindow="460" windowWidth="28800" windowHeight="16220" xr2:uid="{00000000-000D-0000-FFFF-FFFF00000000}"/>
  </bookViews>
  <sheets>
    <sheet name="W2 Soil" sheetId="5" r:id="rId1"/>
    <sheet name="W2 Spike" sheetId="2" r:id="rId2"/>
    <sheet name="Masses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28" i="5" l="1"/>
  <c r="W9" i="5" l="1"/>
  <c r="Y9" i="5" s="1"/>
  <c r="K19" i="5" s="1"/>
  <c r="X5" i="5"/>
  <c r="V9" i="5"/>
  <c r="X9" i="5" s="1"/>
  <c r="I19" i="5" s="1"/>
  <c r="I26" i="5" s="1"/>
  <c r="I28" i="5" s="1"/>
  <c r="K18" i="5"/>
  <c r="K26" i="5" l="1"/>
  <c r="K28" i="5" s="1"/>
  <c r="I18" i="5"/>
  <c r="C9" i="5"/>
  <c r="W7" i="5"/>
  <c r="B22" i="6"/>
  <c r="I11" i="6"/>
  <c r="L9" i="2"/>
  <c r="E10" i="2"/>
  <c r="L10" i="2"/>
  <c r="K13" i="5" s="1"/>
  <c r="E22" i="2"/>
  <c r="I13" i="5"/>
  <c r="J10" i="2"/>
  <c r="C22" i="2"/>
  <c r="C19" i="2"/>
  <c r="C18" i="2"/>
  <c r="J9" i="2"/>
  <c r="C10" i="2"/>
  <c r="E3" i="2" l="1"/>
  <c r="E1" i="2"/>
  <c r="C1" i="2"/>
  <c r="C3" i="2"/>
  <c r="I13" i="6" l="1"/>
  <c r="I10" i="6"/>
  <c r="I8" i="6"/>
  <c r="I7" i="6"/>
  <c r="I6" i="6"/>
  <c r="F22" i="6"/>
  <c r="F21" i="6"/>
  <c r="F16" i="6"/>
  <c r="F15" i="6"/>
  <c r="F14" i="6"/>
  <c r="F7" i="6"/>
  <c r="F6" i="6"/>
  <c r="F5" i="6"/>
  <c r="B21" i="6"/>
  <c r="B19" i="6"/>
  <c r="B18" i="6"/>
  <c r="B17" i="6"/>
  <c r="B9" i="6"/>
  <c r="B8" i="6"/>
  <c r="B7" i="6"/>
  <c r="W5" i="5"/>
  <c r="Y5" i="5" s="1"/>
  <c r="V5" i="5"/>
  <c r="C7" i="5"/>
  <c r="C5" i="5"/>
  <c r="Y7" i="5"/>
  <c r="V7" i="5"/>
  <c r="X7" i="5" s="1"/>
  <c r="E5" i="2"/>
  <c r="C5" i="2" l="1"/>
  <c r="C13" i="2" l="1"/>
</calcChain>
</file>

<file path=xl/sharedStrings.xml><?xml version="1.0" encoding="utf-8"?>
<sst xmlns="http://schemas.openxmlformats.org/spreadsheetml/2006/main" count="128" uniqueCount="81">
  <si>
    <t>+/-</t>
  </si>
  <si>
    <t>g</t>
  </si>
  <si>
    <t>=</t>
  </si>
  <si>
    <t>mspike</t>
  </si>
  <si>
    <t>Number of 40K atoms in Spike (N0)</t>
  </si>
  <si>
    <t>t 1/2</t>
  </si>
  <si>
    <t>years</t>
  </si>
  <si>
    <t>secs</t>
  </si>
  <si>
    <t>f 40K</t>
  </si>
  <si>
    <t>f K</t>
  </si>
  <si>
    <t>NA</t>
  </si>
  <si>
    <t>mA of 40K</t>
  </si>
  <si>
    <t>N0</t>
  </si>
  <si>
    <t>err N0</t>
  </si>
  <si>
    <t>Activity in the Spike</t>
  </si>
  <si>
    <t>Bq</t>
  </si>
  <si>
    <t>Soil Sample:</t>
  </si>
  <si>
    <t>soil livetime (secs):</t>
  </si>
  <si>
    <t>soil raw:</t>
  </si>
  <si>
    <t>weighted residual sum-of-squares</t>
  </si>
  <si>
    <t>dof</t>
  </si>
  <si>
    <t>reduced chi^2</t>
  </si>
  <si>
    <t>xlo</t>
  </si>
  <si>
    <t>xhi</t>
  </si>
  <si>
    <t>a</t>
  </si>
  <si>
    <t>err a</t>
  </si>
  <si>
    <t>b</t>
  </si>
  <si>
    <t>err b</t>
  </si>
  <si>
    <t>c</t>
  </si>
  <si>
    <t>err c</t>
  </si>
  <si>
    <t>d</t>
  </si>
  <si>
    <t>err d</t>
  </si>
  <si>
    <t>e</t>
  </si>
  <si>
    <t>err e</t>
  </si>
  <si>
    <t>area</t>
  </si>
  <si>
    <t>area error</t>
  </si>
  <si>
    <t>rate (Bq)</t>
  </si>
  <si>
    <t>rate error (Bq)</t>
  </si>
  <si>
    <t>background:</t>
  </si>
  <si>
    <t>spike:</t>
  </si>
  <si>
    <t>Activity of Spike</t>
  </si>
  <si>
    <t>C</t>
  </si>
  <si>
    <t>lambda N0</t>
  </si>
  <si>
    <t>Activity of Soil</t>
  </si>
  <si>
    <t>A</t>
  </si>
  <si>
    <t>B</t>
  </si>
  <si>
    <t>Activity soil</t>
  </si>
  <si>
    <t>Activity soil/gram</t>
  </si>
  <si>
    <t>Bq/gram</t>
  </si>
  <si>
    <t>% error</t>
  </si>
  <si>
    <t>background livetime (secs):</t>
  </si>
  <si>
    <t>spike livetime (secs):</t>
  </si>
  <si>
    <t>msoil for soil measurement</t>
  </si>
  <si>
    <t>msoil for spike measurement</t>
  </si>
  <si>
    <t>lambda</t>
  </si>
  <si>
    <t>secs^-1</t>
  </si>
  <si>
    <t>spike activity</t>
  </si>
  <si>
    <t>f</t>
  </si>
  <si>
    <t>err f</t>
  </si>
  <si>
    <t>err g</t>
  </si>
  <si>
    <t>h</t>
  </si>
  <si>
    <t>err h</t>
  </si>
  <si>
    <t>W2</t>
  </si>
  <si>
    <t xml:space="preserve">Average </t>
  </si>
  <si>
    <t>Std.ev</t>
  </si>
  <si>
    <t>error</t>
  </si>
  <si>
    <t>msoil</t>
  </si>
  <si>
    <t>msoil error</t>
  </si>
  <si>
    <t>Mass of Jar with Soil (g)</t>
  </si>
  <si>
    <t>Mass of Jar (g)</t>
  </si>
  <si>
    <t>Mass of foil (g)</t>
  </si>
  <si>
    <t>average</t>
  </si>
  <si>
    <t>std.ev</t>
  </si>
  <si>
    <t>Mass of foil with salt (g)</t>
  </si>
  <si>
    <t>Average</t>
  </si>
  <si>
    <t>msalt</t>
  </si>
  <si>
    <t>msalt error</t>
  </si>
  <si>
    <t>Maas of Soil and Spike (g)</t>
  </si>
  <si>
    <t>msoil spike</t>
  </si>
  <si>
    <t>Soil lost</t>
  </si>
  <si>
    <t>msoil  after spike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</si>
</sst>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8"/>
      <name val="Arial1"/>
    </font>
    <font>
      <sz val="10"/>
      <color indexed="8"/>
      <name val="Verdana"/>
      <family val="2"/>
    </font>
    <font>
      <sz val="10"/>
      <color rgb="FF000000"/>
      <name val="Lucida Console"/>
      <family val="3"/>
    </font>
    <font>
      <sz val="10"/>
      <color rgb="FF0000FF"/>
      <name val="Lucida Console"/>
      <family val="3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13"/>
        <bgColor indexed="34"/>
      </patternFill>
    </fill>
    <fill>
      <patternFill patternType="solid">
        <fgColor theme="0"/>
        <bgColor indexed="3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Border="0" applyProtection="0"/>
    <xf numFmtId="0" fontId="3" fillId="0" borderId="0"/>
    <xf numFmtId="0" fontId="2" fillId="0" borderId="0" applyBorder="0" applyProtection="0"/>
    <xf numFmtId="0" fontId="4" fillId="0" borderId="0" applyBorder="0" applyProtection="0"/>
  </cellStyleXfs>
  <cellXfs count="20">
    <xf numFmtId="0" fontId="0" fillId="0" borderId="0" xfId="0"/>
    <xf numFmtId="0" fontId="2" fillId="0" borderId="0" xfId="1" applyBorder="1" applyProtection="1"/>
    <xf numFmtId="11" fontId="0" fillId="0" borderId="0" xfId="0" applyNumberFormat="1"/>
    <xf numFmtId="11" fontId="2" fillId="0" borderId="0" xfId="1" applyNumberFormat="1" applyBorder="1" applyProtection="1"/>
    <xf numFmtId="0" fontId="2" fillId="2" borderId="0" xfId="1" applyFill="1" applyBorder="1" applyProtection="1"/>
    <xf numFmtId="0" fontId="0" fillId="2" borderId="0" xfId="0" applyFill="1"/>
    <xf numFmtId="0" fontId="2" fillId="0" borderId="0" xfId="0" applyFont="1"/>
    <xf numFmtId="0" fontId="2" fillId="0" borderId="0" xfId="1" quotePrefix="1" applyBorder="1" applyProtection="1"/>
    <xf numFmtId="0" fontId="2" fillId="3" borderId="0" xfId="1" applyFill="1" applyBorder="1" applyProtection="1"/>
    <xf numFmtId="0" fontId="0" fillId="3" borderId="0" xfId="0" applyFill="1"/>
    <xf numFmtId="0" fontId="2" fillId="4" borderId="0" xfId="1" applyFill="1" applyBorder="1" applyProtection="1"/>
    <xf numFmtId="0" fontId="6" fillId="2" borderId="0" xfId="0" applyFont="1" applyFill="1" applyAlignment="1">
      <alignment vertical="center"/>
    </xf>
    <xf numFmtId="0" fontId="0" fillId="0" borderId="0" xfId="0" quotePrefix="1"/>
    <xf numFmtId="0" fontId="5" fillId="2" borderId="0" xfId="0" applyFont="1" applyFill="1" applyAlignment="1">
      <alignment vertical="center"/>
    </xf>
    <xf numFmtId="11" fontId="5" fillId="2" borderId="0" xfId="0" applyNumberFormat="1" applyFont="1" applyFill="1" applyAlignment="1">
      <alignment vertical="center"/>
    </xf>
    <xf numFmtId="0" fontId="1" fillId="0" borderId="0" xfId="0" applyFont="1"/>
    <xf numFmtId="11" fontId="2" fillId="4" borderId="0" xfId="1" applyNumberFormat="1" applyFill="1" applyBorder="1" applyProtection="1"/>
    <xf numFmtId="11" fontId="2" fillId="5" borderId="0" xfId="1" applyNumberFormat="1" applyFill="1" applyBorder="1" applyProtection="1"/>
    <xf numFmtId="0" fontId="2" fillId="5" borderId="0" xfId="1" applyFill="1" applyBorder="1" applyProtection="1"/>
    <xf numFmtId="0" fontId="0" fillId="6" borderId="0" xfId="0" applyFill="1"/>
  </cellXfs>
  <cellStyles count="5">
    <cellStyle name="Excel Built-in Normal" xfId="1" xr:uid="{00000000-0005-0000-0000-000000000000}"/>
    <cellStyle name="Normal" xfId="0" builtinId="0"/>
    <cellStyle name="Normal 2" xfId="3" xr:uid="{00000000-0005-0000-0000-000002000000}"/>
    <cellStyle name="Normal 3" xfId="4" xr:uid="{00000000-0005-0000-0000-000003000000}"/>
    <cellStyle name="Normal 4" xfId="2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37"/>
  <sheetViews>
    <sheetView tabSelected="1" topLeftCell="C18" zoomScale="125" workbookViewId="0">
      <selection activeCell="M29" sqref="M29"/>
    </sheetView>
  </sheetViews>
  <sheetFormatPr baseColWidth="10" defaultColWidth="8.83203125" defaultRowHeight="15"/>
  <cols>
    <col min="1" max="1" width="29.5" bestFit="1" customWidth="1"/>
    <col min="3" max="3" width="18" bestFit="1" customWidth="1"/>
    <col min="6" max="6" width="10.6640625" bestFit="1" customWidth="1"/>
    <col min="7" max="7" width="15.33203125" bestFit="1" customWidth="1"/>
    <col min="8" max="8" width="13.83203125" bestFit="1" customWidth="1"/>
    <col min="9" max="9" width="11.83203125" bestFit="1" customWidth="1"/>
    <col min="10" max="10" width="11.6640625" bestFit="1" customWidth="1"/>
    <col min="11" max="11" width="11.83203125" bestFit="1" customWidth="1"/>
    <col min="12" max="12" width="12.83203125" customWidth="1"/>
    <col min="13" max="13" width="11.83203125" bestFit="1" customWidth="1"/>
    <col min="14" max="14" width="10.6640625" bestFit="1" customWidth="1"/>
    <col min="15" max="15" width="13.83203125" customWidth="1"/>
    <col min="16" max="18" width="11.83203125" bestFit="1" customWidth="1"/>
    <col min="19" max="19" width="12.83203125" bestFit="1" customWidth="1"/>
    <col min="20" max="21" width="9.5" bestFit="1" customWidth="1"/>
    <col min="22" max="22" width="11.6640625" bestFit="1" customWidth="1"/>
    <col min="23" max="24" width="9.5" bestFit="1" customWidth="1"/>
    <col min="25" max="25" width="12.83203125" bestFit="1" customWidth="1"/>
  </cols>
  <sheetData>
    <row r="1" spans="1:25">
      <c r="A1" s="1" t="s">
        <v>16</v>
      </c>
      <c r="B1" s="1" t="s">
        <v>62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25">
      <c r="A2" s="1" t="s">
        <v>17</v>
      </c>
      <c r="B2">
        <v>165656</v>
      </c>
      <c r="C2" s="9" t="s">
        <v>51</v>
      </c>
      <c r="D2">
        <v>583445</v>
      </c>
      <c r="H2" s="1"/>
    </row>
    <row r="3" spans="1:25" ht="16">
      <c r="A3" s="8" t="s">
        <v>50</v>
      </c>
      <c r="B3" s="15">
        <v>175165</v>
      </c>
      <c r="C3" s="1"/>
      <c r="D3" s="1"/>
      <c r="E3" s="1"/>
      <c r="F3" s="1"/>
      <c r="G3" s="1"/>
      <c r="H3" s="1" t="s">
        <v>18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1:25">
      <c r="A4" s="1" t="s">
        <v>19</v>
      </c>
      <c r="B4" s="1" t="s">
        <v>20</v>
      </c>
      <c r="C4" s="1" t="s">
        <v>21</v>
      </c>
      <c r="D4" s="1" t="s">
        <v>22</v>
      </c>
      <c r="E4" s="1" t="s">
        <v>23</v>
      </c>
      <c r="F4" s="1" t="s">
        <v>24</v>
      </c>
      <c r="G4" s="1" t="s">
        <v>25</v>
      </c>
      <c r="H4" s="1" t="s">
        <v>26</v>
      </c>
      <c r="I4" s="1" t="s">
        <v>27</v>
      </c>
      <c r="J4" s="1" t="s">
        <v>28</v>
      </c>
      <c r="K4" s="1" t="s">
        <v>29</v>
      </c>
      <c r="L4" s="1" t="s">
        <v>30</v>
      </c>
      <c r="M4" s="1" t="s">
        <v>31</v>
      </c>
      <c r="N4" s="1" t="s">
        <v>32</v>
      </c>
      <c r="O4" s="1" t="s">
        <v>33</v>
      </c>
      <c r="P4" s="1" t="s">
        <v>57</v>
      </c>
      <c r="Q4" s="1" t="s">
        <v>58</v>
      </c>
      <c r="R4" s="1" t="s">
        <v>1</v>
      </c>
      <c r="S4" s="1" t="s">
        <v>59</v>
      </c>
      <c r="T4" s="1" t="s">
        <v>60</v>
      </c>
      <c r="U4" s="1" t="s">
        <v>61</v>
      </c>
      <c r="V4" s="1" t="s">
        <v>34</v>
      </c>
      <c r="W4" s="1" t="s">
        <v>35</v>
      </c>
      <c r="X4" s="1" t="s">
        <v>36</v>
      </c>
      <c r="Y4" s="1" t="s">
        <v>37</v>
      </c>
    </row>
    <row r="5" spans="1:25">
      <c r="A5" s="13">
        <v>659.1</v>
      </c>
      <c r="B5" s="4">
        <v>496</v>
      </c>
      <c r="C5" s="5">
        <f>A5/B5</f>
        <v>1.3288306451612903</v>
      </c>
      <c r="D5" s="4">
        <v>5900</v>
      </c>
      <c r="E5" s="4">
        <v>6400</v>
      </c>
      <c r="F5" s="14">
        <v>298</v>
      </c>
      <c r="G5" s="14">
        <v>2.681</v>
      </c>
      <c r="H5" s="14">
        <v>84.97</v>
      </c>
      <c r="I5" s="14">
        <v>1.0720000000000001</v>
      </c>
      <c r="J5" s="14">
        <v>6187</v>
      </c>
      <c r="K5" s="14">
        <v>0.83940000000000003</v>
      </c>
      <c r="L5" s="14">
        <v>-2.6630000000000001E-2</v>
      </c>
      <c r="M5" s="14">
        <v>7.2449999999999997E-3</v>
      </c>
      <c r="N5" s="14">
        <v>296</v>
      </c>
      <c r="O5" s="14">
        <v>43.36</v>
      </c>
      <c r="P5" s="5"/>
      <c r="Q5" s="5"/>
      <c r="R5" s="5"/>
      <c r="S5" s="5"/>
      <c r="T5" s="14"/>
      <c r="U5" s="14"/>
      <c r="V5" s="16">
        <f>F5*H5*SQRT(2*(3.14))</f>
        <v>63454.39448460767</v>
      </c>
      <c r="W5" s="10">
        <f>SQRT((H5^2)*(PI()*2)*(G5^2)+(F5^2)*(PI()*2)*(I5^2))</f>
        <v>983.50286894155852</v>
      </c>
      <c r="X5" s="16">
        <f>V5/B2</f>
        <v>0.38304917711768766</v>
      </c>
      <c r="Y5" s="10">
        <f>W5/B2</f>
        <v>5.9370192986765253E-3</v>
      </c>
    </row>
    <row r="6" spans="1:25">
      <c r="A6" s="1"/>
      <c r="B6" s="1"/>
      <c r="D6" s="1"/>
      <c r="E6" s="1"/>
      <c r="F6" s="1"/>
      <c r="G6" s="1"/>
      <c r="H6" s="1" t="s">
        <v>38</v>
      </c>
      <c r="I6" s="1"/>
      <c r="J6" s="1"/>
      <c r="K6" s="1"/>
      <c r="L6" s="1"/>
      <c r="M6" s="1"/>
      <c r="N6" s="1"/>
      <c r="O6" s="1"/>
      <c r="V6" s="3"/>
      <c r="W6" s="1"/>
      <c r="X6" s="3"/>
      <c r="Y6" s="1"/>
    </row>
    <row r="7" spans="1:25">
      <c r="A7" s="4">
        <v>476.5</v>
      </c>
      <c r="B7" s="11">
        <v>496</v>
      </c>
      <c r="C7" s="5">
        <f>A7/B7</f>
        <v>0.96068548387096775</v>
      </c>
      <c r="D7" s="5">
        <v>5900</v>
      </c>
      <c r="E7" s="5">
        <v>6400</v>
      </c>
      <c r="F7" s="14">
        <v>111.3</v>
      </c>
      <c r="G7" s="14">
        <v>1.9930000000000001</v>
      </c>
      <c r="H7" s="14">
        <v>84.44</v>
      </c>
      <c r="I7" s="14">
        <v>2.1070000000000002</v>
      </c>
      <c r="J7" s="14">
        <v>6197</v>
      </c>
      <c r="K7" s="14">
        <v>1.59</v>
      </c>
      <c r="L7" s="14">
        <v>6.045E-3</v>
      </c>
      <c r="M7" s="14">
        <v>6.156E-3</v>
      </c>
      <c r="N7" s="14">
        <v>6.156E-3</v>
      </c>
      <c r="O7" s="14">
        <v>36.74</v>
      </c>
      <c r="P7" s="5"/>
      <c r="Q7" s="5"/>
      <c r="R7" s="5"/>
      <c r="S7" s="5"/>
      <c r="T7" s="14"/>
      <c r="U7" s="14"/>
      <c r="V7" s="16">
        <f>F7*H7*SQRT(2*(3.14))</f>
        <v>23551.751527076438</v>
      </c>
      <c r="W7" s="10">
        <f>SQRT((H7^2)*(PI()*2)*(G7^2)+(F7^2)*(PI()*2)*(I7^2))</f>
        <v>723.52460047763759</v>
      </c>
      <c r="X7" s="16">
        <f>V7/B3</f>
        <v>0.13445466575558152</v>
      </c>
      <c r="Y7" s="10">
        <f>W7/B3</f>
        <v>4.1305317870444303E-3</v>
      </c>
    </row>
    <row r="8" spans="1:25">
      <c r="A8" s="1"/>
      <c r="B8" s="1"/>
      <c r="C8" s="19"/>
      <c r="D8" s="1"/>
      <c r="E8" s="1"/>
      <c r="F8" s="1"/>
      <c r="G8" s="1"/>
      <c r="H8" s="1" t="s">
        <v>39</v>
      </c>
      <c r="I8" s="1"/>
      <c r="J8" s="1"/>
      <c r="K8" s="1"/>
      <c r="L8" s="1"/>
      <c r="M8" s="1"/>
      <c r="N8" s="1"/>
      <c r="O8" s="1"/>
      <c r="V8" s="17"/>
      <c r="W8" s="18"/>
      <c r="X8" s="17"/>
      <c r="Y8" s="18"/>
    </row>
    <row r="9" spans="1:25">
      <c r="A9" s="11">
        <v>2793</v>
      </c>
      <c r="B9" s="11">
        <v>990</v>
      </c>
      <c r="C9" s="5">
        <f t="shared" ref="C9" si="0">A9/B9</f>
        <v>2.8212121212121213</v>
      </c>
      <c r="D9" s="4">
        <v>5900</v>
      </c>
      <c r="E9" s="4">
        <v>6900</v>
      </c>
      <c r="F9" s="13">
        <v>3555.4132</v>
      </c>
      <c r="G9" s="13">
        <v>26.1967</v>
      </c>
      <c r="H9" s="13">
        <v>86.441000000000003</v>
      </c>
      <c r="I9" s="13">
        <v>0.56259999999999999</v>
      </c>
      <c r="J9" s="13">
        <v>6181.1167999999998</v>
      </c>
      <c r="K9" s="13">
        <v>0.36830000000000002</v>
      </c>
      <c r="L9" s="13">
        <v>-0.74990000000000001</v>
      </c>
      <c r="M9" s="13">
        <v>0.10589999999999999</v>
      </c>
      <c r="N9" s="13">
        <v>5033.0913</v>
      </c>
      <c r="O9" s="13">
        <v>625.84950000000003</v>
      </c>
      <c r="P9" s="5">
        <v>293.92180000000002</v>
      </c>
      <c r="Q9" s="5">
        <v>26.020499999999998</v>
      </c>
      <c r="R9" s="5">
        <v>72.332999999999998</v>
      </c>
      <c r="S9" s="5">
        <v>3.7974999999999999</v>
      </c>
      <c r="T9" s="13">
        <v>6507.8125</v>
      </c>
      <c r="U9" s="13">
        <v>4.2461000000000002</v>
      </c>
      <c r="V9" s="16">
        <f>F9*H9*SQRT(2*(3.14))</f>
        <v>770175.47438136931</v>
      </c>
      <c r="W9" s="10">
        <f>SQRT((H9^2)*(PI()*2)*(G9^2)+(F9^2)*(PI()*2)*(I9^2))</f>
        <v>7573.5530438041151</v>
      </c>
      <c r="X9" s="16">
        <f>V9/D2</f>
        <v>1.3200481182997015</v>
      </c>
      <c r="Y9" s="10">
        <f>W9/D2</f>
        <v>1.2980748903159879E-2</v>
      </c>
    </row>
    <row r="10" spans="1: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</row>
    <row r="11" spans="1:25">
      <c r="B11" s="6"/>
      <c r="C11" s="6"/>
      <c r="D11" s="1"/>
      <c r="E11" s="1"/>
      <c r="F11" s="1"/>
      <c r="G11" s="1"/>
      <c r="H11" s="1" t="s">
        <v>40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</row>
    <row r="12" spans="1:25"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</row>
    <row r="13" spans="1:25" ht="16">
      <c r="B13" s="15"/>
      <c r="C13" s="1"/>
      <c r="D13" s="1"/>
      <c r="E13" s="1" t="s">
        <v>41</v>
      </c>
      <c r="F13" s="7" t="s">
        <v>2</v>
      </c>
      <c r="G13" s="1" t="s">
        <v>42</v>
      </c>
      <c r="H13" s="1" t="s">
        <v>2</v>
      </c>
      <c r="I13" s="3">
        <f>'W2 Spike'!C22</f>
        <v>621.033965646404</v>
      </c>
      <c r="J13" s="1" t="s">
        <v>0</v>
      </c>
      <c r="K13" s="3">
        <f>'W2 Spike'!L10</f>
        <v>1.549806236498674</v>
      </c>
      <c r="L13" s="1" t="s">
        <v>15</v>
      </c>
      <c r="M13" s="1"/>
      <c r="N13" s="1"/>
      <c r="O13" s="1"/>
    </row>
    <row r="14" spans="1:25"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</row>
    <row r="15" spans="1: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</row>
    <row r="16" spans="1:25">
      <c r="A16" s="1"/>
      <c r="B16" s="1"/>
      <c r="C16" s="1"/>
      <c r="D16" s="1"/>
      <c r="E16" s="1"/>
      <c r="F16" s="1"/>
      <c r="G16" s="1"/>
      <c r="H16" s="1" t="s">
        <v>43</v>
      </c>
      <c r="I16" s="1"/>
      <c r="J16" s="1"/>
      <c r="K16" s="1"/>
      <c r="L16" s="1"/>
      <c r="M16" s="1"/>
      <c r="N16" s="1"/>
      <c r="O16" s="1"/>
    </row>
    <row r="17" spans="1:19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9">
      <c r="A18" s="1"/>
      <c r="B18" s="1"/>
      <c r="C18" s="1"/>
      <c r="D18" s="1"/>
      <c r="E18" s="1"/>
      <c r="F18" s="1"/>
      <c r="G18" s="1" t="s">
        <v>44</v>
      </c>
      <c r="H18" s="7" t="s">
        <v>2</v>
      </c>
      <c r="I18" s="3">
        <f>X5-X7</f>
        <v>0.24859451136210614</v>
      </c>
      <c r="J18" s="7" t="s">
        <v>0</v>
      </c>
      <c r="K18" s="1">
        <f>SQRT(Y5^2+Y7^2)</f>
        <v>7.2325300550113141E-3</v>
      </c>
      <c r="L18" s="1"/>
      <c r="M18" s="1"/>
      <c r="N18" s="1"/>
      <c r="O18" s="1"/>
      <c r="P18" s="1"/>
      <c r="Q18" s="1"/>
      <c r="R18" s="1"/>
      <c r="S18" s="1"/>
    </row>
    <row r="19" spans="1:19">
      <c r="A19" s="1"/>
      <c r="B19" s="1"/>
      <c r="C19" s="1"/>
      <c r="D19" s="1"/>
      <c r="E19" s="1"/>
      <c r="F19" s="1"/>
      <c r="G19" s="1" t="s">
        <v>45</v>
      </c>
      <c r="H19" s="7" t="s">
        <v>2</v>
      </c>
      <c r="I19" s="3">
        <f>X9-X5</f>
        <v>0.93699894118201388</v>
      </c>
      <c r="J19" s="7" t="s">
        <v>0</v>
      </c>
      <c r="K19" s="1">
        <f>SQRT(Y5^2+Y9^2)</f>
        <v>1.4274033776047466E-2</v>
      </c>
      <c r="L19" s="1"/>
      <c r="M19" s="1"/>
      <c r="N19" s="1"/>
      <c r="O19" s="1"/>
      <c r="P19" s="1"/>
      <c r="Q19" s="1"/>
      <c r="R19" s="1"/>
      <c r="S19" s="1"/>
    </row>
    <row r="20" spans="1:19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</row>
    <row r="21" spans="1:19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</row>
    <row r="22" spans="1:19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</row>
    <row r="23" spans="1:19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</row>
    <row r="24" spans="1:19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</row>
    <row r="25" spans="1:19">
      <c r="A25" s="1"/>
      <c r="B25" s="1"/>
      <c r="C25" s="1"/>
      <c r="D25" s="1"/>
      <c r="E25" s="1"/>
      <c r="F25" s="1"/>
      <c r="G25" s="1"/>
      <c r="H25" s="1"/>
      <c r="I25" s="3"/>
      <c r="J25" s="1"/>
      <c r="K25" s="1"/>
      <c r="L25" s="1"/>
      <c r="M25" s="1"/>
      <c r="N25" s="1"/>
      <c r="O25" s="1"/>
      <c r="P25" s="1"/>
      <c r="Q25" s="1"/>
      <c r="R25" s="1"/>
      <c r="S25" s="1"/>
    </row>
    <row r="26" spans="1:19">
      <c r="A26" s="1"/>
      <c r="B26" s="1"/>
      <c r="C26" s="1"/>
      <c r="D26" s="1"/>
      <c r="E26" s="1"/>
      <c r="F26" s="1"/>
      <c r="G26" s="1" t="s">
        <v>46</v>
      </c>
      <c r="H26" s="1" t="s">
        <v>2</v>
      </c>
      <c r="I26" s="3">
        <f>(I13*I18)/I19</f>
        <v>164.76607223737417</v>
      </c>
      <c r="J26" s="1" t="s">
        <v>0</v>
      </c>
      <c r="K26" s="3">
        <f>I26*SQRT((K13/I13)^2+(K19/I19)^2+(K18/I18)^2)</f>
        <v>5.4266302163668572</v>
      </c>
      <c r="L26" s="1" t="s">
        <v>15</v>
      </c>
      <c r="M26" s="1"/>
      <c r="N26" s="1"/>
      <c r="O26" s="1"/>
      <c r="P26" s="1"/>
      <c r="Q26" s="1"/>
      <c r="R26" s="1"/>
      <c r="S26" s="1"/>
    </row>
    <row r="27" spans="1:19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>
      <c r="A28" s="1"/>
      <c r="B28" s="1"/>
      <c r="C28" s="1"/>
      <c r="D28" s="1"/>
      <c r="E28" s="1"/>
      <c r="F28" s="1"/>
      <c r="G28" s="1" t="s">
        <v>47</v>
      </c>
      <c r="H28" s="1" t="s">
        <v>2</v>
      </c>
      <c r="I28" s="3">
        <f>I26/'W2 Spike'!C1</f>
        <v>0.42177847011712433</v>
      </c>
      <c r="J28" s="1" t="s">
        <v>0</v>
      </c>
      <c r="K28" s="3">
        <f>I28*(SQRT((K26/I26)^2+('W2 Spike'!E1/'W2 Spike'!C1)^2))</f>
        <v>1.3891726869158688E-2</v>
      </c>
      <c r="L28" s="1" t="s">
        <v>48</v>
      </c>
      <c r="M28" s="3">
        <f>K28/I28*100</f>
        <v>3.293607391885383</v>
      </c>
      <c r="N28" s="1" t="s">
        <v>49</v>
      </c>
      <c r="O28" s="1"/>
      <c r="P28" s="1"/>
      <c r="Q28" s="1"/>
      <c r="R28" s="1"/>
      <c r="S28" s="1"/>
    </row>
    <row r="29" spans="1:1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</row>
    <row r="31" spans="1:19">
      <c r="A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</row>
    <row r="33" spans="3:9">
      <c r="C33" s="12"/>
      <c r="F33" s="12"/>
      <c r="I33" s="12"/>
    </row>
    <row r="34" spans="3:9">
      <c r="C34" s="12"/>
      <c r="F34" s="12"/>
      <c r="I34" s="12"/>
    </row>
    <row r="35" spans="3:9">
      <c r="C35" s="12"/>
      <c r="F35" s="12"/>
      <c r="I35" s="12"/>
    </row>
    <row r="36" spans="3:9">
      <c r="C36" s="12"/>
      <c r="F36" s="12"/>
      <c r="I36" s="12"/>
    </row>
    <row r="37" spans="3:9">
      <c r="C37" s="12"/>
      <c r="F37" s="12"/>
      <c r="I37" s="12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2"/>
  <sheetViews>
    <sheetView zoomScale="108" workbookViewId="0">
      <selection activeCell="E1" sqref="E1"/>
    </sheetView>
  </sheetViews>
  <sheetFormatPr baseColWidth="10" defaultColWidth="8" defaultRowHeight="15"/>
  <cols>
    <col min="1" max="1" width="32.33203125" style="1" customWidth="1"/>
    <col min="2" max="2" width="8" style="1"/>
    <col min="3" max="3" width="15.5" style="1" customWidth="1"/>
    <col min="4" max="4" width="8" style="1"/>
    <col min="5" max="5" width="9" style="1" customWidth="1"/>
    <col min="6" max="7" width="8" style="1"/>
    <col min="8" max="8" width="24" style="1" customWidth="1"/>
    <col min="9" max="9" width="8" style="1"/>
    <col min="10" max="10" width="8.5" style="1" bestFit="1" customWidth="1"/>
    <col min="11" max="11" width="8" style="1"/>
    <col min="12" max="12" width="8.5" style="1" bestFit="1" customWidth="1"/>
    <col min="13" max="256" width="8" style="1"/>
    <col min="257" max="257" width="32.33203125" style="1" customWidth="1"/>
    <col min="258" max="258" width="8" style="1"/>
    <col min="259" max="259" width="15.5" style="1" customWidth="1"/>
    <col min="260" max="260" width="8" style="1"/>
    <col min="261" max="261" width="9" style="1" customWidth="1"/>
    <col min="262" max="263" width="8" style="1"/>
    <col min="264" max="264" width="24" style="1" customWidth="1"/>
    <col min="265" max="512" width="8" style="1"/>
    <col min="513" max="513" width="32.33203125" style="1" customWidth="1"/>
    <col min="514" max="514" width="8" style="1"/>
    <col min="515" max="515" width="15.5" style="1" customWidth="1"/>
    <col min="516" max="516" width="8" style="1"/>
    <col min="517" max="517" width="9" style="1" customWidth="1"/>
    <col min="518" max="519" width="8" style="1"/>
    <col min="520" max="520" width="24" style="1" customWidth="1"/>
    <col min="521" max="768" width="8" style="1"/>
    <col min="769" max="769" width="32.33203125" style="1" customWidth="1"/>
    <col min="770" max="770" width="8" style="1"/>
    <col min="771" max="771" width="15.5" style="1" customWidth="1"/>
    <col min="772" max="772" width="8" style="1"/>
    <col min="773" max="773" width="9" style="1" customWidth="1"/>
    <col min="774" max="775" width="8" style="1"/>
    <col min="776" max="776" width="24" style="1" customWidth="1"/>
    <col min="777" max="1024" width="8" style="1"/>
    <col min="1025" max="1025" width="32.33203125" style="1" customWidth="1"/>
    <col min="1026" max="1026" width="8" style="1"/>
    <col min="1027" max="1027" width="15.5" style="1" customWidth="1"/>
    <col min="1028" max="1028" width="8" style="1"/>
    <col min="1029" max="1029" width="9" style="1" customWidth="1"/>
    <col min="1030" max="1031" width="8" style="1"/>
    <col min="1032" max="1032" width="24" style="1" customWidth="1"/>
    <col min="1033" max="1280" width="8" style="1"/>
    <col min="1281" max="1281" width="32.33203125" style="1" customWidth="1"/>
    <col min="1282" max="1282" width="8" style="1"/>
    <col min="1283" max="1283" width="15.5" style="1" customWidth="1"/>
    <col min="1284" max="1284" width="8" style="1"/>
    <col min="1285" max="1285" width="9" style="1" customWidth="1"/>
    <col min="1286" max="1287" width="8" style="1"/>
    <col min="1288" max="1288" width="24" style="1" customWidth="1"/>
    <col min="1289" max="1536" width="8" style="1"/>
    <col min="1537" max="1537" width="32.33203125" style="1" customWidth="1"/>
    <col min="1538" max="1538" width="8" style="1"/>
    <col min="1539" max="1539" width="15.5" style="1" customWidth="1"/>
    <col min="1540" max="1540" width="8" style="1"/>
    <col min="1541" max="1541" width="9" style="1" customWidth="1"/>
    <col min="1542" max="1543" width="8" style="1"/>
    <col min="1544" max="1544" width="24" style="1" customWidth="1"/>
    <col min="1545" max="1792" width="8" style="1"/>
    <col min="1793" max="1793" width="32.33203125" style="1" customWidth="1"/>
    <col min="1794" max="1794" width="8" style="1"/>
    <col min="1795" max="1795" width="15.5" style="1" customWidth="1"/>
    <col min="1796" max="1796" width="8" style="1"/>
    <col min="1797" max="1797" width="9" style="1" customWidth="1"/>
    <col min="1798" max="1799" width="8" style="1"/>
    <col min="1800" max="1800" width="24" style="1" customWidth="1"/>
    <col min="1801" max="2048" width="8" style="1"/>
    <col min="2049" max="2049" width="32.33203125" style="1" customWidth="1"/>
    <col min="2050" max="2050" width="8" style="1"/>
    <col min="2051" max="2051" width="15.5" style="1" customWidth="1"/>
    <col min="2052" max="2052" width="8" style="1"/>
    <col min="2053" max="2053" width="9" style="1" customWidth="1"/>
    <col min="2054" max="2055" width="8" style="1"/>
    <col min="2056" max="2056" width="24" style="1" customWidth="1"/>
    <col min="2057" max="2304" width="8" style="1"/>
    <col min="2305" max="2305" width="32.33203125" style="1" customWidth="1"/>
    <col min="2306" max="2306" width="8" style="1"/>
    <col min="2307" max="2307" width="15.5" style="1" customWidth="1"/>
    <col min="2308" max="2308" width="8" style="1"/>
    <col min="2309" max="2309" width="9" style="1" customWidth="1"/>
    <col min="2310" max="2311" width="8" style="1"/>
    <col min="2312" max="2312" width="24" style="1" customWidth="1"/>
    <col min="2313" max="2560" width="8" style="1"/>
    <col min="2561" max="2561" width="32.33203125" style="1" customWidth="1"/>
    <col min="2562" max="2562" width="8" style="1"/>
    <col min="2563" max="2563" width="15.5" style="1" customWidth="1"/>
    <col min="2564" max="2564" width="8" style="1"/>
    <col min="2565" max="2565" width="9" style="1" customWidth="1"/>
    <col min="2566" max="2567" width="8" style="1"/>
    <col min="2568" max="2568" width="24" style="1" customWidth="1"/>
    <col min="2569" max="2816" width="8" style="1"/>
    <col min="2817" max="2817" width="32.33203125" style="1" customWidth="1"/>
    <col min="2818" max="2818" width="8" style="1"/>
    <col min="2819" max="2819" width="15.5" style="1" customWidth="1"/>
    <col min="2820" max="2820" width="8" style="1"/>
    <col min="2821" max="2821" width="9" style="1" customWidth="1"/>
    <col min="2822" max="2823" width="8" style="1"/>
    <col min="2824" max="2824" width="24" style="1" customWidth="1"/>
    <col min="2825" max="3072" width="8" style="1"/>
    <col min="3073" max="3073" width="32.33203125" style="1" customWidth="1"/>
    <col min="3074" max="3074" width="8" style="1"/>
    <col min="3075" max="3075" width="15.5" style="1" customWidth="1"/>
    <col min="3076" max="3076" width="8" style="1"/>
    <col min="3077" max="3077" width="9" style="1" customWidth="1"/>
    <col min="3078" max="3079" width="8" style="1"/>
    <col min="3080" max="3080" width="24" style="1" customWidth="1"/>
    <col min="3081" max="3328" width="8" style="1"/>
    <col min="3329" max="3329" width="32.33203125" style="1" customWidth="1"/>
    <col min="3330" max="3330" width="8" style="1"/>
    <col min="3331" max="3331" width="15.5" style="1" customWidth="1"/>
    <col min="3332" max="3332" width="8" style="1"/>
    <col min="3333" max="3333" width="9" style="1" customWidth="1"/>
    <col min="3334" max="3335" width="8" style="1"/>
    <col min="3336" max="3336" width="24" style="1" customWidth="1"/>
    <col min="3337" max="3584" width="8" style="1"/>
    <col min="3585" max="3585" width="32.33203125" style="1" customWidth="1"/>
    <col min="3586" max="3586" width="8" style="1"/>
    <col min="3587" max="3587" width="15.5" style="1" customWidth="1"/>
    <col min="3588" max="3588" width="8" style="1"/>
    <col min="3589" max="3589" width="9" style="1" customWidth="1"/>
    <col min="3590" max="3591" width="8" style="1"/>
    <col min="3592" max="3592" width="24" style="1" customWidth="1"/>
    <col min="3593" max="3840" width="8" style="1"/>
    <col min="3841" max="3841" width="32.33203125" style="1" customWidth="1"/>
    <col min="3842" max="3842" width="8" style="1"/>
    <col min="3843" max="3843" width="15.5" style="1" customWidth="1"/>
    <col min="3844" max="3844" width="8" style="1"/>
    <col min="3845" max="3845" width="9" style="1" customWidth="1"/>
    <col min="3846" max="3847" width="8" style="1"/>
    <col min="3848" max="3848" width="24" style="1" customWidth="1"/>
    <col min="3849" max="4096" width="8" style="1"/>
    <col min="4097" max="4097" width="32.33203125" style="1" customWidth="1"/>
    <col min="4098" max="4098" width="8" style="1"/>
    <col min="4099" max="4099" width="15.5" style="1" customWidth="1"/>
    <col min="4100" max="4100" width="8" style="1"/>
    <col min="4101" max="4101" width="9" style="1" customWidth="1"/>
    <col min="4102" max="4103" width="8" style="1"/>
    <col min="4104" max="4104" width="24" style="1" customWidth="1"/>
    <col min="4105" max="4352" width="8" style="1"/>
    <col min="4353" max="4353" width="32.33203125" style="1" customWidth="1"/>
    <col min="4354" max="4354" width="8" style="1"/>
    <col min="4355" max="4355" width="15.5" style="1" customWidth="1"/>
    <col min="4356" max="4356" width="8" style="1"/>
    <col min="4357" max="4357" width="9" style="1" customWidth="1"/>
    <col min="4358" max="4359" width="8" style="1"/>
    <col min="4360" max="4360" width="24" style="1" customWidth="1"/>
    <col min="4361" max="4608" width="8" style="1"/>
    <col min="4609" max="4609" width="32.33203125" style="1" customWidth="1"/>
    <col min="4610" max="4610" width="8" style="1"/>
    <col min="4611" max="4611" width="15.5" style="1" customWidth="1"/>
    <col min="4612" max="4612" width="8" style="1"/>
    <col min="4613" max="4613" width="9" style="1" customWidth="1"/>
    <col min="4614" max="4615" width="8" style="1"/>
    <col min="4616" max="4616" width="24" style="1" customWidth="1"/>
    <col min="4617" max="4864" width="8" style="1"/>
    <col min="4865" max="4865" width="32.33203125" style="1" customWidth="1"/>
    <col min="4866" max="4866" width="8" style="1"/>
    <col min="4867" max="4867" width="15.5" style="1" customWidth="1"/>
    <col min="4868" max="4868" width="8" style="1"/>
    <col min="4869" max="4869" width="9" style="1" customWidth="1"/>
    <col min="4870" max="4871" width="8" style="1"/>
    <col min="4872" max="4872" width="24" style="1" customWidth="1"/>
    <col min="4873" max="5120" width="8" style="1"/>
    <col min="5121" max="5121" width="32.33203125" style="1" customWidth="1"/>
    <col min="5122" max="5122" width="8" style="1"/>
    <col min="5123" max="5123" width="15.5" style="1" customWidth="1"/>
    <col min="5124" max="5124" width="8" style="1"/>
    <col min="5125" max="5125" width="9" style="1" customWidth="1"/>
    <col min="5126" max="5127" width="8" style="1"/>
    <col min="5128" max="5128" width="24" style="1" customWidth="1"/>
    <col min="5129" max="5376" width="8" style="1"/>
    <col min="5377" max="5377" width="32.33203125" style="1" customWidth="1"/>
    <col min="5378" max="5378" width="8" style="1"/>
    <col min="5379" max="5379" width="15.5" style="1" customWidth="1"/>
    <col min="5380" max="5380" width="8" style="1"/>
    <col min="5381" max="5381" width="9" style="1" customWidth="1"/>
    <col min="5382" max="5383" width="8" style="1"/>
    <col min="5384" max="5384" width="24" style="1" customWidth="1"/>
    <col min="5385" max="5632" width="8" style="1"/>
    <col min="5633" max="5633" width="32.33203125" style="1" customWidth="1"/>
    <col min="5634" max="5634" width="8" style="1"/>
    <col min="5635" max="5635" width="15.5" style="1" customWidth="1"/>
    <col min="5636" max="5636" width="8" style="1"/>
    <col min="5637" max="5637" width="9" style="1" customWidth="1"/>
    <col min="5638" max="5639" width="8" style="1"/>
    <col min="5640" max="5640" width="24" style="1" customWidth="1"/>
    <col min="5641" max="5888" width="8" style="1"/>
    <col min="5889" max="5889" width="32.33203125" style="1" customWidth="1"/>
    <col min="5890" max="5890" width="8" style="1"/>
    <col min="5891" max="5891" width="15.5" style="1" customWidth="1"/>
    <col min="5892" max="5892" width="8" style="1"/>
    <col min="5893" max="5893" width="9" style="1" customWidth="1"/>
    <col min="5894" max="5895" width="8" style="1"/>
    <col min="5896" max="5896" width="24" style="1" customWidth="1"/>
    <col min="5897" max="6144" width="8" style="1"/>
    <col min="6145" max="6145" width="32.33203125" style="1" customWidth="1"/>
    <col min="6146" max="6146" width="8" style="1"/>
    <col min="6147" max="6147" width="15.5" style="1" customWidth="1"/>
    <col min="6148" max="6148" width="8" style="1"/>
    <col min="6149" max="6149" width="9" style="1" customWidth="1"/>
    <col min="6150" max="6151" width="8" style="1"/>
    <col min="6152" max="6152" width="24" style="1" customWidth="1"/>
    <col min="6153" max="6400" width="8" style="1"/>
    <col min="6401" max="6401" width="32.33203125" style="1" customWidth="1"/>
    <col min="6402" max="6402" width="8" style="1"/>
    <col min="6403" max="6403" width="15.5" style="1" customWidth="1"/>
    <col min="6404" max="6404" width="8" style="1"/>
    <col min="6405" max="6405" width="9" style="1" customWidth="1"/>
    <col min="6406" max="6407" width="8" style="1"/>
    <col min="6408" max="6408" width="24" style="1" customWidth="1"/>
    <col min="6409" max="6656" width="8" style="1"/>
    <col min="6657" max="6657" width="32.33203125" style="1" customWidth="1"/>
    <col min="6658" max="6658" width="8" style="1"/>
    <col min="6659" max="6659" width="15.5" style="1" customWidth="1"/>
    <col min="6660" max="6660" width="8" style="1"/>
    <col min="6661" max="6661" width="9" style="1" customWidth="1"/>
    <col min="6662" max="6663" width="8" style="1"/>
    <col min="6664" max="6664" width="24" style="1" customWidth="1"/>
    <col min="6665" max="6912" width="8" style="1"/>
    <col min="6913" max="6913" width="32.33203125" style="1" customWidth="1"/>
    <col min="6914" max="6914" width="8" style="1"/>
    <col min="6915" max="6915" width="15.5" style="1" customWidth="1"/>
    <col min="6916" max="6916" width="8" style="1"/>
    <col min="6917" max="6917" width="9" style="1" customWidth="1"/>
    <col min="6918" max="6919" width="8" style="1"/>
    <col min="6920" max="6920" width="24" style="1" customWidth="1"/>
    <col min="6921" max="7168" width="8" style="1"/>
    <col min="7169" max="7169" width="32.33203125" style="1" customWidth="1"/>
    <col min="7170" max="7170" width="8" style="1"/>
    <col min="7171" max="7171" width="15.5" style="1" customWidth="1"/>
    <col min="7172" max="7172" width="8" style="1"/>
    <col min="7173" max="7173" width="9" style="1" customWidth="1"/>
    <col min="7174" max="7175" width="8" style="1"/>
    <col min="7176" max="7176" width="24" style="1" customWidth="1"/>
    <col min="7177" max="7424" width="8" style="1"/>
    <col min="7425" max="7425" width="32.33203125" style="1" customWidth="1"/>
    <col min="7426" max="7426" width="8" style="1"/>
    <col min="7427" max="7427" width="15.5" style="1" customWidth="1"/>
    <col min="7428" max="7428" width="8" style="1"/>
    <col min="7429" max="7429" width="9" style="1" customWidth="1"/>
    <col min="7430" max="7431" width="8" style="1"/>
    <col min="7432" max="7432" width="24" style="1" customWidth="1"/>
    <col min="7433" max="7680" width="8" style="1"/>
    <col min="7681" max="7681" width="32.33203125" style="1" customWidth="1"/>
    <col min="7682" max="7682" width="8" style="1"/>
    <col min="7683" max="7683" width="15.5" style="1" customWidth="1"/>
    <col min="7684" max="7684" width="8" style="1"/>
    <col min="7685" max="7685" width="9" style="1" customWidth="1"/>
    <col min="7686" max="7687" width="8" style="1"/>
    <col min="7688" max="7688" width="24" style="1" customWidth="1"/>
    <col min="7689" max="7936" width="8" style="1"/>
    <col min="7937" max="7937" width="32.33203125" style="1" customWidth="1"/>
    <col min="7938" max="7938" width="8" style="1"/>
    <col min="7939" max="7939" width="15.5" style="1" customWidth="1"/>
    <col min="7940" max="7940" width="8" style="1"/>
    <col min="7941" max="7941" width="9" style="1" customWidth="1"/>
    <col min="7942" max="7943" width="8" style="1"/>
    <col min="7944" max="7944" width="24" style="1" customWidth="1"/>
    <col min="7945" max="8192" width="8" style="1"/>
    <col min="8193" max="8193" width="32.33203125" style="1" customWidth="1"/>
    <col min="8194" max="8194" width="8" style="1"/>
    <col min="8195" max="8195" width="15.5" style="1" customWidth="1"/>
    <col min="8196" max="8196" width="8" style="1"/>
    <col min="8197" max="8197" width="9" style="1" customWidth="1"/>
    <col min="8198" max="8199" width="8" style="1"/>
    <col min="8200" max="8200" width="24" style="1" customWidth="1"/>
    <col min="8201" max="8448" width="8" style="1"/>
    <col min="8449" max="8449" width="32.33203125" style="1" customWidth="1"/>
    <col min="8450" max="8450" width="8" style="1"/>
    <col min="8451" max="8451" width="15.5" style="1" customWidth="1"/>
    <col min="8452" max="8452" width="8" style="1"/>
    <col min="8453" max="8453" width="9" style="1" customWidth="1"/>
    <col min="8454" max="8455" width="8" style="1"/>
    <col min="8456" max="8456" width="24" style="1" customWidth="1"/>
    <col min="8457" max="8704" width="8" style="1"/>
    <col min="8705" max="8705" width="32.33203125" style="1" customWidth="1"/>
    <col min="8706" max="8706" width="8" style="1"/>
    <col min="8707" max="8707" width="15.5" style="1" customWidth="1"/>
    <col min="8708" max="8708" width="8" style="1"/>
    <col min="8709" max="8709" width="9" style="1" customWidth="1"/>
    <col min="8710" max="8711" width="8" style="1"/>
    <col min="8712" max="8712" width="24" style="1" customWidth="1"/>
    <col min="8713" max="8960" width="8" style="1"/>
    <col min="8961" max="8961" width="32.33203125" style="1" customWidth="1"/>
    <col min="8962" max="8962" width="8" style="1"/>
    <col min="8963" max="8963" width="15.5" style="1" customWidth="1"/>
    <col min="8964" max="8964" width="8" style="1"/>
    <col min="8965" max="8965" width="9" style="1" customWidth="1"/>
    <col min="8966" max="8967" width="8" style="1"/>
    <col min="8968" max="8968" width="24" style="1" customWidth="1"/>
    <col min="8969" max="9216" width="8" style="1"/>
    <col min="9217" max="9217" width="32.33203125" style="1" customWidth="1"/>
    <col min="9218" max="9218" width="8" style="1"/>
    <col min="9219" max="9219" width="15.5" style="1" customWidth="1"/>
    <col min="9220" max="9220" width="8" style="1"/>
    <col min="9221" max="9221" width="9" style="1" customWidth="1"/>
    <col min="9222" max="9223" width="8" style="1"/>
    <col min="9224" max="9224" width="24" style="1" customWidth="1"/>
    <col min="9225" max="9472" width="8" style="1"/>
    <col min="9473" max="9473" width="32.33203125" style="1" customWidth="1"/>
    <col min="9474" max="9474" width="8" style="1"/>
    <col min="9475" max="9475" width="15.5" style="1" customWidth="1"/>
    <col min="9476" max="9476" width="8" style="1"/>
    <col min="9477" max="9477" width="9" style="1" customWidth="1"/>
    <col min="9478" max="9479" width="8" style="1"/>
    <col min="9480" max="9480" width="24" style="1" customWidth="1"/>
    <col min="9481" max="9728" width="8" style="1"/>
    <col min="9729" max="9729" width="32.33203125" style="1" customWidth="1"/>
    <col min="9730" max="9730" width="8" style="1"/>
    <col min="9731" max="9731" width="15.5" style="1" customWidth="1"/>
    <col min="9732" max="9732" width="8" style="1"/>
    <col min="9733" max="9733" width="9" style="1" customWidth="1"/>
    <col min="9734" max="9735" width="8" style="1"/>
    <col min="9736" max="9736" width="24" style="1" customWidth="1"/>
    <col min="9737" max="9984" width="8" style="1"/>
    <col min="9985" max="9985" width="32.33203125" style="1" customWidth="1"/>
    <col min="9986" max="9986" width="8" style="1"/>
    <col min="9987" max="9987" width="15.5" style="1" customWidth="1"/>
    <col min="9988" max="9988" width="8" style="1"/>
    <col min="9989" max="9989" width="9" style="1" customWidth="1"/>
    <col min="9990" max="9991" width="8" style="1"/>
    <col min="9992" max="9992" width="24" style="1" customWidth="1"/>
    <col min="9993" max="10240" width="8" style="1"/>
    <col min="10241" max="10241" width="32.33203125" style="1" customWidth="1"/>
    <col min="10242" max="10242" width="8" style="1"/>
    <col min="10243" max="10243" width="15.5" style="1" customWidth="1"/>
    <col min="10244" max="10244" width="8" style="1"/>
    <col min="10245" max="10245" width="9" style="1" customWidth="1"/>
    <col min="10246" max="10247" width="8" style="1"/>
    <col min="10248" max="10248" width="24" style="1" customWidth="1"/>
    <col min="10249" max="10496" width="8" style="1"/>
    <col min="10497" max="10497" width="32.33203125" style="1" customWidth="1"/>
    <col min="10498" max="10498" width="8" style="1"/>
    <col min="10499" max="10499" width="15.5" style="1" customWidth="1"/>
    <col min="10500" max="10500" width="8" style="1"/>
    <col min="10501" max="10501" width="9" style="1" customWidth="1"/>
    <col min="10502" max="10503" width="8" style="1"/>
    <col min="10504" max="10504" width="24" style="1" customWidth="1"/>
    <col min="10505" max="10752" width="8" style="1"/>
    <col min="10753" max="10753" width="32.33203125" style="1" customWidth="1"/>
    <col min="10754" max="10754" width="8" style="1"/>
    <col min="10755" max="10755" width="15.5" style="1" customWidth="1"/>
    <col min="10756" max="10756" width="8" style="1"/>
    <col min="10757" max="10757" width="9" style="1" customWidth="1"/>
    <col min="10758" max="10759" width="8" style="1"/>
    <col min="10760" max="10760" width="24" style="1" customWidth="1"/>
    <col min="10761" max="11008" width="8" style="1"/>
    <col min="11009" max="11009" width="32.33203125" style="1" customWidth="1"/>
    <col min="11010" max="11010" width="8" style="1"/>
    <col min="11011" max="11011" width="15.5" style="1" customWidth="1"/>
    <col min="11012" max="11012" width="8" style="1"/>
    <col min="11013" max="11013" width="9" style="1" customWidth="1"/>
    <col min="11014" max="11015" width="8" style="1"/>
    <col min="11016" max="11016" width="24" style="1" customWidth="1"/>
    <col min="11017" max="11264" width="8" style="1"/>
    <col min="11265" max="11265" width="32.33203125" style="1" customWidth="1"/>
    <col min="11266" max="11266" width="8" style="1"/>
    <col min="11267" max="11267" width="15.5" style="1" customWidth="1"/>
    <col min="11268" max="11268" width="8" style="1"/>
    <col min="11269" max="11269" width="9" style="1" customWidth="1"/>
    <col min="11270" max="11271" width="8" style="1"/>
    <col min="11272" max="11272" width="24" style="1" customWidth="1"/>
    <col min="11273" max="11520" width="8" style="1"/>
    <col min="11521" max="11521" width="32.33203125" style="1" customWidth="1"/>
    <col min="11522" max="11522" width="8" style="1"/>
    <col min="11523" max="11523" width="15.5" style="1" customWidth="1"/>
    <col min="11524" max="11524" width="8" style="1"/>
    <col min="11525" max="11525" width="9" style="1" customWidth="1"/>
    <col min="11526" max="11527" width="8" style="1"/>
    <col min="11528" max="11528" width="24" style="1" customWidth="1"/>
    <col min="11529" max="11776" width="8" style="1"/>
    <col min="11777" max="11777" width="32.33203125" style="1" customWidth="1"/>
    <col min="11778" max="11778" width="8" style="1"/>
    <col min="11779" max="11779" width="15.5" style="1" customWidth="1"/>
    <col min="11780" max="11780" width="8" style="1"/>
    <col min="11781" max="11781" width="9" style="1" customWidth="1"/>
    <col min="11782" max="11783" width="8" style="1"/>
    <col min="11784" max="11784" width="24" style="1" customWidth="1"/>
    <col min="11785" max="12032" width="8" style="1"/>
    <col min="12033" max="12033" width="32.33203125" style="1" customWidth="1"/>
    <col min="12034" max="12034" width="8" style="1"/>
    <col min="12035" max="12035" width="15.5" style="1" customWidth="1"/>
    <col min="12036" max="12036" width="8" style="1"/>
    <col min="12037" max="12037" width="9" style="1" customWidth="1"/>
    <col min="12038" max="12039" width="8" style="1"/>
    <col min="12040" max="12040" width="24" style="1" customWidth="1"/>
    <col min="12041" max="12288" width="8" style="1"/>
    <col min="12289" max="12289" width="32.33203125" style="1" customWidth="1"/>
    <col min="12290" max="12290" width="8" style="1"/>
    <col min="12291" max="12291" width="15.5" style="1" customWidth="1"/>
    <col min="12292" max="12292" width="8" style="1"/>
    <col min="12293" max="12293" width="9" style="1" customWidth="1"/>
    <col min="12294" max="12295" width="8" style="1"/>
    <col min="12296" max="12296" width="24" style="1" customWidth="1"/>
    <col min="12297" max="12544" width="8" style="1"/>
    <col min="12545" max="12545" width="32.33203125" style="1" customWidth="1"/>
    <col min="12546" max="12546" width="8" style="1"/>
    <col min="12547" max="12547" width="15.5" style="1" customWidth="1"/>
    <col min="12548" max="12548" width="8" style="1"/>
    <col min="12549" max="12549" width="9" style="1" customWidth="1"/>
    <col min="12550" max="12551" width="8" style="1"/>
    <col min="12552" max="12552" width="24" style="1" customWidth="1"/>
    <col min="12553" max="12800" width="8" style="1"/>
    <col min="12801" max="12801" width="32.33203125" style="1" customWidth="1"/>
    <col min="12802" max="12802" width="8" style="1"/>
    <col min="12803" max="12803" width="15.5" style="1" customWidth="1"/>
    <col min="12804" max="12804" width="8" style="1"/>
    <col min="12805" max="12805" width="9" style="1" customWidth="1"/>
    <col min="12806" max="12807" width="8" style="1"/>
    <col min="12808" max="12808" width="24" style="1" customWidth="1"/>
    <col min="12809" max="13056" width="8" style="1"/>
    <col min="13057" max="13057" width="32.33203125" style="1" customWidth="1"/>
    <col min="13058" max="13058" width="8" style="1"/>
    <col min="13059" max="13059" width="15.5" style="1" customWidth="1"/>
    <col min="13060" max="13060" width="8" style="1"/>
    <col min="13061" max="13061" width="9" style="1" customWidth="1"/>
    <col min="13062" max="13063" width="8" style="1"/>
    <col min="13064" max="13064" width="24" style="1" customWidth="1"/>
    <col min="13065" max="13312" width="8" style="1"/>
    <col min="13313" max="13313" width="32.33203125" style="1" customWidth="1"/>
    <col min="13314" max="13314" width="8" style="1"/>
    <col min="13315" max="13315" width="15.5" style="1" customWidth="1"/>
    <col min="13316" max="13316" width="8" style="1"/>
    <col min="13317" max="13317" width="9" style="1" customWidth="1"/>
    <col min="13318" max="13319" width="8" style="1"/>
    <col min="13320" max="13320" width="24" style="1" customWidth="1"/>
    <col min="13321" max="13568" width="8" style="1"/>
    <col min="13569" max="13569" width="32.33203125" style="1" customWidth="1"/>
    <col min="13570" max="13570" width="8" style="1"/>
    <col min="13571" max="13571" width="15.5" style="1" customWidth="1"/>
    <col min="13572" max="13572" width="8" style="1"/>
    <col min="13573" max="13573" width="9" style="1" customWidth="1"/>
    <col min="13574" max="13575" width="8" style="1"/>
    <col min="13576" max="13576" width="24" style="1" customWidth="1"/>
    <col min="13577" max="13824" width="8" style="1"/>
    <col min="13825" max="13825" width="32.33203125" style="1" customWidth="1"/>
    <col min="13826" max="13826" width="8" style="1"/>
    <col min="13827" max="13827" width="15.5" style="1" customWidth="1"/>
    <col min="13828" max="13828" width="8" style="1"/>
    <col min="13829" max="13829" width="9" style="1" customWidth="1"/>
    <col min="13830" max="13831" width="8" style="1"/>
    <col min="13832" max="13832" width="24" style="1" customWidth="1"/>
    <col min="13833" max="14080" width="8" style="1"/>
    <col min="14081" max="14081" width="32.33203125" style="1" customWidth="1"/>
    <col min="14082" max="14082" width="8" style="1"/>
    <col min="14083" max="14083" width="15.5" style="1" customWidth="1"/>
    <col min="14084" max="14084" width="8" style="1"/>
    <col min="14085" max="14085" width="9" style="1" customWidth="1"/>
    <col min="14086" max="14087" width="8" style="1"/>
    <col min="14088" max="14088" width="24" style="1" customWidth="1"/>
    <col min="14089" max="14336" width="8" style="1"/>
    <col min="14337" max="14337" width="32.33203125" style="1" customWidth="1"/>
    <col min="14338" max="14338" width="8" style="1"/>
    <col min="14339" max="14339" width="15.5" style="1" customWidth="1"/>
    <col min="14340" max="14340" width="8" style="1"/>
    <col min="14341" max="14341" width="9" style="1" customWidth="1"/>
    <col min="14342" max="14343" width="8" style="1"/>
    <col min="14344" max="14344" width="24" style="1" customWidth="1"/>
    <col min="14345" max="14592" width="8" style="1"/>
    <col min="14593" max="14593" width="32.33203125" style="1" customWidth="1"/>
    <col min="14594" max="14594" width="8" style="1"/>
    <col min="14595" max="14595" width="15.5" style="1" customWidth="1"/>
    <col min="14596" max="14596" width="8" style="1"/>
    <col min="14597" max="14597" width="9" style="1" customWidth="1"/>
    <col min="14598" max="14599" width="8" style="1"/>
    <col min="14600" max="14600" width="24" style="1" customWidth="1"/>
    <col min="14601" max="14848" width="8" style="1"/>
    <col min="14849" max="14849" width="32.33203125" style="1" customWidth="1"/>
    <col min="14850" max="14850" width="8" style="1"/>
    <col min="14851" max="14851" width="15.5" style="1" customWidth="1"/>
    <col min="14852" max="14852" width="8" style="1"/>
    <col min="14853" max="14853" width="9" style="1" customWidth="1"/>
    <col min="14854" max="14855" width="8" style="1"/>
    <col min="14856" max="14856" width="24" style="1" customWidth="1"/>
    <col min="14857" max="15104" width="8" style="1"/>
    <col min="15105" max="15105" width="32.33203125" style="1" customWidth="1"/>
    <col min="15106" max="15106" width="8" style="1"/>
    <col min="15107" max="15107" width="15.5" style="1" customWidth="1"/>
    <col min="15108" max="15108" width="8" style="1"/>
    <col min="15109" max="15109" width="9" style="1" customWidth="1"/>
    <col min="15110" max="15111" width="8" style="1"/>
    <col min="15112" max="15112" width="24" style="1" customWidth="1"/>
    <col min="15113" max="15360" width="8" style="1"/>
    <col min="15361" max="15361" width="32.33203125" style="1" customWidth="1"/>
    <col min="15362" max="15362" width="8" style="1"/>
    <col min="15363" max="15363" width="15.5" style="1" customWidth="1"/>
    <col min="15364" max="15364" width="8" style="1"/>
    <col min="15365" max="15365" width="9" style="1" customWidth="1"/>
    <col min="15366" max="15367" width="8" style="1"/>
    <col min="15368" max="15368" width="24" style="1" customWidth="1"/>
    <col min="15369" max="15616" width="8" style="1"/>
    <col min="15617" max="15617" width="32.33203125" style="1" customWidth="1"/>
    <col min="15618" max="15618" width="8" style="1"/>
    <col min="15619" max="15619" width="15.5" style="1" customWidth="1"/>
    <col min="15620" max="15620" width="8" style="1"/>
    <col min="15621" max="15621" width="9" style="1" customWidth="1"/>
    <col min="15622" max="15623" width="8" style="1"/>
    <col min="15624" max="15624" width="24" style="1" customWidth="1"/>
    <col min="15625" max="15872" width="8" style="1"/>
    <col min="15873" max="15873" width="32.33203125" style="1" customWidth="1"/>
    <col min="15874" max="15874" width="8" style="1"/>
    <col min="15875" max="15875" width="15.5" style="1" customWidth="1"/>
    <col min="15876" max="15876" width="8" style="1"/>
    <col min="15877" max="15877" width="9" style="1" customWidth="1"/>
    <col min="15878" max="15879" width="8" style="1"/>
    <col min="15880" max="15880" width="24" style="1" customWidth="1"/>
    <col min="15881" max="16128" width="8" style="1"/>
    <col min="16129" max="16129" width="32.33203125" style="1" customWidth="1"/>
    <col min="16130" max="16130" width="8" style="1"/>
    <col min="16131" max="16131" width="15.5" style="1" customWidth="1"/>
    <col min="16132" max="16132" width="8" style="1"/>
    <col min="16133" max="16133" width="9" style="1" customWidth="1"/>
    <col min="16134" max="16135" width="8" style="1"/>
    <col min="16136" max="16136" width="24" style="1" customWidth="1"/>
    <col min="16137" max="16384" width="8" style="1"/>
  </cols>
  <sheetData>
    <row r="1" spans="1:13">
      <c r="A1" s="1" t="s">
        <v>52</v>
      </c>
      <c r="B1" s="1" t="s">
        <v>2</v>
      </c>
      <c r="C1" s="1">
        <f>Masses!B21</f>
        <v>390.64600000000007</v>
      </c>
      <c r="D1" s="1" t="s">
        <v>0</v>
      </c>
      <c r="E1" s="1">
        <f>Masses!B22</f>
        <v>8.4602009432397568E-2</v>
      </c>
      <c r="F1" s="1" t="s">
        <v>1</v>
      </c>
    </row>
    <row r="3" spans="1:13">
      <c r="A3" s="1" t="s">
        <v>3</v>
      </c>
      <c r="B3" s="1" t="s">
        <v>2</v>
      </c>
      <c r="C3" s="1">
        <f>Masses!F21</f>
        <v>80.12</v>
      </c>
      <c r="D3" s="1" t="s">
        <v>0</v>
      </c>
      <c r="E3" s="1">
        <f>Masses!F22</f>
        <v>5.3696678978625428E-2</v>
      </c>
      <c r="F3" s="1" t="s">
        <v>1</v>
      </c>
      <c r="I3" s="7"/>
    </row>
    <row r="5" spans="1:13">
      <c r="A5" s="1" t="s">
        <v>53</v>
      </c>
      <c r="B5" s="7" t="s">
        <v>2</v>
      </c>
      <c r="C5" s="1">
        <f>C1</f>
        <v>390.64600000000007</v>
      </c>
      <c r="D5" s="1" t="s">
        <v>0</v>
      </c>
      <c r="E5" s="1">
        <f>E1</f>
        <v>8.4602009432397568E-2</v>
      </c>
      <c r="F5" s="1" t="s">
        <v>1</v>
      </c>
    </row>
    <row r="7" spans="1:13">
      <c r="A7" s="1" t="s">
        <v>4</v>
      </c>
    </row>
    <row r="9" spans="1:13">
      <c r="A9" s="1" t="s">
        <v>5</v>
      </c>
      <c r="B9" s="1" t="s">
        <v>2</v>
      </c>
      <c r="C9" s="2">
        <v>1248000000</v>
      </c>
      <c r="D9" s="1" t="s">
        <v>0</v>
      </c>
      <c r="E9" s="3">
        <v>3000000</v>
      </c>
      <c r="F9" s="1" t="s">
        <v>6</v>
      </c>
      <c r="H9" s="1" t="s">
        <v>54</v>
      </c>
      <c r="I9" s="7" t="s">
        <v>2</v>
      </c>
      <c r="J9" s="3">
        <f>0.693/C10</f>
        <v>1.7608081606369277E-17</v>
      </c>
      <c r="K9" s="7" t="s">
        <v>0</v>
      </c>
      <c r="L9" s="3">
        <f>(0.693*E10)/(C10)^2</f>
        <v>4.2327119246079987E-20</v>
      </c>
      <c r="M9" s="1" t="s">
        <v>55</v>
      </c>
    </row>
    <row r="10" spans="1:13">
      <c r="B10" s="1" t="s">
        <v>2</v>
      </c>
      <c r="C10" s="3">
        <f>C9*365*24*3600</f>
        <v>3.9356928E+16</v>
      </c>
      <c r="D10" s="1" t="s">
        <v>0</v>
      </c>
      <c r="E10" s="3">
        <f>E9*365*24*3600</f>
        <v>94608000000000</v>
      </c>
      <c r="F10" s="1" t="s">
        <v>7</v>
      </c>
      <c r="H10" s="1" t="s">
        <v>56</v>
      </c>
      <c r="I10" s="7" t="s">
        <v>2</v>
      </c>
      <c r="J10" s="3">
        <f>C22</f>
        <v>621.033965646404</v>
      </c>
      <c r="K10" s="7" t="s">
        <v>0</v>
      </c>
      <c r="L10" s="3">
        <f>SQRT((L9/J9)^2+(C19/C18)^2)*(J10)</f>
        <v>1.549806236498674</v>
      </c>
      <c r="M10" s="1" t="s">
        <v>15</v>
      </c>
    </row>
    <row r="12" spans="1:13">
      <c r="A12" s="1" t="s">
        <v>8</v>
      </c>
      <c r="B12" s="1" t="s">
        <v>2</v>
      </c>
      <c r="C12" s="1">
        <v>1.17E-4</v>
      </c>
    </row>
    <row r="13" spans="1:13">
      <c r="A13" s="1" t="s">
        <v>9</v>
      </c>
      <c r="B13" s="1" t="s">
        <v>2</v>
      </c>
      <c r="C13" s="1">
        <f>0.35/1.4</f>
        <v>0.25</v>
      </c>
    </row>
    <row r="15" spans="1:13">
      <c r="A15" s="1" t="s">
        <v>10</v>
      </c>
      <c r="B15" s="1" t="s">
        <v>2</v>
      </c>
      <c r="C15" s="3">
        <v>6.0199999999999993E+23</v>
      </c>
    </row>
    <row r="16" spans="1:13">
      <c r="A16" s="1" t="s">
        <v>11</v>
      </c>
      <c r="B16" s="1" t="s">
        <v>2</v>
      </c>
      <c r="C16" s="1">
        <v>40</v>
      </c>
      <c r="D16" s="1" t="s">
        <v>1</v>
      </c>
    </row>
    <row r="18" spans="1:6">
      <c r="A18" s="1" t="s">
        <v>12</v>
      </c>
      <c r="B18" s="1" t="s">
        <v>2</v>
      </c>
      <c r="C18" s="3">
        <f>C3*C12*C13*C15/C16</f>
        <v>3.5269825499999994E+19</v>
      </c>
    </row>
    <row r="19" spans="1:6">
      <c r="A19" s="1" t="s">
        <v>13</v>
      </c>
      <c r="B19" s="1" t="s">
        <v>2</v>
      </c>
      <c r="C19" s="3">
        <f>E3*(C13*C12*C15/C16)</f>
        <v>2.3637949294878144E+16</v>
      </c>
    </row>
    <row r="22" spans="1:6">
      <c r="A22" s="1" t="s">
        <v>14</v>
      </c>
      <c r="B22" s="1" t="s">
        <v>2</v>
      </c>
      <c r="C22" s="3">
        <f>J9*C18</f>
        <v>621.033965646404</v>
      </c>
      <c r="D22" s="1" t="s">
        <v>0</v>
      </c>
      <c r="E22" s="1">
        <f>SQRT((J10^2)*(L9^2)+(J9^2)*(C19^2))</f>
        <v>0.41621894019143346</v>
      </c>
      <c r="F22" s="1" t="s"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5C8F6-6839-5D4B-8EAE-7526152D58D9}">
  <dimension ref="A1:I22"/>
  <sheetViews>
    <sheetView topLeftCell="A12" zoomScale="186" workbookViewId="0">
      <selection activeCell="B22" sqref="B22"/>
    </sheetView>
  </sheetViews>
  <sheetFormatPr baseColWidth="10" defaultRowHeight="15"/>
  <cols>
    <col min="1" max="1" width="24.1640625" customWidth="1"/>
    <col min="5" max="5" width="21.5" customWidth="1"/>
    <col min="8" max="8" width="23" customWidth="1"/>
  </cols>
  <sheetData>
    <row r="1" spans="1:9">
      <c r="A1" t="s">
        <v>68</v>
      </c>
      <c r="E1" t="s">
        <v>70</v>
      </c>
      <c r="H1" t="s">
        <v>77</v>
      </c>
    </row>
    <row r="2" spans="1:9">
      <c r="A2">
        <v>693.3</v>
      </c>
      <c r="E2">
        <v>3.42</v>
      </c>
      <c r="H2">
        <v>771.46</v>
      </c>
    </row>
    <row r="3" spans="1:9">
      <c r="A3">
        <v>693.48</v>
      </c>
      <c r="E3">
        <v>3.45</v>
      </c>
      <c r="H3">
        <v>771.5</v>
      </c>
    </row>
    <row r="4" spans="1:9">
      <c r="A4">
        <v>693.45</v>
      </c>
      <c r="E4">
        <v>3.5</v>
      </c>
      <c r="H4">
        <v>771.65</v>
      </c>
    </row>
    <row r="5" spans="1:9">
      <c r="A5">
        <v>693.2</v>
      </c>
      <c r="E5" t="s">
        <v>71</v>
      </c>
      <c r="F5">
        <f>AVERAGE(E2:E4)</f>
        <v>3.456666666666667</v>
      </c>
      <c r="H5">
        <v>771.66</v>
      </c>
    </row>
    <row r="6" spans="1:9">
      <c r="A6">
        <v>693.52</v>
      </c>
      <c r="E6" t="s">
        <v>72</v>
      </c>
      <c r="F6">
        <f>_xlfn.STDEV.S(E2:E4)</f>
        <v>4.0414518843273822E-2</v>
      </c>
      <c r="H6" t="s">
        <v>74</v>
      </c>
      <c r="I6">
        <f>AVERAGE(H2:H5)</f>
        <v>771.5675</v>
      </c>
    </row>
    <row r="7" spans="1:9">
      <c r="A7" t="s">
        <v>63</v>
      </c>
      <c r="B7">
        <f>AVERAGE(A2:A6)</f>
        <v>693.3900000000001</v>
      </c>
      <c r="E7" t="s">
        <v>65</v>
      </c>
      <c r="F7">
        <f>F6/SQRT(2)</f>
        <v>2.8577380332470422E-2</v>
      </c>
      <c r="H7" t="s">
        <v>64</v>
      </c>
      <c r="I7">
        <f>_xlfn.STDEV.S(H2:H5)</f>
        <v>0.10242883708536794</v>
      </c>
    </row>
    <row r="8" spans="1:9">
      <c r="A8" t="s">
        <v>64</v>
      </c>
      <c r="B8">
        <f>_xlfn.STDEV.S(A2:A6)</f>
        <v>0.1349073756323157</v>
      </c>
      <c r="H8" t="s">
        <v>65</v>
      </c>
      <c r="I8">
        <f>I7/SQRT(3)</f>
        <v>5.913731666401751E-2</v>
      </c>
    </row>
    <row r="9" spans="1:9">
      <c r="A9" t="s">
        <v>65</v>
      </c>
      <c r="B9">
        <f>B8/SQRT(4)</f>
        <v>6.7453687816157848E-2</v>
      </c>
    </row>
    <row r="10" spans="1:9">
      <c r="E10" t="s">
        <v>73</v>
      </c>
      <c r="H10" t="s">
        <v>80</v>
      </c>
      <c r="I10">
        <f>I6-B17-F21</f>
        <v>388.70349999999996</v>
      </c>
    </row>
    <row r="11" spans="1:9">
      <c r="A11" t="s">
        <v>69</v>
      </c>
      <c r="E11">
        <v>83.65</v>
      </c>
      <c r="H11" t="s">
        <v>78</v>
      </c>
      <c r="I11">
        <f>SQRT((I8^2)+(F22^2)+(B19^2))</f>
        <v>9.4805356154352594E-2</v>
      </c>
    </row>
    <row r="12" spans="1:9">
      <c r="A12">
        <v>302.60000000000002</v>
      </c>
      <c r="E12">
        <v>83.53</v>
      </c>
    </row>
    <row r="13" spans="1:9">
      <c r="A13">
        <v>302.75</v>
      </c>
      <c r="E13">
        <v>83.55</v>
      </c>
      <c r="H13" t="s">
        <v>79</v>
      </c>
      <c r="I13">
        <f>B21-I10</f>
        <v>1.9425000000001091</v>
      </c>
    </row>
    <row r="14" spans="1:9">
      <c r="A14">
        <v>302.7</v>
      </c>
      <c r="E14" t="s">
        <v>74</v>
      </c>
      <c r="F14">
        <f>AVERAGE(E11:E13)</f>
        <v>83.576666666666668</v>
      </c>
    </row>
    <row r="15" spans="1:9">
      <c r="A15">
        <v>302.87</v>
      </c>
      <c r="E15" t="s">
        <v>72</v>
      </c>
      <c r="F15">
        <f>_xlfn.STDEV.S(E11:E13)</f>
        <v>6.4291005073289789E-2</v>
      </c>
    </row>
    <row r="16" spans="1:9">
      <c r="A16">
        <v>302.8</v>
      </c>
      <c r="E16" t="s">
        <v>65</v>
      </c>
      <c r="F16">
        <f>F15/SQRT(2)</f>
        <v>4.5460605656621939E-2</v>
      </c>
    </row>
    <row r="17" spans="1:6">
      <c r="A17" t="s">
        <v>63</v>
      </c>
      <c r="B17">
        <f>AVERAGE(A12:A16)</f>
        <v>302.74400000000003</v>
      </c>
    </row>
    <row r="18" spans="1:6">
      <c r="A18" t="s">
        <v>64</v>
      </c>
      <c r="B18">
        <f>_xlfn.STDEV.S(A12:A16)</f>
        <v>0.10212737145349046</v>
      </c>
    </row>
    <row r="19" spans="1:6">
      <c r="A19" t="s">
        <v>65</v>
      </c>
      <c r="B19">
        <f>B18/SQRT(4)</f>
        <v>5.1063685726745231E-2</v>
      </c>
    </row>
    <row r="21" spans="1:6">
      <c r="A21" t="s">
        <v>66</v>
      </c>
      <c r="B21">
        <f>B7-B17</f>
        <v>390.64600000000007</v>
      </c>
      <c r="E21" t="s">
        <v>75</v>
      </c>
      <c r="F21">
        <f>F14-F5</f>
        <v>80.12</v>
      </c>
    </row>
    <row r="22" spans="1:6">
      <c r="A22" t="s">
        <v>67</v>
      </c>
      <c r="B22">
        <f>SQRT((B9^2)+(B19^2))</f>
        <v>8.4602009432397568E-2</v>
      </c>
      <c r="E22" t="s">
        <v>76</v>
      </c>
      <c r="F22">
        <f>SQRT((F16^2)+(F7^2))</f>
        <v>5.3696678978625428E-2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W2 Soil</vt:lpstr>
      <vt:lpstr>W2 Spike</vt:lpstr>
      <vt:lpstr>Masses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Komives</dc:creator>
  <cp:lastModifiedBy>Microsoft Office User</cp:lastModifiedBy>
  <dcterms:created xsi:type="dcterms:W3CDTF">2018-04-30T13:20:29Z</dcterms:created>
  <dcterms:modified xsi:type="dcterms:W3CDTF">2023-05-11T18:05:59Z</dcterms:modified>
</cp:coreProperties>
</file>