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iza/Desktop/"/>
    </mc:Choice>
  </mc:AlternateContent>
  <xr:revisionPtr revIDLastSave="0" documentId="13_ncr:1_{B2896859-CD73-674A-9550-CFEC09C20962}" xr6:coauthVersionLast="47" xr6:coauthVersionMax="47" xr10:uidLastSave="{00000000-0000-0000-0000-000000000000}"/>
  <bookViews>
    <workbookView xWindow="0" yWindow="500" windowWidth="28800" windowHeight="16420" activeTab="4" xr2:uid="{00000000-000D-0000-FFFF-FFFF00000000}"/>
  </bookViews>
  <sheets>
    <sheet name="description" sheetId="5" r:id="rId1"/>
    <sheet name="data" sheetId="2" r:id="rId2"/>
    <sheet name="new reg" sheetId="6" r:id="rId3"/>
    <sheet name="Scenario Summary" sheetId="7" r:id="rId4"/>
    <sheet name=" mode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4" l="1"/>
  <c r="G4" i="4"/>
  <c r="R29" i="4" l="1"/>
  <c r="R28" i="4"/>
  <c r="G1" i="4"/>
  <c r="H14" i="4"/>
  <c r="H15" i="4"/>
  <c r="H16" i="4"/>
  <c r="H17" i="4"/>
  <c r="H18" i="4"/>
  <c r="H19" i="4"/>
  <c r="H20" i="4"/>
  <c r="H21" i="4"/>
  <c r="H22" i="4"/>
  <c r="H13" i="4"/>
  <c r="G13" i="4"/>
  <c r="D14" i="4"/>
  <c r="E14" i="4" s="1"/>
  <c r="D15" i="4"/>
  <c r="E15" i="4" s="1"/>
  <c r="D16" i="4"/>
  <c r="E16" i="4" s="1"/>
  <c r="D17" i="4"/>
  <c r="E17" i="4" s="1"/>
  <c r="D18" i="4"/>
  <c r="D19" i="4"/>
  <c r="D20" i="4"/>
  <c r="D21" i="4"/>
  <c r="D22" i="4"/>
  <c r="E22" i="4" s="1"/>
  <c r="D13" i="4"/>
  <c r="C14" i="4"/>
  <c r="C15" i="4"/>
  <c r="C16" i="4" s="1"/>
  <c r="C17" i="4" s="1"/>
  <c r="C18" i="4" s="1"/>
  <c r="C19" i="4" s="1"/>
  <c r="C20" i="4" s="1"/>
  <c r="C21" i="4" s="1"/>
  <c r="C22" i="4" s="1"/>
  <c r="C13" i="4"/>
  <c r="D4" i="4"/>
  <c r="D5" i="4"/>
  <c r="D6" i="4"/>
  <c r="D7" i="4"/>
  <c r="D8" i="4"/>
  <c r="D9" i="4"/>
  <c r="D10" i="4"/>
  <c r="D11" i="4"/>
  <c r="D3" i="4"/>
  <c r="F17" i="4" l="1"/>
  <c r="I17" i="4" s="1"/>
  <c r="F21" i="4"/>
  <c r="F19" i="4"/>
  <c r="F18" i="4"/>
  <c r="E21" i="4"/>
  <c r="I21" i="4" s="1"/>
  <c r="F16" i="4"/>
  <c r="I16" i="4" s="1"/>
  <c r="F20" i="4"/>
  <c r="E20" i="4"/>
  <c r="F15" i="4"/>
  <c r="I15" i="4" s="1"/>
  <c r="E19" i="4"/>
  <c r="F14" i="4"/>
  <c r="I14" i="4" s="1"/>
  <c r="E18" i="4"/>
  <c r="F22" i="4"/>
  <c r="I22" i="4" s="1"/>
  <c r="F13" i="4"/>
  <c r="I13" i="4" s="1"/>
  <c r="I19" i="4" l="1"/>
  <c r="I18" i="4"/>
  <c r="M13" i="4" s="1"/>
  <c r="I20" i="4"/>
  <c r="N13" i="4" l="1"/>
  <c r="C3" i="4"/>
  <c r="C4" i="4"/>
  <c r="C5" i="4"/>
  <c r="C6" i="4"/>
  <c r="C7" i="4"/>
  <c r="C8" i="4"/>
  <c r="C9" i="4"/>
  <c r="C10" i="4"/>
  <c r="C11" i="4"/>
  <c r="B9" i="5"/>
  <c r="B3" i="4"/>
  <c r="B4" i="4"/>
  <c r="B5" i="4"/>
  <c r="B6" i="4"/>
  <c r="B7" i="4"/>
  <c r="B8" i="4"/>
  <c r="B9" i="4"/>
  <c r="B10" i="4"/>
  <c r="B11" i="4"/>
  <c r="B2" i="4"/>
  <c r="A2" i="4"/>
  <c r="A3" i="2" l="1"/>
  <c r="A4" i="2" l="1"/>
  <c r="A3" i="4"/>
  <c r="A5" i="2" l="1"/>
  <c r="A4" i="4"/>
  <c r="A6" i="2" l="1"/>
  <c r="A5" i="4"/>
  <c r="A7" i="2" l="1"/>
  <c r="A6" i="4"/>
  <c r="A8" i="2" l="1"/>
  <c r="A7" i="4"/>
  <c r="A9" i="2" l="1"/>
  <c r="A8" i="4"/>
  <c r="A10" i="2" l="1"/>
  <c r="A9" i="4"/>
  <c r="A11" i="2" l="1"/>
  <c r="A11" i="4" s="1"/>
  <c r="A13" i="4" s="1"/>
  <c r="A10" i="4"/>
  <c r="A14" i="4" l="1"/>
  <c r="A15" i="4" s="1"/>
  <c r="A16" i="4" s="1"/>
  <c r="A17" i="4" s="1"/>
  <c r="A18" i="4" s="1"/>
  <c r="A19" i="4" s="1"/>
  <c r="A20" i="4" s="1"/>
  <c r="A21" i="4" s="1"/>
  <c r="A2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tc={F0FD7993-A697-4D45-8F95-4FB507E09319}</author>
    <author>Lara</author>
  </authors>
  <commentList>
    <comment ref="G4" authorId="0" shapeId="0" xr:uid="{F0FD7993-A697-4D45-8F95-4FB507E093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
Reply:
    6-0.1 (x-1,000,000)/100,000</t>
      </text>
    </comment>
    <comment ref="G10" authorId="1" shapeId="0" xr:uid="{00000000-0006-0000-0200-000001000000}">
      <text>
        <r>
          <rPr>
            <b/>
            <sz val="9"/>
            <color rgb="FF000000"/>
            <rFont val="Tahoma"/>
            <family val="2"/>
          </rPr>
          <t xml:space="preserve">Lara:
</t>
        </r>
        <r>
          <rPr>
            <b/>
            <sz val="9"/>
            <color rgb="FF000000"/>
            <rFont val="Tahoma"/>
            <family val="2"/>
          </rPr>
          <t>Model is built based on this assumption</t>
        </r>
      </text>
    </comment>
    <comment ref="G13" authorId="1" shapeId="0" xr:uid="{00000000-0006-0000-0200-000002000000}">
      <text>
        <r>
          <rPr>
            <b/>
            <sz val="9"/>
            <color rgb="FF000000"/>
            <rFont val="Tahoma"/>
            <family val="2"/>
          </rPr>
          <t>Lara: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5,000,000 + 10 x</t>
        </r>
      </text>
    </comment>
  </commentList>
</comments>
</file>

<file path=xl/sharedStrings.xml><?xml version="1.0" encoding="utf-8"?>
<sst xmlns="http://schemas.openxmlformats.org/spreadsheetml/2006/main" count="120" uniqueCount="88">
  <si>
    <t>5,000,000 + 10 x</t>
  </si>
  <si>
    <t>6-0.1 (x-1,000,000)/100,000</t>
  </si>
  <si>
    <t>year</t>
  </si>
  <si>
    <t>sales</t>
  </si>
  <si>
    <t>Estimate</t>
  </si>
  <si>
    <t>Demand during year t = B0 + B1 (Demand during year (t-1) + error term</t>
  </si>
  <si>
    <t>B0 =</t>
  </si>
  <si>
    <t>B1=</t>
  </si>
  <si>
    <t>Interest rate</t>
  </si>
  <si>
    <t>unit variable cost</t>
  </si>
  <si>
    <t xml:space="preserve">Sales price </t>
  </si>
  <si>
    <t>Fixed cost intercept</t>
  </si>
  <si>
    <t>variable cost slope per 1000000 cap</t>
  </si>
  <si>
    <t>variable cost intercept</t>
  </si>
  <si>
    <t>capacity</t>
  </si>
  <si>
    <t>Revenue</t>
  </si>
  <si>
    <t>variable cost</t>
  </si>
  <si>
    <t>fixed cost</t>
  </si>
  <si>
    <t>operating cost</t>
  </si>
  <si>
    <t>profit</t>
  </si>
  <si>
    <t>fixed cost slope per unit of cap</t>
  </si>
  <si>
    <t>operating cost/unit plant capacity</t>
  </si>
  <si>
    <t>NPV</t>
  </si>
  <si>
    <t>Simulation</t>
  </si>
  <si>
    <t>Capacity</t>
  </si>
  <si>
    <t>Downside Risk</t>
  </si>
  <si>
    <t>Plot sales vs year</t>
  </si>
  <si>
    <t>Model:</t>
  </si>
  <si>
    <t xml:space="preserve">Use data table to obtain simulation results for 2…8 </t>
  </si>
  <si>
    <t>Use simulation to analyze capacity needed for a product. Use past data to forecast future sales and then come up with a capacity level that maximizes expected profit. Determine a capacity level to minimize the downside risk.</t>
  </si>
  <si>
    <t>target profit</t>
  </si>
  <si>
    <r>
      <t xml:space="preserve">Each year a plant </t>
    </r>
    <r>
      <rPr>
        <b/>
        <sz val="11"/>
        <color rgb="FF7030A0"/>
        <rFont val="Calibri"/>
        <family val="2"/>
        <scheme val="minor"/>
      </rPr>
      <t>operating cost</t>
    </r>
    <r>
      <rPr>
        <sz val="11"/>
        <color theme="1"/>
        <rFont val="Calibri"/>
        <family val="2"/>
        <scheme val="minor"/>
      </rPr>
      <t xml:space="preserve"> of $1 per unit of capacity is also incurred.</t>
    </r>
  </si>
  <si>
    <r>
      <t>Thus, a plant capacity of 1,100,000 units will result in a</t>
    </r>
    <r>
      <rPr>
        <b/>
        <sz val="11"/>
        <color rgb="FF7030A0"/>
        <rFont val="Calibri"/>
        <family val="2"/>
        <scheme val="minor"/>
      </rPr>
      <t xml:space="preserve"> variable cost</t>
    </r>
    <r>
      <rPr>
        <sz val="11"/>
        <color theme="1"/>
        <rFont val="Calibri"/>
        <family val="2"/>
        <scheme val="minor"/>
      </rPr>
      <t xml:space="preserve"> of $5.9. ===&gt;</t>
    </r>
  </si>
  <si>
    <t>simulated error</t>
  </si>
  <si>
    <t>Winston, W., Simulation Modeling, pg 83 (Modified)</t>
  </si>
  <si>
    <t xml:space="preserve">If demand for a year exceeds production capacity, all sales in excess of plant capacity are lost. </t>
  </si>
  <si>
    <t>Downside risk: the $ amount short from the target profit. Assume target level for profit is $9M</t>
  </si>
  <si>
    <r>
      <t>The</t>
    </r>
    <r>
      <rPr>
        <b/>
        <sz val="11"/>
        <color rgb="FF7030A0"/>
        <rFont val="Calibri"/>
        <family val="2"/>
        <scheme val="minor"/>
      </rPr>
      <t xml:space="preserve"> fixed cost</t>
    </r>
    <r>
      <rPr>
        <sz val="11"/>
        <rFont val="Calibri"/>
        <family val="2"/>
        <scheme val="minor"/>
      </rPr>
      <t xml:space="preserve"> (in $s) of producing a plant that can produce x units per year of drug is:</t>
    </r>
  </si>
  <si>
    <r>
      <t>If a plant capacity x is built, the</t>
    </r>
    <r>
      <rPr>
        <b/>
        <sz val="11"/>
        <color rgb="FF7030A0"/>
        <rFont val="Calibri"/>
        <family val="2"/>
        <scheme val="minor"/>
      </rPr>
      <t xml:space="preserve"> variable cost</t>
    </r>
    <r>
      <rPr>
        <sz val="11"/>
        <color theme="1"/>
        <rFont val="Calibri"/>
        <family val="2"/>
        <scheme val="minor"/>
      </rPr>
      <t xml:space="preserve"> of producing a unit of Wozac will be:</t>
    </r>
  </si>
  <si>
    <t xml:space="preserve">sales forecast  </t>
  </si>
  <si>
    <t>simulated sales</t>
  </si>
  <si>
    <t>Demand during year t = B0 + B1 * Demand during year (t-1) + error term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</si>
  <si>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</si>
  <si>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</si>
  <si>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</si>
  <si>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</si>
  <si>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</si>
  <si>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</si>
  <si>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</si>
  <si>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</si>
  <si>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</si>
  <si>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</si>
  <si>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</si>
  <si>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</si>
  <si>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</si>
  <si>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</si>
  <si>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</si>
  <si>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</si>
  <si>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</si>
  <si>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</si>
  <si>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</si>
  <si>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</si>
  <si>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</si>
  <si>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</si>
  <si>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</si>
  <si>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</si>
  <si>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</si>
  <si>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error ~ N(0,29323)</t>
  </si>
  <si>
    <t>&lt;= used seed 100 in RNG</t>
  </si>
  <si>
    <t xml:space="preserve">Error </t>
  </si>
  <si>
    <t xml:space="preserve">We assume that all cost and sales cash flows incurred at the end of each year. </t>
  </si>
  <si>
    <t xml:space="preserve">Daisy must built a plant to produce Wozac by the beginning of 2024. Once the plant is built, the plant's capacity cannot be changed. Each unit sold brings in $10 in revenue. </t>
  </si>
  <si>
    <t>Determine a capacity level that will maximize expected profits at an interest rate of 10% for the time period 2024-2033.</t>
  </si>
  <si>
    <t>Eli Daisy has taken over production of Wozac from a rival drug company. Wozac's annual sales from 2014 to 2023 are given in the table in tab "data".</t>
  </si>
  <si>
    <t>$G$10</t>
  </si>
  <si>
    <t>$M$13</t>
  </si>
  <si>
    <t>$N$13</t>
  </si>
  <si>
    <t>scn1</t>
  </si>
  <si>
    <t>Created by Liza on 10/19/2023</t>
  </si>
  <si>
    <t>scn2</t>
  </si>
  <si>
    <t>scn3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</si>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</sst>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0" borderId="0" xfId="0" applyFont="1" applyAlignment="1">
      <alignment wrapText="1"/>
    </xf>
    <xf numFmtId="0" fontId="0" fillId="5" borderId="0" xfId="0" applyFill="1" applyAlignment="1">
      <alignment horizontal="right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8" borderId="0" xfId="0" applyNumberFormat="1" applyFill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3" fontId="0" fillId="2" borderId="0" xfId="0" applyNumberFormat="1" applyFill="1"/>
    <xf numFmtId="2" fontId="0" fillId="5" borderId="0" xfId="0" applyNumberFormat="1" applyFill="1"/>
    <xf numFmtId="164" fontId="0" fillId="2" borderId="0" xfId="0" applyNumberFormat="1" applyFill="1"/>
    <xf numFmtId="0" fontId="0" fillId="0" borderId="4" xfId="0" applyBorder="1"/>
    <xf numFmtId="6" fontId="0" fillId="0" borderId="1" xfId="0" applyNumberFormat="1" applyBorder="1"/>
    <xf numFmtId="0" fontId="4" fillId="9" borderId="5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5" fillId="10" borderId="0" xfId="0" applyFont="1" applyFill="1" applyAlignment="1">
      <alignment horizontal="left"/>
    </xf>
    <xf numFmtId="0" fontId="6" fillId="10" borderId="4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right"/>
    </xf>
    <xf numFmtId="0" fontId="7" fillId="9" borderId="5" xfId="0" applyFont="1" applyFill="1" applyBorder="1" applyAlignment="1">
      <alignment horizontal="right"/>
    </xf>
    <xf numFmtId="3" fontId="0" fillId="11" borderId="0" xfId="0" applyNumberFormat="1" applyFill="1"/>
    <xf numFmtId="0" fontId="8" fillId="0" borderId="0" xfId="0" applyFont="1" applyAlignment="1">
      <alignment vertical="top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66FFCC"/>
      <color rgb="FFCC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294640</xdr:colOff>
      <xdr:row>0</xdr:row>
      <xdr:rowOff>185207</xdr:rowOff>
    </xdr:from>
    <xdr:ext cx="1965960" cy="56620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06515" y="185207"/>
          <a:ext cx="1965960" cy="566209"/>
        </a:xfrm>
        <a:prstGeom prst="rect">
          <a:avLst/>
        </a:prstGeom>
        <a:solidFill>
          <a:srgbClr val="24FCA5">
            <a:alpha val="57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100"/>
        </a:p>
        <a:p>
          <a:r>
            <a:rPr lang="en-US" sz="1100"/>
            <a:t>&lt;== 6-0.1 (x-1,000,000)/100,000</a:t>
          </a:r>
        </a:p>
      </xdr:txBody>
    </xdr:sp>
    <xdr:clientData/>
  </xdr:oneCellAnchor>
  <xdr:oneCellAnchor>
    <xdr:from>
      <xdr:col>7</xdr:col>
      <xdr:colOff>284903</xdr:colOff>
      <xdr:row>4</xdr:row>
      <xdr:rowOff>21168</xdr:rowOff>
    </xdr:from>
    <xdr:ext cx="1554480" cy="3492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396778" y="762001"/>
          <a:ext cx="1554480" cy="349250"/>
        </a:xfrm>
        <a:prstGeom prst="rect">
          <a:avLst/>
        </a:prstGeom>
        <a:solidFill>
          <a:srgbClr val="FFFF00">
            <a:alpha val="25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/>
            <a:t>&lt;==  5,000,000 + 10 x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zdogru, Unsal" id="{BCB0F5F4-87B2-4101-A6FC-AD541BAEE0A9}" userId="S::uozdogru@uic.edu::8f79aa33-5a3f-45f0-814e-07daed46d10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10-27T17:50:51.89" personId="{BCB0F5F4-87B2-4101-A6FC-AD541BAEE0A9}" id="{F0FD7993-A697-4D45-8F95-4FB507E09319}">
    <text>calculated</text>
  </threadedComment>
  <threadedComment ref="G4" dT="2020-10-27T17:52:35.78" personId="{BCB0F5F4-87B2-4101-A6FC-AD541BAEE0A9}" id="{628BADD3-1F75-4EEB-B0B4-C67A69F61DA3}" parentId="{F0FD7993-A697-4D45-8F95-4FB507E09319}">
    <text>6-0.1 (x-1,000,000)/100,000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"/>
  <sheetViews>
    <sheetView zoomScale="150" zoomScaleNormal="100" workbookViewId="0">
      <selection activeCell="A22" sqref="A22"/>
    </sheetView>
  </sheetViews>
  <sheetFormatPr baseColWidth="10" defaultColWidth="8.83203125" defaultRowHeight="15" x14ac:dyDescent="0.2"/>
  <cols>
    <col min="1" max="1" width="95.33203125" style="1" customWidth="1"/>
  </cols>
  <sheetData>
    <row r="1" spans="1:9" ht="33.5" customHeight="1" x14ac:dyDescent="0.2">
      <c r="A1" s="1" t="s">
        <v>29</v>
      </c>
      <c r="C1" s="38" t="s">
        <v>36</v>
      </c>
      <c r="D1" s="38"/>
      <c r="E1" s="38"/>
      <c r="F1" s="38"/>
      <c r="G1" s="38"/>
      <c r="H1" s="38"/>
    </row>
    <row r="2" spans="1:9" ht="32" customHeight="1" x14ac:dyDescent="0.2">
      <c r="A2" s="1" t="s">
        <v>73</v>
      </c>
    </row>
    <row r="3" spans="1:9" ht="32" x14ac:dyDescent="0.2">
      <c r="A3" s="1" t="s">
        <v>71</v>
      </c>
    </row>
    <row r="4" spans="1:9" ht="18" customHeight="1" x14ac:dyDescent="0.2">
      <c r="A4" s="14" t="s">
        <v>37</v>
      </c>
    </row>
    <row r="5" spans="1:9" ht="16" x14ac:dyDescent="0.2">
      <c r="A5" s="1" t="s">
        <v>0</v>
      </c>
    </row>
    <row r="6" spans="1:9" ht="16.5" customHeight="1" x14ac:dyDescent="0.2">
      <c r="A6" s="1" t="s">
        <v>70</v>
      </c>
    </row>
    <row r="7" spans="1:9" ht="17.5" customHeight="1" x14ac:dyDescent="0.2">
      <c r="A7" s="1" t="s">
        <v>38</v>
      </c>
    </row>
    <row r="8" spans="1:9" ht="16" x14ac:dyDescent="0.2">
      <c r="A8" s="1" t="s">
        <v>1</v>
      </c>
    </row>
    <row r="9" spans="1:9" ht="16" x14ac:dyDescent="0.2">
      <c r="A9" s="1" t="s">
        <v>32</v>
      </c>
      <c r="B9" s="4">
        <f>6-0.1*(1100000-1000000)/100000</f>
        <v>5.9</v>
      </c>
    </row>
    <row r="10" spans="1:9" ht="16.25" customHeight="1" x14ac:dyDescent="0.2">
      <c r="A10" s="1" t="s">
        <v>31</v>
      </c>
    </row>
    <row r="11" spans="1:9" ht="16" x14ac:dyDescent="0.2">
      <c r="A11" s="1" t="s">
        <v>35</v>
      </c>
      <c r="C11" s="12" t="s">
        <v>27</v>
      </c>
      <c r="D11" s="12"/>
      <c r="E11" s="12"/>
      <c r="F11" s="12"/>
      <c r="G11" s="12"/>
      <c r="H11" s="12"/>
      <c r="I11" s="12"/>
    </row>
    <row r="12" spans="1:9" ht="16" x14ac:dyDescent="0.2">
      <c r="A12" s="1" t="s">
        <v>72</v>
      </c>
      <c r="C12" s="12" t="s">
        <v>41</v>
      </c>
      <c r="D12" s="12"/>
      <c r="E12" s="12"/>
      <c r="F12" s="12"/>
      <c r="G12" s="12"/>
      <c r="H12" s="12"/>
      <c r="I12" s="12"/>
    </row>
    <row r="13" spans="1:9" ht="16" x14ac:dyDescent="0.2">
      <c r="A13" s="11" t="s">
        <v>34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3"/>
  <sheetViews>
    <sheetView zoomScale="140" zoomScaleNormal="140" workbookViewId="0"/>
  </sheetViews>
  <sheetFormatPr baseColWidth="10" defaultColWidth="8.83203125" defaultRowHeight="15" x14ac:dyDescent="0.2"/>
  <sheetData>
    <row r="1" spans="1:3" x14ac:dyDescent="0.2">
      <c r="A1" s="8" t="s">
        <v>2</v>
      </c>
      <c r="B1" s="8" t="s">
        <v>3</v>
      </c>
    </row>
    <row r="2" spans="1:3" x14ac:dyDescent="0.2">
      <c r="A2">
        <v>2014</v>
      </c>
      <c r="B2">
        <v>500000</v>
      </c>
    </row>
    <row r="3" spans="1:3" x14ac:dyDescent="0.2">
      <c r="A3">
        <f t="shared" ref="A3:A11" si="0">A2+1</f>
        <v>2015</v>
      </c>
      <c r="B3">
        <v>544000</v>
      </c>
    </row>
    <row r="4" spans="1:3" x14ac:dyDescent="0.2">
      <c r="A4">
        <f t="shared" si="0"/>
        <v>2016</v>
      </c>
      <c r="B4">
        <v>593000</v>
      </c>
    </row>
    <row r="5" spans="1:3" x14ac:dyDescent="0.2">
      <c r="A5">
        <f t="shared" si="0"/>
        <v>2017</v>
      </c>
      <c r="B5">
        <v>672000</v>
      </c>
    </row>
    <row r="6" spans="1:3" x14ac:dyDescent="0.2">
      <c r="A6">
        <f t="shared" si="0"/>
        <v>2018</v>
      </c>
      <c r="B6">
        <v>723000</v>
      </c>
    </row>
    <row r="7" spans="1:3" x14ac:dyDescent="0.2">
      <c r="A7">
        <f t="shared" si="0"/>
        <v>2019</v>
      </c>
      <c r="B7">
        <v>757000</v>
      </c>
    </row>
    <row r="8" spans="1:3" x14ac:dyDescent="0.2">
      <c r="A8">
        <f t="shared" si="0"/>
        <v>2020</v>
      </c>
      <c r="B8">
        <v>848000</v>
      </c>
    </row>
    <row r="9" spans="1:3" x14ac:dyDescent="0.2">
      <c r="A9">
        <f t="shared" si="0"/>
        <v>2021</v>
      </c>
      <c r="B9">
        <v>948000</v>
      </c>
    </row>
    <row r="10" spans="1:3" x14ac:dyDescent="0.2">
      <c r="A10">
        <f t="shared" si="0"/>
        <v>2022</v>
      </c>
      <c r="B10">
        <v>964000</v>
      </c>
    </row>
    <row r="11" spans="1:3" x14ac:dyDescent="0.2">
      <c r="A11">
        <f t="shared" si="0"/>
        <v>2023</v>
      </c>
      <c r="B11">
        <v>1011000</v>
      </c>
    </row>
    <row r="13" spans="1:3" x14ac:dyDescent="0.2">
      <c r="A13" s="9" t="s">
        <v>26</v>
      </c>
      <c r="B13" s="9"/>
      <c r="C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AD9-2E20-2544-98A0-24EE722B5E55}">
  <dimension ref="A1:I18"/>
  <sheetViews>
    <sheetView workbookViewId="0">
      <selection sqref="A1:I21"/>
    </sheetView>
  </sheetViews>
  <sheetFormatPr baseColWidth="10" defaultRowHeight="15" x14ac:dyDescent="0.2"/>
  <sheetData>
    <row r="1" spans="1:9" x14ac:dyDescent="0.2">
      <c r="A1" t="s">
        <v>42</v>
      </c>
    </row>
    <row r="2" spans="1:9" ht="16" thickBot="1" x14ac:dyDescent="0.25"/>
    <row r="3" spans="1:9" x14ac:dyDescent="0.2">
      <c r="A3" s="23" t="s">
        <v>43</v>
      </c>
      <c r="B3" s="23"/>
    </row>
    <row r="4" spans="1:9" x14ac:dyDescent="0.2">
      <c r="A4" t="s">
        <v>44</v>
      </c>
      <c r="B4">
        <v>0.98659347973799527</v>
      </c>
    </row>
    <row r="5" spans="1:9" x14ac:dyDescent="0.2">
      <c r="A5" t="s">
        <v>45</v>
      </c>
      <c r="B5">
        <v>0.973366694261526</v>
      </c>
    </row>
    <row r="6" spans="1:9" x14ac:dyDescent="0.2">
      <c r="A6" t="s">
        <v>46</v>
      </c>
      <c r="B6">
        <v>0.96956193629888687</v>
      </c>
    </row>
    <row r="7" spans="1:9" x14ac:dyDescent="0.2">
      <c r="A7" t="s">
        <v>47</v>
      </c>
      <c r="B7">
        <v>29323.255557840763</v>
      </c>
    </row>
    <row r="8" spans="1:9" ht="16" thickBot="1" x14ac:dyDescent="0.25">
      <c r="A8" s="21" t="s">
        <v>48</v>
      </c>
      <c r="B8" s="21">
        <v>9</v>
      </c>
    </row>
    <row r="10" spans="1:9" ht="16" thickBot="1" x14ac:dyDescent="0.25">
      <c r="A10" t="s">
        <v>49</v>
      </c>
    </row>
    <row r="11" spans="1:9" x14ac:dyDescent="0.2">
      <c r="A11" s="22"/>
      <c r="B11" s="22" t="s">
        <v>54</v>
      </c>
      <c r="C11" s="22" t="s">
        <v>55</v>
      </c>
      <c r="D11" s="22" t="s">
        <v>56</v>
      </c>
      <c r="E11" s="22" t="s">
        <v>57</v>
      </c>
      <c r="F11" s="22" t="s">
        <v>58</v>
      </c>
    </row>
    <row r="12" spans="1:9" x14ac:dyDescent="0.2">
      <c r="A12" t="s">
        <v>50</v>
      </c>
      <c r="B12">
        <v>1</v>
      </c>
      <c r="C12">
        <v>219975249006.64911</v>
      </c>
      <c r="D12">
        <v>219975249006.64911</v>
      </c>
      <c r="E12">
        <v>255.8288079871335</v>
      </c>
      <c r="F12">
        <v>9.0671123385310239E-7</v>
      </c>
    </row>
    <row r="13" spans="1:9" x14ac:dyDescent="0.2">
      <c r="A13" t="s">
        <v>51</v>
      </c>
      <c r="B13">
        <v>7</v>
      </c>
      <c r="C13">
        <v>6018973215.5730753</v>
      </c>
      <c r="D13">
        <v>859853316.51043928</v>
      </c>
    </row>
    <row r="14" spans="1:9" ht="16" thickBot="1" x14ac:dyDescent="0.25">
      <c r="A14" s="21" t="s">
        <v>52</v>
      </c>
      <c r="B14" s="21">
        <v>8</v>
      </c>
      <c r="C14" s="21">
        <v>225994222222.2222</v>
      </c>
      <c r="D14" s="21"/>
      <c r="E14" s="21"/>
      <c r="F14" s="21"/>
    </row>
    <row r="15" spans="1:9" ht="16" thickBot="1" x14ac:dyDescent="0.25"/>
    <row r="16" spans="1:9" x14ac:dyDescent="0.2">
      <c r="A16" s="22"/>
      <c r="B16" s="22" t="s">
        <v>59</v>
      </c>
      <c r="C16" s="22" t="s">
        <v>47</v>
      </c>
      <c r="D16" s="22" t="s">
        <v>60</v>
      </c>
      <c r="E16" s="22" t="s">
        <v>61</v>
      </c>
      <c r="F16" s="22" t="s">
        <v>62</v>
      </c>
      <c r="G16" s="22" t="s">
        <v>63</v>
      </c>
      <c r="H16" s="22" t="s">
        <v>64</v>
      </c>
      <c r="I16" s="22" t="s">
        <v>65</v>
      </c>
    </row>
    <row r="17" spans="1:9" x14ac:dyDescent="0.2">
      <c r="A17" t="s">
        <v>53</v>
      </c>
      <c r="B17">
        <v>67433.383944939356</v>
      </c>
      <c r="C17">
        <v>45881.425487080553</v>
      </c>
      <c r="D17">
        <v>1.4697316665526767</v>
      </c>
      <c r="E17">
        <v>0.18509354619441168</v>
      </c>
      <c r="F17">
        <v>-41058.947459458621</v>
      </c>
      <c r="G17">
        <v>175925.71534933732</v>
      </c>
      <c r="H17">
        <v>-41058.947459458621</v>
      </c>
      <c r="I17">
        <v>175925.71534933732</v>
      </c>
    </row>
    <row r="18" spans="1:9" ht="16" thickBot="1" x14ac:dyDescent="0.25">
      <c r="A18" s="21" t="s">
        <v>66</v>
      </c>
      <c r="B18" s="21">
        <v>0.98535647343037813</v>
      </c>
      <c r="C18" s="21">
        <v>6.1605381372535052E-2</v>
      </c>
      <c r="D18" s="21">
        <v>15.994649354929086</v>
      </c>
      <c r="E18" s="21">
        <v>9.0671123385310239E-7</v>
      </c>
      <c r="F18" s="21">
        <v>0.83968289460825929</v>
      </c>
      <c r="G18" s="21">
        <v>1.131030052252497</v>
      </c>
      <c r="H18" s="21">
        <v>0.83968289460825929</v>
      </c>
      <c r="I18" s="21">
        <v>1.131030052252497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83A8-4DEB-E046-BE86-9A326DF403ED}">
  <sheetPr>
    <outlinePr summaryBelow="0"/>
  </sheetPr>
  <dimension ref="B1:G12"/>
  <sheetViews>
    <sheetView showGridLines="0" zoomScale="217" zoomScaleNormal="217" workbookViewId="0"/>
  </sheetViews>
  <sheetFormatPr baseColWidth="10" defaultRowHeight="15" outlineLevelRow="1" outlineLevelCol="1" x14ac:dyDescent="0.2"/>
  <cols>
    <col min="3" max="3" width="6.83203125" bestFit="1" customWidth="1"/>
    <col min="4" max="7" width="11.33203125" bestFit="1" customWidth="1" outlineLevel="1"/>
  </cols>
  <sheetData>
    <row r="1" spans="2:7" ht="16" thickBot="1" x14ac:dyDescent="0.25"/>
    <row r="2" spans="2:7" ht="16" x14ac:dyDescent="0.2">
      <c r="B2" s="30" t="s">
        <v>81</v>
      </c>
      <c r="C2" s="30"/>
      <c r="D2" s="34"/>
      <c r="E2" s="34"/>
      <c r="F2" s="34"/>
      <c r="G2" s="34"/>
    </row>
    <row r="3" spans="2:7" ht="16" collapsed="1" x14ac:dyDescent="0.2">
      <c r="B3" s="29"/>
      <c r="C3" s="29"/>
      <c r="D3" s="35" t="s">
        <v>83</v>
      </c>
      <c r="E3" s="35" t="s">
        <v>77</v>
      </c>
      <c r="F3" s="35" t="s">
        <v>79</v>
      </c>
      <c r="G3" s="35" t="s">
        <v>80</v>
      </c>
    </row>
    <row r="4" spans="2:7" ht="24" hidden="1" outlineLevel="1" x14ac:dyDescent="0.2">
      <c r="B4" s="31"/>
      <c r="C4" s="31"/>
      <c r="E4" s="37" t="s">
        <v>78</v>
      </c>
      <c r="F4" s="37" t="s">
        <v>78</v>
      </c>
      <c r="G4" s="37" t="s">
        <v>78</v>
      </c>
    </row>
    <row r="5" spans="2:7" x14ac:dyDescent="0.2">
      <c r="B5" s="32" t="s">
        <v>82</v>
      </c>
      <c r="C5" s="32"/>
      <c r="D5" s="27"/>
      <c r="E5" s="27"/>
      <c r="F5" s="27"/>
      <c r="G5" s="27"/>
    </row>
    <row r="6" spans="2:7" outlineLevel="1" x14ac:dyDescent="0.2">
      <c r="B6" s="31"/>
      <c r="C6" s="31" t="s">
        <v>74</v>
      </c>
      <c r="D6" s="2">
        <v>1100000</v>
      </c>
      <c r="E6" s="36">
        <v>1200000</v>
      </c>
      <c r="F6" s="36">
        <v>1300000</v>
      </c>
      <c r="G6" s="36">
        <v>1400000</v>
      </c>
    </row>
    <row r="7" spans="2:7" x14ac:dyDescent="0.2">
      <c r="B7" s="32" t="s">
        <v>84</v>
      </c>
      <c r="C7" s="32"/>
      <c r="D7" s="27"/>
      <c r="E7" s="27"/>
      <c r="F7" s="27"/>
      <c r="G7" s="27"/>
    </row>
    <row r="8" spans="2:7" outlineLevel="1" x14ac:dyDescent="0.2">
      <c r="B8" s="31"/>
      <c r="C8" s="31" t="s">
        <v>75</v>
      </c>
      <c r="D8" s="7">
        <v>6262884.4125891598</v>
      </c>
      <c r="E8" s="7">
        <v>7299971.8810996804</v>
      </c>
      <c r="F8" s="7">
        <v>7786068.7942321002</v>
      </c>
      <c r="G8" s="7">
        <v>7187868.2064730097</v>
      </c>
    </row>
    <row r="9" spans="2:7" ht="16" outlineLevel="1" thickBot="1" x14ac:dyDescent="0.25">
      <c r="B9" s="33"/>
      <c r="C9" s="33" t="s">
        <v>76</v>
      </c>
      <c r="D9" s="28">
        <v>2737115.5874108402</v>
      </c>
      <c r="E9" s="28">
        <v>1700028.11890032</v>
      </c>
      <c r="F9" s="28">
        <v>1213931.2057679</v>
      </c>
      <c r="G9" s="28">
        <v>1812131.7935269901</v>
      </c>
    </row>
    <row r="10" spans="2:7" x14ac:dyDescent="0.2">
      <c r="B10" t="s">
        <v>85</v>
      </c>
    </row>
    <row r="11" spans="2:7" x14ac:dyDescent="0.2">
      <c r="B11" t="s">
        <v>86</v>
      </c>
    </row>
    <row r="12" spans="2:7" x14ac:dyDescent="0.2">
      <c r="B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30"/>
  <sheetViews>
    <sheetView tabSelected="1" zoomScaleNormal="100" workbookViewId="0">
      <selection activeCell="N13" sqref="N13"/>
    </sheetView>
  </sheetViews>
  <sheetFormatPr baseColWidth="10" defaultColWidth="8.83203125" defaultRowHeight="15" x14ac:dyDescent="0.2"/>
  <cols>
    <col min="1" max="1" width="6" customWidth="1"/>
    <col min="2" max="2" width="9" bestFit="1" customWidth="1"/>
    <col min="3" max="3" width="11.33203125" customWidth="1"/>
    <col min="4" max="5" width="9.6640625" customWidth="1"/>
    <col min="6" max="6" width="29.5" customWidth="1"/>
    <col min="7" max="7" width="12.6640625" bestFit="1" customWidth="1"/>
    <col min="8" max="8" width="11.83203125" customWidth="1"/>
    <col min="9" max="9" width="13" customWidth="1"/>
    <col min="10" max="10" width="5.6640625" customWidth="1"/>
    <col min="11" max="11" width="9.6640625" customWidth="1"/>
    <col min="12" max="12" width="11.33203125" customWidth="1"/>
    <col min="13" max="13" width="11.1640625" customWidth="1"/>
    <col min="14" max="14" width="14.6640625" customWidth="1"/>
    <col min="15" max="15" width="3.6640625" customWidth="1"/>
    <col min="16" max="16" width="13.6640625" customWidth="1"/>
    <col min="17" max="17" width="9" bestFit="1" customWidth="1"/>
    <col min="18" max="19" width="11.83203125" bestFit="1" customWidth="1"/>
    <col min="20" max="23" width="9" bestFit="1" customWidth="1"/>
  </cols>
  <sheetData>
    <row r="1" spans="1:24" x14ac:dyDescent="0.2">
      <c r="A1" s="8" t="s">
        <v>2</v>
      </c>
      <c r="B1" s="8" t="s">
        <v>3</v>
      </c>
      <c r="C1" s="8" t="s">
        <v>4</v>
      </c>
      <c r="D1" s="8" t="s">
        <v>69</v>
      </c>
      <c r="F1" t="s">
        <v>8</v>
      </c>
      <c r="G1">
        <f>10/100</f>
        <v>0.1</v>
      </c>
      <c r="P1" t="s">
        <v>42</v>
      </c>
    </row>
    <row r="2" spans="1:24" ht="16" thickBot="1" x14ac:dyDescent="0.25">
      <c r="A2">
        <f>data!A2</f>
        <v>2014</v>
      </c>
      <c r="B2">
        <f>data!B2</f>
        <v>500000</v>
      </c>
      <c r="F2" t="s">
        <v>12</v>
      </c>
      <c r="G2" s="18">
        <v>0.1</v>
      </c>
    </row>
    <row r="3" spans="1:24" x14ac:dyDescent="0.2">
      <c r="A3">
        <f>data!A3</f>
        <v>2015</v>
      </c>
      <c r="B3">
        <f>data!B3</f>
        <v>544000</v>
      </c>
      <c r="C3">
        <f>B2</f>
        <v>500000</v>
      </c>
      <c r="D3">
        <f>C3-B3</f>
        <v>-44000</v>
      </c>
      <c r="F3" t="s">
        <v>13</v>
      </c>
      <c r="G3" s="18">
        <v>6</v>
      </c>
      <c r="P3" s="23" t="s">
        <v>43</v>
      </c>
      <c r="Q3" s="23"/>
    </row>
    <row r="4" spans="1:24" x14ac:dyDescent="0.2">
      <c r="A4">
        <f>data!A4</f>
        <v>2016</v>
      </c>
      <c r="B4">
        <f>data!B4</f>
        <v>593000</v>
      </c>
      <c r="C4">
        <f t="shared" ref="C4:C11" si="0">B3</f>
        <v>544000</v>
      </c>
      <c r="D4">
        <f t="shared" ref="D4:D11" si="1">C4-B4</f>
        <v>-49000</v>
      </c>
      <c r="F4" t="s">
        <v>9</v>
      </c>
      <c r="G4" s="18">
        <f>G3-G2*(G10-1000000)/100000</f>
        <v>5.9</v>
      </c>
      <c r="P4" t="s">
        <v>44</v>
      </c>
      <c r="Q4">
        <v>0.98659347973799527</v>
      </c>
    </row>
    <row r="5" spans="1:24" x14ac:dyDescent="0.2">
      <c r="A5">
        <f>data!A5</f>
        <v>2017</v>
      </c>
      <c r="B5">
        <f>data!B5</f>
        <v>672000</v>
      </c>
      <c r="C5">
        <f t="shared" si="0"/>
        <v>593000</v>
      </c>
      <c r="D5">
        <f t="shared" si="1"/>
        <v>-79000</v>
      </c>
      <c r="F5" t="s">
        <v>20</v>
      </c>
      <c r="G5" s="19">
        <v>5000000</v>
      </c>
      <c r="P5" t="s">
        <v>45</v>
      </c>
      <c r="Q5">
        <v>0.973366694261526</v>
      </c>
    </row>
    <row r="6" spans="1:24" x14ac:dyDescent="0.2">
      <c r="A6">
        <f>data!A6</f>
        <v>2018</v>
      </c>
      <c r="B6">
        <f>data!B6</f>
        <v>723000</v>
      </c>
      <c r="C6">
        <f t="shared" si="0"/>
        <v>672000</v>
      </c>
      <c r="D6">
        <f t="shared" si="1"/>
        <v>-51000</v>
      </c>
      <c r="F6" t="s">
        <v>11</v>
      </c>
      <c r="G6" s="20">
        <v>10</v>
      </c>
      <c r="P6" t="s">
        <v>46</v>
      </c>
      <c r="Q6">
        <v>0.96956193629888687</v>
      </c>
    </row>
    <row r="7" spans="1:24" x14ac:dyDescent="0.2">
      <c r="A7">
        <f>data!A7</f>
        <v>2019</v>
      </c>
      <c r="B7">
        <f>data!B7</f>
        <v>757000</v>
      </c>
      <c r="C7">
        <f t="shared" si="0"/>
        <v>723000</v>
      </c>
      <c r="D7">
        <f t="shared" si="1"/>
        <v>-34000</v>
      </c>
      <c r="F7" t="s">
        <v>10</v>
      </c>
      <c r="G7" s="3">
        <v>10</v>
      </c>
      <c r="P7" t="s">
        <v>47</v>
      </c>
      <c r="Q7">
        <v>29323.255557840763</v>
      </c>
    </row>
    <row r="8" spans="1:24" ht="16" thickBot="1" x14ac:dyDescent="0.25">
      <c r="A8">
        <f>data!A8</f>
        <v>2020</v>
      </c>
      <c r="B8">
        <f>data!B8</f>
        <v>848000</v>
      </c>
      <c r="C8">
        <f t="shared" si="0"/>
        <v>757000</v>
      </c>
      <c r="D8">
        <f t="shared" si="1"/>
        <v>-91000</v>
      </c>
      <c r="F8" t="s">
        <v>21</v>
      </c>
      <c r="G8">
        <v>1</v>
      </c>
      <c r="H8" s="2"/>
      <c r="P8" s="21" t="s">
        <v>48</v>
      </c>
      <c r="Q8" s="21">
        <v>9</v>
      </c>
    </row>
    <row r="9" spans="1:24" x14ac:dyDescent="0.2">
      <c r="A9">
        <f>data!A9</f>
        <v>2021</v>
      </c>
      <c r="B9">
        <f>data!B9</f>
        <v>948000</v>
      </c>
      <c r="C9">
        <f t="shared" si="0"/>
        <v>848000</v>
      </c>
      <c r="D9">
        <f t="shared" si="1"/>
        <v>-100000</v>
      </c>
      <c r="F9" t="s">
        <v>30</v>
      </c>
      <c r="G9" s="3">
        <v>9000000</v>
      </c>
      <c r="K9" s="17" t="s">
        <v>28</v>
      </c>
      <c r="L9" s="17"/>
      <c r="M9" s="17"/>
      <c r="N9" s="17"/>
    </row>
    <row r="10" spans="1:24" ht="16" thickBot="1" x14ac:dyDescent="0.25">
      <c r="A10">
        <f>data!A10</f>
        <v>2022</v>
      </c>
      <c r="B10">
        <f>data!B10</f>
        <v>964000</v>
      </c>
      <c r="C10">
        <f t="shared" si="0"/>
        <v>948000</v>
      </c>
      <c r="D10">
        <f t="shared" si="1"/>
        <v>-16000</v>
      </c>
      <c r="F10" t="s">
        <v>14</v>
      </c>
      <c r="G10" s="2">
        <v>1100000</v>
      </c>
      <c r="P10" t="s">
        <v>49</v>
      </c>
    </row>
    <row r="11" spans="1:24" x14ac:dyDescent="0.2">
      <c r="A11">
        <f>data!A11</f>
        <v>2023</v>
      </c>
      <c r="B11">
        <f>data!B11</f>
        <v>1011000</v>
      </c>
      <c r="C11">
        <f t="shared" si="0"/>
        <v>964000</v>
      </c>
      <c r="D11">
        <f t="shared" si="1"/>
        <v>-47000</v>
      </c>
      <c r="I11" s="2"/>
      <c r="J11" s="2"/>
      <c r="P11" s="22"/>
      <c r="Q11" s="22" t="s">
        <v>54</v>
      </c>
      <c r="R11" s="22" t="s">
        <v>55</v>
      </c>
      <c r="S11" s="22" t="s">
        <v>56</v>
      </c>
      <c r="T11" s="22" t="s">
        <v>57</v>
      </c>
      <c r="U11" s="22" t="s">
        <v>58</v>
      </c>
    </row>
    <row r="12" spans="1:24" ht="32" x14ac:dyDescent="0.2">
      <c r="A12" s="12"/>
      <c r="B12" s="15" t="s">
        <v>33</v>
      </c>
      <c r="C12" s="15" t="s">
        <v>39</v>
      </c>
      <c r="D12" s="15" t="s">
        <v>40</v>
      </c>
      <c r="E12" s="13" t="s">
        <v>15</v>
      </c>
      <c r="F12" s="13" t="s">
        <v>16</v>
      </c>
      <c r="G12" s="13" t="s">
        <v>17</v>
      </c>
      <c r="H12" s="13" t="s">
        <v>18</v>
      </c>
      <c r="I12" s="13" t="s">
        <v>19</v>
      </c>
      <c r="J12" s="12"/>
      <c r="K12" s="12" t="s">
        <v>23</v>
      </c>
      <c r="L12" s="12" t="s">
        <v>24</v>
      </c>
      <c r="M12" s="13" t="s">
        <v>22</v>
      </c>
      <c r="N12" s="13" t="s">
        <v>25</v>
      </c>
      <c r="P12" t="s">
        <v>50</v>
      </c>
      <c r="Q12">
        <v>1</v>
      </c>
      <c r="R12">
        <v>219975249006.64911</v>
      </c>
      <c r="S12">
        <v>219975249006.64911</v>
      </c>
      <c r="T12">
        <v>255.8288079871335</v>
      </c>
      <c r="U12">
        <v>9.0671123385310239E-7</v>
      </c>
    </row>
    <row r="13" spans="1:24" x14ac:dyDescent="0.2">
      <c r="A13">
        <f>A11+1</f>
        <v>2024</v>
      </c>
      <c r="B13">
        <v>-2433.2565465101652</v>
      </c>
      <c r="C13" s="6">
        <f>$Q$17+$Q$18*B11+B13</f>
        <v>1061195.5220365415</v>
      </c>
      <c r="D13" s="6">
        <f>MIN($G$10,C13)</f>
        <v>1061195.5220365415</v>
      </c>
      <c r="E13" s="6">
        <f>D13*$G$7</f>
        <v>10611955.220365414</v>
      </c>
      <c r="F13" s="6">
        <f>D13*$G$4</f>
        <v>6261053.5800155951</v>
      </c>
      <c r="G13" s="6">
        <f>G5+G6*G10</f>
        <v>16000000</v>
      </c>
      <c r="H13" s="6">
        <f>$G$10*$G$8</f>
        <v>1100000</v>
      </c>
      <c r="I13" s="6">
        <f>E13-F13-G13-H13</f>
        <v>-12749098.35965018</v>
      </c>
      <c r="K13" s="10">
        <v>1</v>
      </c>
      <c r="M13" s="7">
        <f>NPV($G$1,I13:I22)</f>
        <v>6262884.4125891617</v>
      </c>
      <c r="N13" s="7">
        <f>MAX(0, $G$9-M13)</f>
        <v>2737115.5874108383</v>
      </c>
      <c r="P13" t="s">
        <v>51</v>
      </c>
      <c r="Q13">
        <v>7</v>
      </c>
      <c r="R13">
        <v>6018973215.5730753</v>
      </c>
      <c r="S13">
        <v>859853316.51043928</v>
      </c>
    </row>
    <row r="14" spans="1:24" ht="16" thickBot="1" x14ac:dyDescent="0.25">
      <c r="A14">
        <f t="shared" ref="A14:A22" si="2">A13+1</f>
        <v>2025</v>
      </c>
      <c r="B14">
        <v>38009.753466212715</v>
      </c>
      <c r="C14" s="6">
        <f>$Q$17+$Q$18*C13+B13</f>
        <v>1110656.0046124647</v>
      </c>
      <c r="D14" s="6">
        <f t="shared" ref="D14:D22" si="3">MIN($G$10,C14)</f>
        <v>1100000</v>
      </c>
      <c r="E14" s="6">
        <f t="shared" ref="E14:E22" si="4">D14*$G$7</f>
        <v>11000000</v>
      </c>
      <c r="F14" s="6">
        <f t="shared" ref="F14:F22" si="5">D14*$G$4</f>
        <v>6490000</v>
      </c>
      <c r="G14" s="6"/>
      <c r="H14" s="6">
        <f t="shared" ref="H14:H22" si="6">$G$10*$G$8</f>
        <v>1100000</v>
      </c>
      <c r="I14" s="6">
        <f t="shared" ref="I14:I22" si="7">E14-F14-G14-H14</f>
        <v>3410000</v>
      </c>
      <c r="K14" s="16">
        <v>2</v>
      </c>
      <c r="L14" s="2">
        <v>1200000</v>
      </c>
      <c r="M14" s="3">
        <f t="dataTable" ref="M14:N20" dt2D="0" dtr="0" r1="G10"/>
        <v>7299971.8810996767</v>
      </c>
      <c r="N14" s="3">
        <v>1700028.1189003233</v>
      </c>
      <c r="P14" s="21" t="s">
        <v>52</v>
      </c>
      <c r="Q14" s="21">
        <v>8</v>
      </c>
      <c r="R14" s="21">
        <v>225994222222.2222</v>
      </c>
      <c r="S14" s="21"/>
      <c r="T14" s="21"/>
      <c r="U14" s="21"/>
    </row>
    <row r="15" spans="1:24" ht="16" thickBot="1" x14ac:dyDescent="0.25">
      <c r="A15">
        <f t="shared" si="2"/>
        <v>2026</v>
      </c>
      <c r="B15">
        <v>793.07275200335425</v>
      </c>
      <c r="C15" s="6">
        <f t="shared" ref="C15:C22" si="8">$Q$17+$Q$18*C14+B14</f>
        <v>1199835.2213103641</v>
      </c>
      <c r="D15" s="6">
        <f t="shared" si="3"/>
        <v>1100000</v>
      </c>
      <c r="E15" s="6">
        <f t="shared" si="4"/>
        <v>11000000</v>
      </c>
      <c r="F15" s="6">
        <f t="shared" si="5"/>
        <v>6490000</v>
      </c>
      <c r="G15" s="6"/>
      <c r="H15" s="6">
        <f t="shared" si="6"/>
        <v>1100000</v>
      </c>
      <c r="I15" s="6">
        <f t="shared" si="7"/>
        <v>3410000</v>
      </c>
      <c r="K15" s="16">
        <v>3</v>
      </c>
      <c r="L15" s="24">
        <v>1300000</v>
      </c>
      <c r="M15" s="26">
        <v>7786068.7942321021</v>
      </c>
      <c r="N15" s="26">
        <v>1213931.2057678979</v>
      </c>
    </row>
    <row r="16" spans="1:24" x14ac:dyDescent="0.2">
      <c r="A16">
        <f t="shared" si="2"/>
        <v>2027</v>
      </c>
      <c r="B16">
        <v>-21914.743667821313</v>
      </c>
      <c r="C16" s="6">
        <f t="shared" si="8"/>
        <v>1250491.8590648803</v>
      </c>
      <c r="D16" s="6">
        <f t="shared" si="3"/>
        <v>1100000</v>
      </c>
      <c r="E16" s="6">
        <f t="shared" si="4"/>
        <v>11000000</v>
      </c>
      <c r="F16" s="6">
        <f t="shared" si="5"/>
        <v>6490000</v>
      </c>
      <c r="G16" s="6"/>
      <c r="H16" s="6">
        <f t="shared" si="6"/>
        <v>1100000</v>
      </c>
      <c r="I16" s="6">
        <f t="shared" si="7"/>
        <v>3410000</v>
      </c>
      <c r="K16" s="16">
        <v>4</v>
      </c>
      <c r="L16" s="2">
        <v>1400000</v>
      </c>
      <c r="M16" s="3">
        <v>7187868.2064730087</v>
      </c>
      <c r="N16" s="3">
        <v>1812131.7935269913</v>
      </c>
      <c r="P16" s="22"/>
      <c r="Q16" s="22" t="s">
        <v>59</v>
      </c>
      <c r="R16" s="22" t="s">
        <v>47</v>
      </c>
      <c r="S16" s="22" t="s">
        <v>60</v>
      </c>
      <c r="T16" s="22" t="s">
        <v>61</v>
      </c>
      <c r="U16" s="22" t="s">
        <v>62</v>
      </c>
      <c r="V16" s="22" t="s">
        <v>63</v>
      </c>
      <c r="W16" s="22" t="s">
        <v>64</v>
      </c>
      <c r="X16" s="22" t="s">
        <v>65</v>
      </c>
    </row>
    <row r="17" spans="1:24" x14ac:dyDescent="0.2">
      <c r="A17">
        <f t="shared" si="2"/>
        <v>2028</v>
      </c>
      <c r="B17">
        <v>-38685.015410919732</v>
      </c>
      <c r="C17" s="6">
        <f t="shared" si="8"/>
        <v>1277698.8885786859</v>
      </c>
      <c r="D17" s="6">
        <f t="shared" si="3"/>
        <v>1100000</v>
      </c>
      <c r="E17" s="6">
        <f t="shared" si="4"/>
        <v>11000000</v>
      </c>
      <c r="F17" s="6">
        <f t="shared" si="5"/>
        <v>6490000</v>
      </c>
      <c r="G17" s="6"/>
      <c r="H17" s="6">
        <f t="shared" si="6"/>
        <v>1100000</v>
      </c>
      <c r="I17" s="6">
        <f t="shared" si="7"/>
        <v>3410000</v>
      </c>
      <c r="K17" s="16">
        <v>5</v>
      </c>
      <c r="L17" s="2">
        <v>1500000</v>
      </c>
      <c r="M17" s="3">
        <v>6415752.1647022376</v>
      </c>
      <c r="N17" s="3">
        <v>2584247.8352977624</v>
      </c>
      <c r="P17" t="s">
        <v>53</v>
      </c>
      <c r="Q17">
        <v>67433.383944939356</v>
      </c>
      <c r="R17">
        <v>45881.425487080553</v>
      </c>
      <c r="S17">
        <v>1.4697316665526767</v>
      </c>
      <c r="T17">
        <v>0.18509354619441168</v>
      </c>
      <c r="U17">
        <v>-41058.947459458621</v>
      </c>
      <c r="V17">
        <v>175925.71534933732</v>
      </c>
      <c r="W17">
        <v>-41058.947459458621</v>
      </c>
      <c r="X17">
        <v>175925.71534933732</v>
      </c>
    </row>
    <row r="18" spans="1:24" ht="16" thickBot="1" x14ac:dyDescent="0.25">
      <c r="A18">
        <f t="shared" si="2"/>
        <v>2029</v>
      </c>
      <c r="B18">
        <v>-56626.261239216547</v>
      </c>
      <c r="C18" s="6">
        <f t="shared" si="8"/>
        <v>1287737.2394898273</v>
      </c>
      <c r="D18" s="6">
        <f t="shared" si="3"/>
        <v>1100000</v>
      </c>
      <c r="E18" s="6">
        <f t="shared" si="4"/>
        <v>11000000</v>
      </c>
      <c r="F18" s="6">
        <f t="shared" si="5"/>
        <v>6490000</v>
      </c>
      <c r="G18" s="6"/>
      <c r="H18" s="6">
        <f t="shared" si="6"/>
        <v>1100000</v>
      </c>
      <c r="I18" s="6">
        <f t="shared" si="7"/>
        <v>3410000</v>
      </c>
      <c r="K18" s="16">
        <v>6</v>
      </c>
      <c r="L18" s="2">
        <v>1600000</v>
      </c>
      <c r="M18" s="3">
        <v>5643636.1229314655</v>
      </c>
      <c r="N18" s="3">
        <v>3356363.8770685345</v>
      </c>
      <c r="P18" s="21" t="s">
        <v>66</v>
      </c>
      <c r="Q18" s="21">
        <v>0.98535647343037813</v>
      </c>
      <c r="R18" s="21">
        <v>6.1605381372535052E-2</v>
      </c>
      <c r="S18" s="21">
        <v>15.994649354929086</v>
      </c>
      <c r="T18" s="21">
        <v>9.0671123385310239E-7</v>
      </c>
      <c r="U18" s="21">
        <v>0.83968289460825929</v>
      </c>
      <c r="V18" s="21">
        <v>1.131030052252497</v>
      </c>
      <c r="W18" s="21">
        <v>0.83968289460825929</v>
      </c>
      <c r="X18" s="21">
        <v>1.131030052252497</v>
      </c>
    </row>
    <row r="19" spans="1:24" x14ac:dyDescent="0.2">
      <c r="A19">
        <f t="shared" si="2"/>
        <v>2030</v>
      </c>
      <c r="B19">
        <v>-7904.2584252420056</v>
      </c>
      <c r="C19" s="6">
        <f t="shared" si="8"/>
        <v>1279687.3477143892</v>
      </c>
      <c r="D19" s="6">
        <f t="shared" si="3"/>
        <v>1100000</v>
      </c>
      <c r="E19" s="6">
        <f t="shared" si="4"/>
        <v>11000000</v>
      </c>
      <c r="F19" s="6">
        <f t="shared" si="5"/>
        <v>6490000</v>
      </c>
      <c r="G19" s="6"/>
      <c r="H19" s="6">
        <f t="shared" si="6"/>
        <v>1100000</v>
      </c>
      <c r="I19" s="6">
        <f t="shared" si="7"/>
        <v>3410000</v>
      </c>
      <c r="K19" s="16">
        <v>7</v>
      </c>
      <c r="L19" s="2">
        <v>1700000</v>
      </c>
      <c r="M19" s="3">
        <v>4871520.0811607027</v>
      </c>
      <c r="N19" s="3">
        <v>4128479.9188392973</v>
      </c>
    </row>
    <row r="20" spans="1:24" x14ac:dyDescent="0.2">
      <c r="A20">
        <f t="shared" si="2"/>
        <v>2031</v>
      </c>
      <c r="B20">
        <v>-69108.206262171734</v>
      </c>
      <c r="C20" s="6">
        <f t="shared" si="8"/>
        <v>1320477.337557022</v>
      </c>
      <c r="D20" s="6">
        <f t="shared" si="3"/>
        <v>1100000</v>
      </c>
      <c r="E20" s="6">
        <f t="shared" si="4"/>
        <v>11000000</v>
      </c>
      <c r="F20" s="6">
        <f t="shared" si="5"/>
        <v>6490000</v>
      </c>
      <c r="G20" s="6"/>
      <c r="H20" s="6">
        <f t="shared" si="6"/>
        <v>1100000</v>
      </c>
      <c r="I20" s="6">
        <f t="shared" si="7"/>
        <v>3410000</v>
      </c>
      <c r="K20" s="16">
        <v>8</v>
      </c>
      <c r="L20" s="2">
        <v>1800000</v>
      </c>
      <c r="M20" s="3">
        <v>4099404.0393899353</v>
      </c>
      <c r="N20" s="3">
        <v>4900595.9606100647</v>
      </c>
    </row>
    <row r="21" spans="1:24" x14ac:dyDescent="0.2">
      <c r="A21">
        <f t="shared" si="2"/>
        <v>2032</v>
      </c>
      <c r="B21">
        <v>32256.825725198723</v>
      </c>
      <c r="C21" s="6">
        <f t="shared" si="8"/>
        <v>1299466.0702626898</v>
      </c>
      <c r="D21" s="6">
        <f t="shared" si="3"/>
        <v>1100000</v>
      </c>
      <c r="E21" s="6">
        <f t="shared" si="4"/>
        <v>11000000</v>
      </c>
      <c r="F21" s="6">
        <f t="shared" si="5"/>
        <v>6490000</v>
      </c>
      <c r="G21" s="6"/>
      <c r="H21" s="6">
        <f t="shared" si="6"/>
        <v>1100000</v>
      </c>
      <c r="I21" s="6">
        <f t="shared" si="7"/>
        <v>3410000</v>
      </c>
    </row>
    <row r="22" spans="1:24" x14ac:dyDescent="0.2">
      <c r="A22">
        <f t="shared" si="2"/>
        <v>2033</v>
      </c>
      <c r="B22">
        <v>-31535.359541976504</v>
      </c>
      <c r="C22" s="6">
        <f t="shared" si="8"/>
        <v>1380127.5140066142</v>
      </c>
      <c r="D22" s="6">
        <f t="shared" si="3"/>
        <v>1100000</v>
      </c>
      <c r="E22" s="6">
        <f t="shared" si="4"/>
        <v>11000000</v>
      </c>
      <c r="F22" s="6">
        <f t="shared" si="5"/>
        <v>6490000</v>
      </c>
      <c r="G22" s="6"/>
      <c r="H22" s="6">
        <f t="shared" si="6"/>
        <v>1100000</v>
      </c>
      <c r="I22" s="6">
        <f t="shared" si="7"/>
        <v>3410000</v>
      </c>
      <c r="L22" s="5"/>
      <c r="M22" s="5"/>
      <c r="N22" s="5"/>
    </row>
    <row r="23" spans="1:24" x14ac:dyDescent="0.2">
      <c r="B23" s="6"/>
    </row>
    <row r="24" spans="1:24" x14ac:dyDescent="0.2">
      <c r="P24" t="s">
        <v>5</v>
      </c>
    </row>
    <row r="26" spans="1:24" x14ac:dyDescent="0.2">
      <c r="P26" t="s">
        <v>5</v>
      </c>
    </row>
    <row r="28" spans="1:24" x14ac:dyDescent="0.2">
      <c r="P28" t="s">
        <v>6</v>
      </c>
      <c r="R28" s="25">
        <f>Q17</f>
        <v>67433.383944939356</v>
      </c>
    </row>
    <row r="29" spans="1:24" x14ac:dyDescent="0.2">
      <c r="P29" t="s">
        <v>7</v>
      </c>
      <c r="R29" s="25">
        <f>Q18</f>
        <v>0.98535647343037813</v>
      </c>
    </row>
    <row r="30" spans="1:24" x14ac:dyDescent="0.2">
      <c r="P30" t="s">
        <v>67</v>
      </c>
      <c r="R30" s="4" t="s">
        <v>68</v>
      </c>
    </row>
  </sheetData>
  <scenarios current="0" sqref="M13:N13">
    <scenario name="scn1" locked="1" count="1" user="Liza" comment="Created by Liza on 10/19/2023">
      <inputCells r="G10" val="1200000" numFmtId="3"/>
    </scenario>
    <scenario name="scn2" locked="1" count="1" user="Liza" comment="Created by Liza on 10/19/2023">
      <inputCells r="G10" val="1300000" numFmtId="3"/>
    </scenario>
    <scenario name="scn3" locked="1" count="1" user="Liza" comment="Created by Liza on 10/19/2023">
      <inputCells r="G10" val="1400000" numFmtId="3"/>
    </scenario>
  </scenario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data</vt:lpstr>
      <vt:lpstr>new reg</vt:lpstr>
      <vt:lpstr>Scenario Summary</vt:lpstr>
      <vt:lpstr> model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Liza Semikina</cp:lastModifiedBy>
  <dcterms:created xsi:type="dcterms:W3CDTF">2013-11-05T11:37:07Z</dcterms:created>
  <dcterms:modified xsi:type="dcterms:W3CDTF">2023-10-24T03:16:29Z</dcterms:modified>
</cp:coreProperties>
</file>