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threadedComments/threadedComment3.xml" ContentType="application/vnd.ms-excel.threadedcomments+xml"/>
  <Override PartName="/xl/ink/ink1.xml" ContentType="application/inkml+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defaultThemeVersion="166925"/>
  <mc:AlternateContent xmlns:mc="http://schemas.openxmlformats.org/markup-compatibility/2006">
    <mc:Choice Requires="x15">
      <x15ac:absPath xmlns:x15ac="http://schemas.microsoft.com/office/spreadsheetml/2010/11/ac" url="https://ashokauni-my.sharepoint.com/personal/eswar_anguru_ug25_ashoka_edu_in/Documents/"/>
    </mc:Choice>
  </mc:AlternateContent>
  <xr:revisionPtr revIDLastSave="29" documentId="8_{6AC49FF7-4033-4A6A-A851-FDB3F5AD1E3F}" xr6:coauthVersionLast="47" xr6:coauthVersionMax="47" xr10:uidLastSave="{8273F12B-2BDD-4E4C-A4A2-360DC0B4A674}"/>
  <bookViews>
    <workbookView xWindow="-110" yWindow="-110" windowWidth="19420" windowHeight="11500" xr2:uid="{21F30EEF-794A-410F-A6C9-6F1D48554AB4}"/>
  </bookViews>
  <sheets>
    <sheet name="Cover" sheetId="1" r:id="rId1"/>
    <sheet name="Assump" sheetId="3" r:id="rId2"/>
    <sheet name="Debt" sheetId="8" r:id="rId3"/>
    <sheet name="Calc" sheetId="7" r:id="rId4"/>
    <sheet name="IS" sheetId="4" r:id="rId5"/>
    <sheet name="BS" sheetId="5" r:id="rId6"/>
    <sheet name="CF" sheetId="6" r:id="rId7"/>
    <sheet name="DCF" sheetId="9" r:id="rId8"/>
  </sheets>
  <definedNames>
    <definedName name="circ">Cover!$C$8:$C$8</definedName>
    <definedName name="solver_eng" localSheetId="5" hidden="1">1</definedName>
    <definedName name="solver_neg" localSheetId="5" hidden="1">1</definedName>
    <definedName name="solver_num" localSheetId="5" hidden="1">0</definedName>
    <definedName name="solver_typ" localSheetId="5" hidden="1">3</definedName>
    <definedName name="solver_val" localSheetId="5" hidden="1">0</definedName>
    <definedName name="solver_ver" localSheetId="5"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2" i="4" l="1"/>
  <c r="C4" i="4"/>
  <c r="D10" i="9"/>
  <c r="F16" i="4"/>
  <c r="F14" i="4"/>
  <c r="F27" i="3"/>
  <c r="D39" i="9"/>
  <c r="D26" i="3"/>
  <c r="E26" i="3"/>
  <c r="C26" i="3"/>
  <c r="C70" i="9"/>
  <c r="C69" i="9"/>
  <c r="AO933" i="3"/>
  <c r="AP933" i="3"/>
  <c r="AQ933" i="3"/>
  <c r="J17" i="4"/>
  <c r="I17" i="4"/>
  <c r="H17" i="4"/>
  <c r="G17" i="4"/>
  <c r="J16" i="4"/>
  <c r="I16" i="4"/>
  <c r="H16" i="4"/>
  <c r="G16" i="4"/>
  <c r="D47" i="9"/>
  <c r="D37" i="9"/>
  <c r="C31" i="3"/>
  <c r="D32" i="3"/>
  <c r="E32" i="3"/>
  <c r="C32" i="3"/>
  <c r="F32" i="3" s="1"/>
  <c r="C18" i="5"/>
  <c r="D18" i="5"/>
  <c r="E18" i="5"/>
  <c r="D38" i="3"/>
  <c r="C38" i="3"/>
  <c r="G33" i="5"/>
  <c r="H33" i="5"/>
  <c r="I33" i="5"/>
  <c r="J33" i="5"/>
  <c r="F33" i="5"/>
  <c r="G26" i="5"/>
  <c r="H26" i="5"/>
  <c r="I26" i="5"/>
  <c r="J26" i="5"/>
  <c r="G27" i="5"/>
  <c r="H27" i="5"/>
  <c r="I27" i="5"/>
  <c r="J27" i="5"/>
  <c r="G6" i="5"/>
  <c r="H6" i="5"/>
  <c r="I6" i="5"/>
  <c r="J6" i="5"/>
  <c r="F23" i="4"/>
  <c r="G23" i="4" s="1"/>
  <c r="H23" i="4" s="1"/>
  <c r="I23" i="4" s="1"/>
  <c r="J23" i="4" s="1"/>
  <c r="F19" i="5" l="1"/>
  <c r="G32" i="3"/>
  <c r="D42" i="9"/>
  <c r="G18" i="8"/>
  <c r="H18" i="8"/>
  <c r="I18" i="8"/>
  <c r="J18" i="8"/>
  <c r="F18" i="8"/>
  <c r="F8" i="8"/>
  <c r="E5" i="8"/>
  <c r="D5" i="8"/>
  <c r="E24" i="6"/>
  <c r="F23" i="6" s="1"/>
  <c r="D12" i="9"/>
  <c r="D11" i="9"/>
  <c r="E8" i="9"/>
  <c r="D8" i="9"/>
  <c r="G32" i="4"/>
  <c r="H32" i="4"/>
  <c r="I32" i="4"/>
  <c r="J32" i="4"/>
  <c r="G33" i="4"/>
  <c r="H33" i="4"/>
  <c r="I33" i="4"/>
  <c r="J33" i="4"/>
  <c r="F33" i="4"/>
  <c r="F32" i="4"/>
  <c r="E19" i="6"/>
  <c r="D19" i="6"/>
  <c r="E13" i="6"/>
  <c r="D12" i="6"/>
  <c r="E6" i="6"/>
  <c r="D6" i="6"/>
  <c r="D4" i="6"/>
  <c r="E4" i="6"/>
  <c r="C4" i="6"/>
  <c r="E22" i="7"/>
  <c r="F19" i="7" s="1"/>
  <c r="G14" i="7"/>
  <c r="H14" i="7"/>
  <c r="I14" i="7"/>
  <c r="J14" i="7"/>
  <c r="D23" i="3"/>
  <c r="C23" i="3"/>
  <c r="G15" i="4"/>
  <c r="G26" i="4" s="1"/>
  <c r="H15" i="4"/>
  <c r="H26" i="4" s="1"/>
  <c r="I15" i="4"/>
  <c r="I26" i="4" s="1"/>
  <c r="J15" i="4"/>
  <c r="J26" i="4" s="1"/>
  <c r="D8" i="3"/>
  <c r="D44" i="3"/>
  <c r="E44" i="3"/>
  <c r="C44" i="3"/>
  <c r="F44" i="3" s="1"/>
  <c r="C21" i="3"/>
  <c r="D40" i="3"/>
  <c r="E40" i="3"/>
  <c r="C40" i="3"/>
  <c r="C23" i="5"/>
  <c r="C36" i="3" s="1"/>
  <c r="D23" i="5"/>
  <c r="D18" i="6" s="1"/>
  <c r="E23" i="5"/>
  <c r="E36" i="3" s="1"/>
  <c r="D45" i="3"/>
  <c r="E45" i="3"/>
  <c r="C45" i="3"/>
  <c r="D9" i="7"/>
  <c r="D10" i="7"/>
  <c r="D11" i="7"/>
  <c r="D13" i="7"/>
  <c r="D14" i="7"/>
  <c r="E14" i="7"/>
  <c r="E7" i="5"/>
  <c r="E22" i="3" s="1"/>
  <c r="E6" i="7"/>
  <c r="C4" i="7"/>
  <c r="D6" i="7"/>
  <c r="C14" i="7"/>
  <c r="C13" i="7"/>
  <c r="C11" i="7"/>
  <c r="C10" i="7"/>
  <c r="C9" i="7"/>
  <c r="D39" i="3"/>
  <c r="E39" i="3"/>
  <c r="C39" i="3"/>
  <c r="D28" i="5"/>
  <c r="D41" i="3" s="1"/>
  <c r="E28" i="5"/>
  <c r="E41" i="3" s="1"/>
  <c r="C28" i="5"/>
  <c r="C41" i="3" s="1"/>
  <c r="F41" i="3" s="1"/>
  <c r="E34" i="5"/>
  <c r="D34" i="5"/>
  <c r="C34" i="5"/>
  <c r="C46" i="3" s="1"/>
  <c r="D21" i="3"/>
  <c r="E21" i="3"/>
  <c r="D22" i="3"/>
  <c r="C22" i="3"/>
  <c r="D19" i="3"/>
  <c r="D20" i="3"/>
  <c r="D28" i="3"/>
  <c r="D30" i="3"/>
  <c r="D33" i="3"/>
  <c r="C33" i="3"/>
  <c r="C30" i="3"/>
  <c r="C28" i="3"/>
  <c r="C3" i="5"/>
  <c r="C9" i="5" s="1"/>
  <c r="C20" i="5" s="1"/>
  <c r="D3" i="5"/>
  <c r="D9" i="5" s="1"/>
  <c r="D20" i="5" s="1"/>
  <c r="E3" i="5"/>
  <c r="C20" i="3"/>
  <c r="C19" i="3"/>
  <c r="E37" i="5"/>
  <c r="E31" i="5"/>
  <c r="E43" i="3" s="1"/>
  <c r="D31" i="5"/>
  <c r="D43" i="3" s="1"/>
  <c r="C31" i="5"/>
  <c r="C43" i="3" s="1"/>
  <c r="E24" i="5"/>
  <c r="E37" i="3" s="1"/>
  <c r="E25" i="5"/>
  <c r="E38" i="3" s="1"/>
  <c r="F38" i="3" s="1"/>
  <c r="G38" i="3" s="1"/>
  <c r="E22" i="5"/>
  <c r="E35" i="3" s="1"/>
  <c r="E17" i="5"/>
  <c r="E33" i="3" s="1"/>
  <c r="E16" i="5"/>
  <c r="E30" i="3" s="1"/>
  <c r="E15" i="5"/>
  <c r="E29" i="3" s="1"/>
  <c r="E14" i="5"/>
  <c r="E28" i="3" s="1"/>
  <c r="F28" i="3" s="1"/>
  <c r="E13" i="5"/>
  <c r="E27" i="3" s="1"/>
  <c r="E12" i="5"/>
  <c r="E11" i="5"/>
  <c r="E8" i="5"/>
  <c r="E11" i="7" s="1"/>
  <c r="E5" i="5"/>
  <c r="E20" i="3" s="1"/>
  <c r="E4" i="5"/>
  <c r="E19" i="3" s="1"/>
  <c r="F19" i="3" s="1"/>
  <c r="D11" i="5"/>
  <c r="D7" i="7" s="1"/>
  <c r="D37" i="5"/>
  <c r="C37" i="5"/>
  <c r="D22" i="5"/>
  <c r="D35" i="3" s="1"/>
  <c r="C22" i="5"/>
  <c r="C35" i="3" s="1"/>
  <c r="D24" i="5"/>
  <c r="D37" i="3" s="1"/>
  <c r="C24" i="5"/>
  <c r="C37" i="3" s="1"/>
  <c r="D31" i="3"/>
  <c r="D15" i="5"/>
  <c r="D29" i="3" s="1"/>
  <c r="C15" i="5"/>
  <c r="C29" i="3" s="1"/>
  <c r="D13" i="5"/>
  <c r="D27" i="3" s="1"/>
  <c r="C13" i="5"/>
  <c r="C27" i="3" s="1"/>
  <c r="F13" i="5" s="1"/>
  <c r="C11" i="5"/>
  <c r="F39" i="3" l="1"/>
  <c r="F26" i="5" s="1"/>
  <c r="F14" i="7" s="1"/>
  <c r="G19" i="5"/>
  <c r="H32" i="3"/>
  <c r="F20" i="3"/>
  <c r="G20" i="3" s="1"/>
  <c r="H20" i="3" s="1"/>
  <c r="I20" i="3" s="1"/>
  <c r="J20" i="3" s="1"/>
  <c r="G19" i="3"/>
  <c r="F22" i="3"/>
  <c r="F21" i="3"/>
  <c r="F6" i="5" s="1"/>
  <c r="F33" i="3"/>
  <c r="F29" i="3"/>
  <c r="F30" i="3"/>
  <c r="G30" i="3" s="1"/>
  <c r="F40" i="3"/>
  <c r="F27" i="5" s="1"/>
  <c r="F15" i="5"/>
  <c r="G29" i="3"/>
  <c r="F16" i="5"/>
  <c r="F13" i="6" s="1"/>
  <c r="F14" i="5"/>
  <c r="G28" i="3"/>
  <c r="E23" i="3"/>
  <c r="F23" i="3" s="1"/>
  <c r="F37" i="3"/>
  <c r="G27" i="3"/>
  <c r="E8" i="3"/>
  <c r="F8" i="3" s="1"/>
  <c r="F6" i="7" s="1"/>
  <c r="E14" i="8"/>
  <c r="F12" i="8" s="1"/>
  <c r="E9" i="5"/>
  <c r="E20" i="5" s="1"/>
  <c r="D36" i="3"/>
  <c r="F36" i="3" s="1"/>
  <c r="E16" i="6"/>
  <c r="E18" i="6"/>
  <c r="E17" i="9"/>
  <c r="E28" i="9" s="1"/>
  <c r="C29" i="5"/>
  <c r="C35" i="5" s="1"/>
  <c r="D8" i="6"/>
  <c r="D17" i="9"/>
  <c r="D28" i="9" s="1"/>
  <c r="E8" i="6"/>
  <c r="D17" i="6"/>
  <c r="E47" i="3"/>
  <c r="E46" i="3"/>
  <c r="E7" i="6"/>
  <c r="E12" i="9"/>
  <c r="E7" i="7"/>
  <c r="D16" i="6"/>
  <c r="E31" i="3"/>
  <c r="F31" i="3" s="1"/>
  <c r="E17" i="6"/>
  <c r="E12" i="6"/>
  <c r="E19" i="8"/>
  <c r="F17" i="8" s="1"/>
  <c r="G22" i="3"/>
  <c r="F7" i="5"/>
  <c r="D46" i="3"/>
  <c r="F46" i="3" s="1"/>
  <c r="D7" i="6"/>
  <c r="D13" i="6"/>
  <c r="E11" i="9"/>
  <c r="F19" i="8"/>
  <c r="H38" i="3"/>
  <c r="E10" i="7"/>
  <c r="E15" i="7"/>
  <c r="D15" i="7"/>
  <c r="E9" i="7"/>
  <c r="E13" i="7"/>
  <c r="E12" i="7"/>
  <c r="D12" i="7"/>
  <c r="C12" i="7"/>
  <c r="C15" i="7"/>
  <c r="E4" i="7"/>
  <c r="C7" i="7"/>
  <c r="D4" i="7" s="1"/>
  <c r="D5" i="7" s="1"/>
  <c r="D29" i="5"/>
  <c r="D35" i="5" s="1"/>
  <c r="D38" i="5" s="1"/>
  <c r="D40" i="5" s="1"/>
  <c r="E29" i="5"/>
  <c r="E35" i="5" s="1"/>
  <c r="G37" i="3" l="1"/>
  <c r="H37" i="3" s="1"/>
  <c r="I37" i="3" s="1"/>
  <c r="J37" i="3" s="1"/>
  <c r="G33" i="3"/>
  <c r="H33" i="3" s="1"/>
  <c r="I33" i="3" s="1"/>
  <c r="J33" i="3" s="1"/>
  <c r="F43" i="3"/>
  <c r="F28" i="8"/>
  <c r="E38" i="5"/>
  <c r="C71" i="9"/>
  <c r="D44" i="9"/>
  <c r="D48" i="9" s="1"/>
  <c r="E40" i="5"/>
  <c r="I32" i="3"/>
  <c r="H19" i="5"/>
  <c r="H19" i="3"/>
  <c r="D20" i="6"/>
  <c r="F23" i="5"/>
  <c r="F18" i="6" s="1"/>
  <c r="G36" i="3"/>
  <c r="F4" i="7"/>
  <c r="E20" i="6"/>
  <c r="H28" i="3"/>
  <c r="G14" i="5"/>
  <c r="E5" i="7"/>
  <c r="H22" i="3"/>
  <c r="G7" i="5"/>
  <c r="D25" i="3"/>
  <c r="D9" i="9"/>
  <c r="D11" i="6"/>
  <c r="D14" i="6" s="1"/>
  <c r="D4" i="8" s="1"/>
  <c r="F12" i="6"/>
  <c r="G16" i="5"/>
  <c r="H30" i="3"/>
  <c r="F18" i="5"/>
  <c r="G31" i="3"/>
  <c r="G23" i="3"/>
  <c r="J23" i="3"/>
  <c r="I23" i="3"/>
  <c r="H23" i="3"/>
  <c r="G17" i="8"/>
  <c r="G19" i="8" s="1"/>
  <c r="G28" i="8" s="1"/>
  <c r="G13" i="5"/>
  <c r="H27" i="3"/>
  <c r="G15" i="5"/>
  <c r="H29" i="3"/>
  <c r="F31" i="5"/>
  <c r="F17" i="6" s="1"/>
  <c r="I38" i="3"/>
  <c r="D16" i="7"/>
  <c r="E16" i="7"/>
  <c r="C16" i="7"/>
  <c r="C38" i="5"/>
  <c r="C40" i="5" s="1"/>
  <c r="D49" i="9" l="1"/>
  <c r="D50" i="9"/>
  <c r="J32" i="3"/>
  <c r="J19" i="5" s="1"/>
  <c r="I19" i="5"/>
  <c r="I19" i="3"/>
  <c r="E25" i="3"/>
  <c r="F25" i="3" s="1"/>
  <c r="E9" i="9"/>
  <c r="E11" i="6"/>
  <c r="E14" i="6" s="1"/>
  <c r="E4" i="8" s="1"/>
  <c r="I29" i="3"/>
  <c r="H15" i="5"/>
  <c r="H16" i="5"/>
  <c r="I30" i="3"/>
  <c r="I28" i="3"/>
  <c r="H14" i="5"/>
  <c r="D5" i="6"/>
  <c r="H13" i="5"/>
  <c r="I27" i="3"/>
  <c r="G13" i="6"/>
  <c r="G12" i="6"/>
  <c r="F11" i="4"/>
  <c r="F4" i="6" s="1"/>
  <c r="F8" i="9"/>
  <c r="E5" i="6"/>
  <c r="E10" i="9"/>
  <c r="H7" i="5"/>
  <c r="H12" i="6" s="1"/>
  <c r="I22" i="3"/>
  <c r="G18" i="5"/>
  <c r="H31" i="3"/>
  <c r="G8" i="6"/>
  <c r="F8" i="6"/>
  <c r="G31" i="5"/>
  <c r="G17" i="6" s="1"/>
  <c r="G43" i="3"/>
  <c r="H17" i="8"/>
  <c r="H19" i="8" s="1"/>
  <c r="G23" i="5"/>
  <c r="G18" i="6" s="1"/>
  <c r="H36" i="3"/>
  <c r="J38" i="3"/>
  <c r="H13" i="6" l="1"/>
  <c r="D51" i="9"/>
  <c r="J19" i="3"/>
  <c r="I13" i="5"/>
  <c r="J27" i="3"/>
  <c r="J13" i="5" s="1"/>
  <c r="J22" i="3"/>
  <c r="J7" i="5" s="1"/>
  <c r="I7" i="5"/>
  <c r="J28" i="3"/>
  <c r="J14" i="5" s="1"/>
  <c r="I14" i="5"/>
  <c r="H31" i="5"/>
  <c r="H17" i="6" s="1"/>
  <c r="H43" i="3"/>
  <c r="I17" i="8"/>
  <c r="I19" i="8" s="1"/>
  <c r="H28" i="8"/>
  <c r="I36" i="3"/>
  <c r="H23" i="5"/>
  <c r="H18" i="6" s="1"/>
  <c r="I16" i="5"/>
  <c r="J30" i="3"/>
  <c r="J16" i="5" s="1"/>
  <c r="G25" i="3"/>
  <c r="H25" i="3" s="1"/>
  <c r="I25" i="3" s="1"/>
  <c r="J25" i="3" s="1"/>
  <c r="J29" i="3"/>
  <c r="J15" i="5" s="1"/>
  <c r="I15" i="5"/>
  <c r="I31" i="3"/>
  <c r="H18" i="5"/>
  <c r="F15" i="4"/>
  <c r="F26" i="4" s="1"/>
  <c r="F3" i="4"/>
  <c r="H7" i="3"/>
  <c r="I7" i="3" s="1"/>
  <c r="J7" i="3" s="1"/>
  <c r="G6" i="3"/>
  <c r="H6" i="3" s="1"/>
  <c r="I6" i="3" s="1"/>
  <c r="J6" i="3" s="1"/>
  <c r="G5" i="3"/>
  <c r="H5" i="3" s="1"/>
  <c r="I5" i="3" s="1"/>
  <c r="J5" i="3" s="1"/>
  <c r="D16" i="3"/>
  <c r="E16" i="3"/>
  <c r="C16" i="3"/>
  <c r="D15" i="3"/>
  <c r="E15" i="3"/>
  <c r="C15" i="3"/>
  <c r="E13" i="3"/>
  <c r="D13" i="3"/>
  <c r="D10" i="3"/>
  <c r="E10" i="3"/>
  <c r="C10" i="3"/>
  <c r="D7" i="3"/>
  <c r="E7" i="3"/>
  <c r="C7" i="3"/>
  <c r="D6" i="3"/>
  <c r="E6" i="3"/>
  <c r="C6" i="3"/>
  <c r="D5" i="3"/>
  <c r="E5" i="3"/>
  <c r="C5" i="3"/>
  <c r="E4" i="3"/>
  <c r="D4" i="3"/>
  <c r="D36" i="4"/>
  <c r="E36" i="4"/>
  <c r="C36" i="4"/>
  <c r="F28" i="5" l="1"/>
  <c r="F34" i="5"/>
  <c r="F17" i="5"/>
  <c r="F5" i="5"/>
  <c r="F8" i="5"/>
  <c r="D24" i="9" a="1"/>
  <c r="D24" i="9" s="1"/>
  <c r="F26" i="3"/>
  <c r="F12" i="5" s="1"/>
  <c r="G61" i="9"/>
  <c r="H61" i="9"/>
  <c r="I61" i="9"/>
  <c r="J61" i="9"/>
  <c r="F61" i="9"/>
  <c r="J13" i="6"/>
  <c r="J36" i="3"/>
  <c r="J23" i="5" s="1"/>
  <c r="I23" i="5"/>
  <c r="I18" i="6" s="1"/>
  <c r="I31" i="5"/>
  <c r="I17" i="6" s="1"/>
  <c r="I43" i="3"/>
  <c r="J17" i="8"/>
  <c r="J19" i="8" s="1"/>
  <c r="J28" i="8"/>
  <c r="I28" i="8"/>
  <c r="H8" i="6"/>
  <c r="J31" i="3"/>
  <c r="J18" i="5" s="1"/>
  <c r="I18" i="5"/>
  <c r="I12" i="6"/>
  <c r="J12" i="6"/>
  <c r="I13" i="6"/>
  <c r="F8" i="4"/>
  <c r="F11" i="7"/>
  <c r="F10" i="7"/>
  <c r="F15" i="7"/>
  <c r="F32" i="5"/>
  <c r="F25" i="5"/>
  <c r="F13" i="7" s="1"/>
  <c r="F5" i="7"/>
  <c r="G3" i="4"/>
  <c r="G26" i="3" s="1"/>
  <c r="G12" i="5" s="1"/>
  <c r="F7" i="4"/>
  <c r="F4" i="4"/>
  <c r="E15" i="4"/>
  <c r="E8" i="4"/>
  <c r="D15" i="4"/>
  <c r="C33" i="4"/>
  <c r="C26" i="4"/>
  <c r="C15" i="4"/>
  <c r="C8" i="4"/>
  <c r="C14" i="4"/>
  <c r="E14" i="4"/>
  <c r="D14" i="4"/>
  <c r="D9" i="3" s="1"/>
  <c r="C16" i="4"/>
  <c r="D8" i="4"/>
  <c r="F4" i="5" l="1"/>
  <c r="F24" i="5"/>
  <c r="G14" i="4"/>
  <c r="H14" i="4" s="1"/>
  <c r="I14" i="4" s="1"/>
  <c r="J14" i="4" s="1"/>
  <c r="E9" i="3"/>
  <c r="F12" i="7"/>
  <c r="F9" i="7"/>
  <c r="F5" i="4"/>
  <c r="J18" i="6"/>
  <c r="J8" i="6"/>
  <c r="J31" i="5"/>
  <c r="J17" i="6" s="1"/>
  <c r="J43" i="3"/>
  <c r="I8" i="6"/>
  <c r="F6" i="6"/>
  <c r="F11" i="9"/>
  <c r="F7" i="6"/>
  <c r="F12" i="9"/>
  <c r="H3" i="4"/>
  <c r="H26" i="3" s="1"/>
  <c r="H12" i="5" s="1"/>
  <c r="G34" i="5"/>
  <c r="G28" i="5"/>
  <c r="G15" i="7" s="1"/>
  <c r="G32" i="5"/>
  <c r="G5" i="5"/>
  <c r="G10" i="7" s="1"/>
  <c r="G17" i="5"/>
  <c r="G8" i="5"/>
  <c r="G11" i="7" s="1"/>
  <c r="G5" i="7"/>
  <c r="G8" i="4"/>
  <c r="G4" i="4"/>
  <c r="G4" i="5" s="1"/>
  <c r="G7" i="4"/>
  <c r="G25" i="5"/>
  <c r="G13" i="7" s="1"/>
  <c r="F11" i="6"/>
  <c r="F14" i="6" s="1"/>
  <c r="F4" i="8" s="1"/>
  <c r="F9" i="9"/>
  <c r="F7" i="7"/>
  <c r="F16" i="7" l="1"/>
  <c r="F5" i="6" s="1"/>
  <c r="G6" i="7"/>
  <c r="F11" i="5"/>
  <c r="F9" i="4"/>
  <c r="G11" i="6"/>
  <c r="G14" i="6" s="1"/>
  <c r="G4" i="8" s="1"/>
  <c r="G9" i="9"/>
  <c r="G4" i="7"/>
  <c r="H17" i="5"/>
  <c r="H6" i="6" s="1"/>
  <c r="H8" i="5"/>
  <c r="H11" i="7" s="1"/>
  <c r="H32" i="5"/>
  <c r="H34" i="5"/>
  <c r="H28" i="5"/>
  <c r="H15" i="7" s="1"/>
  <c r="H5" i="5"/>
  <c r="H10" i="7" s="1"/>
  <c r="H8" i="4"/>
  <c r="H4" i="4"/>
  <c r="H5" i="7"/>
  <c r="H7" i="4"/>
  <c r="H5" i="4"/>
  <c r="I3" i="4"/>
  <c r="I26" i="3" s="1"/>
  <c r="I12" i="5" s="1"/>
  <c r="H25" i="5"/>
  <c r="H13" i="7" s="1"/>
  <c r="G5" i="4"/>
  <c r="G24" i="5"/>
  <c r="G12" i="7" s="1"/>
  <c r="H11" i="9"/>
  <c r="G11" i="9"/>
  <c r="G7" i="6"/>
  <c r="G12" i="9"/>
  <c r="G6" i="6"/>
  <c r="F10" i="9"/>
  <c r="C5" i="4"/>
  <c r="C9" i="4" s="1"/>
  <c r="C12" i="4" s="1"/>
  <c r="D26" i="4"/>
  <c r="E33" i="4"/>
  <c r="D33" i="4"/>
  <c r="D32" i="4"/>
  <c r="E26" i="4"/>
  <c r="E32" i="4"/>
  <c r="E16" i="4"/>
  <c r="D16" i="4"/>
  <c r="H24" i="5" l="1"/>
  <c r="H12" i="7" s="1"/>
  <c r="H4" i="5"/>
  <c r="F12" i="4"/>
  <c r="F4" i="9" s="1"/>
  <c r="F25" i="9" s="1"/>
  <c r="F26" i="9"/>
  <c r="H7" i="6"/>
  <c r="H12" i="9"/>
  <c r="C18" i="4"/>
  <c r="C4" i="9"/>
  <c r="G9" i="7"/>
  <c r="G16" i="7" s="1"/>
  <c r="G9" i="4"/>
  <c r="G26" i="9" s="1"/>
  <c r="H9" i="7"/>
  <c r="H16" i="7" s="1"/>
  <c r="H9" i="4"/>
  <c r="H26" i="9" s="1"/>
  <c r="G11" i="4"/>
  <c r="G4" i="6" s="1"/>
  <c r="G8" i="9"/>
  <c r="G7" i="7"/>
  <c r="H6" i="7" s="1"/>
  <c r="I17" i="5"/>
  <c r="I11" i="9" s="1"/>
  <c r="I8" i="5"/>
  <c r="I11" i="7" s="1"/>
  <c r="I34" i="5"/>
  <c r="I28" i="5"/>
  <c r="I15" i="7" s="1"/>
  <c r="I32" i="5"/>
  <c r="I5" i="5"/>
  <c r="I10" i="7" s="1"/>
  <c r="I8" i="4"/>
  <c r="I4" i="4"/>
  <c r="I5" i="7"/>
  <c r="I7" i="4"/>
  <c r="J3" i="4"/>
  <c r="J26" i="3" s="1"/>
  <c r="J12" i="5" s="1"/>
  <c r="I5" i="4"/>
  <c r="I25" i="5"/>
  <c r="I13" i="7" s="1"/>
  <c r="H11" i="6"/>
  <c r="H14" i="6" s="1"/>
  <c r="H4" i="8" s="1"/>
  <c r="H9" i="9"/>
  <c r="I24" i="5" l="1"/>
  <c r="I12" i="7" s="1"/>
  <c r="I4" i="5"/>
  <c r="H5" i="6"/>
  <c r="G5" i="6"/>
  <c r="J34" i="5"/>
  <c r="J28" i="5"/>
  <c r="J15" i="7" s="1"/>
  <c r="J17" i="5"/>
  <c r="J11" i="9" s="1"/>
  <c r="J8" i="5"/>
  <c r="J11" i="7" s="1"/>
  <c r="J32" i="5"/>
  <c r="J5" i="5"/>
  <c r="J10" i="7" s="1"/>
  <c r="J8" i="4"/>
  <c r="J4" i="4"/>
  <c r="J5" i="7"/>
  <c r="J7" i="4"/>
  <c r="J25" i="5"/>
  <c r="J13" i="7" s="1"/>
  <c r="I11" i="6"/>
  <c r="I14" i="6" s="1"/>
  <c r="I4" i="8" s="1"/>
  <c r="I9" i="9"/>
  <c r="G11" i="5"/>
  <c r="H4" i="7"/>
  <c r="G12" i="4"/>
  <c r="G4" i="9" s="1"/>
  <c r="H10" i="9"/>
  <c r="G10" i="9"/>
  <c r="I7" i="6"/>
  <c r="I12" i="9"/>
  <c r="C21" i="4"/>
  <c r="C12" i="3"/>
  <c r="C5" i="9" s="1"/>
  <c r="C7" i="9" s="1"/>
  <c r="I9" i="7"/>
  <c r="I16" i="7" s="1"/>
  <c r="I9" i="4"/>
  <c r="I26" i="9" s="1"/>
  <c r="I6" i="6"/>
  <c r="J6" i="6" l="1"/>
  <c r="J24" i="5"/>
  <c r="J12" i="7" s="1"/>
  <c r="J4" i="5"/>
  <c r="J5" i="4"/>
  <c r="G5" i="9"/>
  <c r="G7" i="9" s="1"/>
  <c r="G13" i="9" s="1"/>
  <c r="G25" i="9"/>
  <c r="I5" i="6"/>
  <c r="I10" i="9"/>
  <c r="J11" i="6"/>
  <c r="J14" i="6" s="1"/>
  <c r="J4" i="8" s="1"/>
  <c r="J9" i="9"/>
  <c r="H7" i="7"/>
  <c r="I6" i="7" s="1"/>
  <c r="C24" i="4"/>
  <c r="C3" i="6"/>
  <c r="H8" i="9"/>
  <c r="H11" i="4"/>
  <c r="J7" i="6"/>
  <c r="J12" i="9"/>
  <c r="J9" i="7"/>
  <c r="J16" i="7" s="1"/>
  <c r="J9" i="4"/>
  <c r="J26" i="9" s="1"/>
  <c r="E5" i="4"/>
  <c r="E9" i="4" s="1"/>
  <c r="D5" i="4"/>
  <c r="D9" i="4" s="1"/>
  <c r="E4" i="4"/>
  <c r="D4" i="4"/>
  <c r="D12" i="4" l="1"/>
  <c r="D26" i="9"/>
  <c r="E12" i="4"/>
  <c r="E4" i="9" s="1"/>
  <c r="E26" i="9"/>
  <c r="G19" i="9"/>
  <c r="G20" i="9" s="1"/>
  <c r="G62" i="9"/>
  <c r="J10" i="9"/>
  <c r="J5" i="6"/>
  <c r="H11" i="5"/>
  <c r="I4" i="7"/>
  <c r="D18" i="4"/>
  <c r="D4" i="9"/>
  <c r="D25" i="9" s="1"/>
  <c r="C27" i="4"/>
  <c r="C14" i="3"/>
  <c r="H4" i="6"/>
  <c r="H12" i="4"/>
  <c r="H4" i="9" s="1"/>
  <c r="B15" i="7"/>
  <c r="B12" i="7"/>
  <c r="B11" i="7"/>
  <c r="B10" i="7"/>
  <c r="B9" i="7"/>
  <c r="G30" i="9" l="1"/>
  <c r="E18" i="4"/>
  <c r="E25" i="9"/>
  <c r="H5" i="9"/>
  <c r="H7" i="9" s="1"/>
  <c r="H13" i="9" s="1"/>
  <c r="H25" i="9"/>
  <c r="I7" i="7"/>
  <c r="J6" i="7" s="1"/>
  <c r="C34" i="4"/>
  <c r="C35" i="4"/>
  <c r="E21" i="4"/>
  <c r="E12" i="3"/>
  <c r="E5" i="9" s="1"/>
  <c r="D12" i="3"/>
  <c r="D21" i="4"/>
  <c r="I8" i="9"/>
  <c r="I11" i="4"/>
  <c r="F2" i="9"/>
  <c r="G2" i="9" s="1"/>
  <c r="H2" i="9" s="1"/>
  <c r="I2" i="9" s="1"/>
  <c r="J2" i="9" s="1"/>
  <c r="D2" i="9"/>
  <c r="C2" i="9" s="1"/>
  <c r="H16" i="9" l="1"/>
  <c r="H27" i="9" s="1"/>
  <c r="H19" i="9"/>
  <c r="H62" i="9"/>
  <c r="E7" i="9"/>
  <c r="H20" i="9"/>
  <c r="H30" i="9"/>
  <c r="I11" i="5"/>
  <c r="J8" i="9"/>
  <c r="J4" i="7"/>
  <c r="J7" i="7" s="1"/>
  <c r="J11" i="5" s="1"/>
  <c r="D5" i="9"/>
  <c r="D7" i="9" s="1"/>
  <c r="F12" i="3"/>
  <c r="F5" i="9" s="1"/>
  <c r="F7" i="9" s="1"/>
  <c r="F18" i="9" s="1"/>
  <c r="F29" i="9" s="1"/>
  <c r="E13" i="9"/>
  <c r="E19" i="9" s="1"/>
  <c r="I4" i="6"/>
  <c r="I12" i="4"/>
  <c r="I4" i="9" s="1"/>
  <c r="I25" i="9" s="1"/>
  <c r="D3" i="6"/>
  <c r="D24" i="4"/>
  <c r="E24" i="4"/>
  <c r="E3" i="6"/>
  <c r="F2" i="8"/>
  <c r="G2" i="8" s="1"/>
  <c r="H2" i="8" s="1"/>
  <c r="I2" i="8" s="1"/>
  <c r="J2" i="8" s="1"/>
  <c r="D2" i="8"/>
  <c r="C2" i="8" s="1"/>
  <c r="F2" i="7"/>
  <c r="G2" i="7" s="1"/>
  <c r="H2" i="7" s="1"/>
  <c r="I2" i="7" s="1"/>
  <c r="J2" i="7" s="1"/>
  <c r="D2" i="7"/>
  <c r="C2" i="7" s="1"/>
  <c r="F2" i="6"/>
  <c r="G2" i="6" s="1"/>
  <c r="H2" i="6" s="1"/>
  <c r="I2" i="6" s="1"/>
  <c r="J2" i="6" s="1"/>
  <c r="D2" i="6"/>
  <c r="C2" i="6" s="1"/>
  <c r="F2" i="5"/>
  <c r="G2" i="5" s="1"/>
  <c r="H2" i="5" s="1"/>
  <c r="I2" i="5" s="1"/>
  <c r="J2" i="5" s="1"/>
  <c r="D2" i="5"/>
  <c r="C2" i="5" s="1"/>
  <c r="F2" i="4"/>
  <c r="G2" i="4" s="1"/>
  <c r="H2" i="4" s="1"/>
  <c r="I2" i="4" s="1"/>
  <c r="J2" i="4" s="1"/>
  <c r="D2" i="4"/>
  <c r="C2" i="4" s="1"/>
  <c r="F2" i="3"/>
  <c r="G2" i="3" s="1"/>
  <c r="H2" i="3" s="1"/>
  <c r="I2" i="3" s="1"/>
  <c r="J2" i="3" s="1"/>
  <c r="D2" i="3"/>
  <c r="C2" i="3" s="1"/>
  <c r="C2" i="1"/>
  <c r="D2" i="1"/>
  <c r="G2" i="1"/>
  <c r="H2" i="1" s="1"/>
  <c r="I2" i="1" s="1"/>
  <c r="J2" i="1" s="1"/>
  <c r="F2" i="1"/>
  <c r="E16" i="9" l="1"/>
  <c r="E27" i="9" s="1"/>
  <c r="E18" i="9"/>
  <c r="E29" i="9" s="1"/>
  <c r="I5" i="9"/>
  <c r="I7" i="9" s="1"/>
  <c r="I16" i="9" s="1"/>
  <c r="I27" i="9" s="1"/>
  <c r="E20" i="9"/>
  <c r="E30" i="9"/>
  <c r="D9" i="6"/>
  <c r="E9" i="6"/>
  <c r="J11" i="4"/>
  <c r="J12" i="4" s="1"/>
  <c r="J4" i="9" s="1"/>
  <c r="D13" i="9"/>
  <c r="D16" i="9"/>
  <c r="D27" i="9" s="1"/>
  <c r="E27" i="4"/>
  <c r="E14" i="3"/>
  <c r="D14" i="3"/>
  <c r="D27" i="4"/>
  <c r="F16" i="9"/>
  <c r="F27" i="9" s="1"/>
  <c r="F13" i="9"/>
  <c r="F19" i="9" s="1"/>
  <c r="G16" i="9"/>
  <c r="G27" i="9" s="1"/>
  <c r="E3" i="8" l="1"/>
  <c r="E6" i="8" s="1"/>
  <c r="E18" i="3"/>
  <c r="D3" i="8"/>
  <c r="D6" i="8" s="1"/>
  <c r="D18" i="3"/>
  <c r="I13" i="9"/>
  <c r="I19" i="9" s="1"/>
  <c r="J5" i="9"/>
  <c r="J7" i="9" s="1"/>
  <c r="J13" i="9" s="1"/>
  <c r="I57" i="9" s="1"/>
  <c r="C66" i="9" s="1"/>
  <c r="J25" i="9"/>
  <c r="F62" i="9"/>
  <c r="F20" i="9"/>
  <c r="F30" i="9"/>
  <c r="J4" i="6"/>
  <c r="J16" i="9"/>
  <c r="J27" i="9" s="1"/>
  <c r="D34" i="4"/>
  <c r="D35" i="4"/>
  <c r="E35" i="4"/>
  <c r="E34" i="4"/>
  <c r="I20" i="9" l="1"/>
  <c r="I30" i="9"/>
  <c r="I62" i="9"/>
  <c r="J62" i="9"/>
  <c r="J19" i="9"/>
  <c r="J20" i="9" s="1"/>
  <c r="G18" i="4"/>
  <c r="G20" i="4" s="1"/>
  <c r="G21" i="4" s="1"/>
  <c r="J18" i="4"/>
  <c r="J20" i="4" s="1"/>
  <c r="J21" i="4" s="1"/>
  <c r="H18" i="4"/>
  <c r="H20" i="4" s="1"/>
  <c r="H21" i="4" s="1"/>
  <c r="I18" i="4"/>
  <c r="I20" i="4" s="1"/>
  <c r="I21" i="4" s="1"/>
  <c r="J30" i="9" l="1"/>
  <c r="C65" i="9"/>
  <c r="I58" i="9"/>
  <c r="I3" i="6"/>
  <c r="I9" i="6" s="1"/>
  <c r="I18" i="3" s="1"/>
  <c r="I24" i="4"/>
  <c r="I20" i="7"/>
  <c r="H24" i="4"/>
  <c r="H3" i="6"/>
  <c r="H9" i="6" s="1"/>
  <c r="H18" i="3" s="1"/>
  <c r="H20" i="7"/>
  <c r="J20" i="7"/>
  <c r="J24" i="4"/>
  <c r="J3" i="6"/>
  <c r="J9" i="6" s="1"/>
  <c r="J18" i="3" s="1"/>
  <c r="G3" i="6"/>
  <c r="G9" i="6" s="1"/>
  <c r="G18" i="3" s="1"/>
  <c r="G20" i="7"/>
  <c r="G24" i="4"/>
  <c r="C67" i="9" l="1"/>
  <c r="C72" i="9" s="1"/>
  <c r="C74" i="9" s="1"/>
  <c r="G21" i="7"/>
  <c r="G27" i="4"/>
  <c r="J3" i="8"/>
  <c r="J27" i="4"/>
  <c r="J21" i="7"/>
  <c r="G3" i="8"/>
  <c r="H3" i="8"/>
  <c r="H21" i="7"/>
  <c r="H27" i="4"/>
  <c r="I27" i="4"/>
  <c r="I21" i="7"/>
  <c r="I3" i="8"/>
  <c r="H35" i="4" l="1"/>
  <c r="H34" i="4"/>
  <c r="J35" i="4"/>
  <c r="J34" i="4"/>
  <c r="H5" i="8"/>
  <c r="H6" i="8" s="1"/>
  <c r="H29" i="4"/>
  <c r="J29" i="4"/>
  <c r="J5" i="8"/>
  <c r="J6" i="8" s="1"/>
  <c r="I29" i="4"/>
  <c r="I5" i="8"/>
  <c r="I6" i="8" s="1"/>
  <c r="G35" i="4"/>
  <c r="G34" i="4"/>
  <c r="I35" i="4"/>
  <c r="I34" i="4"/>
  <c r="G29" i="4"/>
  <c r="G5" i="8"/>
  <c r="G6" i="8" s="1"/>
  <c r="J36" i="4" l="1"/>
  <c r="J19" i="6"/>
  <c r="G19" i="6"/>
  <c r="G36" i="4"/>
  <c r="H19" i="6"/>
  <c r="H36" i="4"/>
  <c r="I36" i="4"/>
  <c r="I19" i="6"/>
  <c r="F17" i="4"/>
  <c r="F18" i="4" s="1"/>
  <c r="F20" i="4" s="1"/>
  <c r="F21" i="4" l="1"/>
  <c r="F20" i="7" l="1"/>
  <c r="F24" i="4"/>
  <c r="F3" i="6"/>
  <c r="F9" i="6" s="1"/>
  <c r="F18" i="3" s="1"/>
  <c r="F3" i="8" l="1"/>
  <c r="F27" i="4"/>
  <c r="F21" i="7"/>
  <c r="F22" i="7" s="1"/>
  <c r="F37" i="5" s="1"/>
  <c r="G19" i="7" l="1"/>
  <c r="G22" i="7" s="1"/>
  <c r="F29" i="4"/>
  <c r="F5" i="8"/>
  <c r="F6" i="8" s="1"/>
  <c r="F9" i="8" s="1"/>
  <c r="F35" i="4"/>
  <c r="F34" i="4"/>
  <c r="F13" i="8" l="1"/>
  <c r="F14" i="8" s="1"/>
  <c r="F27" i="8" s="1"/>
  <c r="F29" i="8" s="1"/>
  <c r="F36" i="4"/>
  <c r="F19" i="6"/>
  <c r="H19" i="7"/>
  <c r="H22" i="7" s="1"/>
  <c r="G37" i="5"/>
  <c r="F35" i="3" l="1"/>
  <c r="F22" i="5" s="1"/>
  <c r="G12" i="8"/>
  <c r="I19" i="7"/>
  <c r="I22" i="7" s="1"/>
  <c r="H37" i="5"/>
  <c r="F29" i="5"/>
  <c r="F35" i="5" s="1"/>
  <c r="F38" i="5" s="1"/>
  <c r="F16" i="6"/>
  <c r="F20" i="6" s="1"/>
  <c r="F22" i="6" s="1"/>
  <c r="F24" i="6" s="1"/>
  <c r="F3" i="5" s="1"/>
  <c r="F32" i="8" s="1"/>
  <c r="G23" i="6" l="1"/>
  <c r="J19" i="7"/>
  <c r="J22" i="7" s="1"/>
  <c r="J37" i="5" s="1"/>
  <c r="I37" i="5"/>
  <c r="G8" i="8" l="1"/>
  <c r="G9" i="8" s="1"/>
  <c r="G13" i="8" s="1"/>
  <c r="G14" i="8" s="1"/>
  <c r="F9" i="5"/>
  <c r="F17" i="9"/>
  <c r="G18" i="9" l="1"/>
  <c r="G29" i="9" s="1"/>
  <c r="G31" i="9" s="1"/>
  <c r="F28" i="9"/>
  <c r="H12" i="8"/>
  <c r="G35" i="3"/>
  <c r="G22" i="5" s="1"/>
  <c r="G27" i="8"/>
  <c r="G29" i="8" s="1"/>
  <c r="G16" i="6" l="1"/>
  <c r="G20" i="6" s="1"/>
  <c r="G22" i="6" s="1"/>
  <c r="G24" i="6" s="1"/>
  <c r="G29" i="5"/>
  <c r="G35" i="5" s="1"/>
  <c r="G38" i="5" s="1"/>
  <c r="G3" i="5" l="1"/>
  <c r="H23" i="6"/>
  <c r="G9" i="5" l="1"/>
  <c r="H8" i="8"/>
  <c r="H9" i="8" s="1"/>
  <c r="H13" i="8" s="1"/>
  <c r="H14" i="8" s="1"/>
  <c r="G32" i="8"/>
  <c r="G17" i="9"/>
  <c r="H18" i="9" l="1"/>
  <c r="H29" i="9" s="1"/>
  <c r="H31" i="9" s="1"/>
  <c r="G28" i="9"/>
  <c r="I12" i="8"/>
  <c r="H35" i="3"/>
  <c r="H22" i="5" s="1"/>
  <c r="H27" i="8"/>
  <c r="H29" i="8" s="1"/>
  <c r="H16" i="6" l="1"/>
  <c r="H20" i="6" s="1"/>
  <c r="H22" i="6" s="1"/>
  <c r="H24" i="6" s="1"/>
  <c r="H29" i="5"/>
  <c r="H35" i="5" s="1"/>
  <c r="H38" i="5" s="1"/>
  <c r="H3" i="5" l="1"/>
  <c r="I23" i="6"/>
  <c r="I8" i="8" l="1"/>
  <c r="I9" i="8" s="1"/>
  <c r="I13" i="8" s="1"/>
  <c r="I14" i="8" s="1"/>
  <c r="H9" i="5"/>
  <c r="H32" i="8"/>
  <c r="H17" i="9"/>
  <c r="I18" i="9" l="1"/>
  <c r="I29" i="9" s="1"/>
  <c r="H28" i="9"/>
  <c r="J12" i="8"/>
  <c r="I35" i="3"/>
  <c r="I22" i="5" s="1"/>
  <c r="I27" i="8"/>
  <c r="I29" i="8" s="1"/>
  <c r="I31" i="9" l="1"/>
  <c r="I16" i="6"/>
  <c r="I20" i="6" s="1"/>
  <c r="I22" i="6" s="1"/>
  <c r="I24" i="6" s="1"/>
  <c r="I29" i="5"/>
  <c r="I35" i="5" s="1"/>
  <c r="I38" i="5" s="1"/>
  <c r="I3" i="5" l="1"/>
  <c r="J23" i="6"/>
  <c r="I9" i="5" l="1"/>
  <c r="J8" i="8"/>
  <c r="J9" i="8" s="1"/>
  <c r="J13" i="8" s="1"/>
  <c r="J14" i="8" s="1"/>
  <c r="I32" i="8"/>
  <c r="I17" i="9"/>
  <c r="J18" i="9" l="1"/>
  <c r="J29" i="9" s="1"/>
  <c r="I28" i="9"/>
  <c r="J35" i="3"/>
  <c r="J22" i="5" s="1"/>
  <c r="J27" i="8"/>
  <c r="J29" i="8" s="1"/>
  <c r="K29" i="9" l="1"/>
  <c r="K31" i="9" s="1"/>
  <c r="J31" i="9"/>
  <c r="J16" i="6"/>
  <c r="J20" i="6" s="1"/>
  <c r="J22" i="6" s="1"/>
  <c r="J24" i="6" s="1"/>
  <c r="J3" i="5" s="1"/>
  <c r="J17" i="9" s="1"/>
  <c r="J28" i="9" s="1"/>
  <c r="J29" i="5"/>
  <c r="J35" i="5" s="1"/>
  <c r="J38" i="5" s="1"/>
  <c r="J9" i="5" l="1"/>
  <c r="J32" i="8"/>
  <c r="F20" i="5" l="1"/>
  <c r="F40" i="5" s="1"/>
  <c r="J20" i="5"/>
  <c r="J40" i="5" s="1"/>
  <c r="H20" i="5"/>
  <c r="H40" i="5" s="1"/>
  <c r="G20" i="5"/>
  <c r="G40" i="5" s="1"/>
  <c r="I20" i="5"/>
  <c r="I40"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tc={EB91CA58-11BD-4F83-A5E2-7B8469E963C3}</author>
    <author>tc={BC30CB89-3FE4-4D67-A324-351036E27B3F}</author>
    <author>tc={D9902395-DD26-4667-8BD2-0A4FEAD98F99}</author>
    <author>tc={B306AE92-B04B-4C6D-A1FF-C9BE6B16727A}</author>
    <author>tc={87C595FA-681E-4015-95F3-500F5B91C2A7}</author>
    <author>tc={B539259B-A38B-4016-96E2-C35917F47AD6}</author>
    <author>tc={14DF829F-62AC-4730-B402-B0B2209F742E}</author>
    <author>tc={4093009C-1EEE-4899-AB48-1EB3CD38D8E3}</author>
    <author>tc={B55A6588-A970-412A-9363-D7BF9EE4D006}</author>
    <author>tc={57B663E0-44E5-4058-8D2C-DF1CA6FFD6B9}</author>
    <author>tc={C60C4F8E-06B0-48DF-B2F8-1FA53EEEF809}</author>
    <author>tc={ED52A0A6-9539-4CCD-91F6-7C0356D4552F}</author>
    <author>tc={9EAEEE24-1141-48A4-AD6B-27C4FD631B73}</author>
    <author>tc={CFF5BF4F-C222-4F91-8E35-7E55BECBDF0C}</author>
  </authors>
  <commentList>
    <comment ref="B4" authorId="0" shapeId="0" xr:uid="{EB91CA58-11BD-4F83-A5E2-7B8469E963C3}">
      <text>
        <t>[Threaded comment]
Your version of Excel allows you to read this threaded comment; however, any edits to it will get removed if the file is opened in a newer version of Excel. Learn more: https://go.microsoft.com/fwlink/?linkid=870924
Comment:
    There is a 15% drop in revenue from FY23 to 24. Taking a conservative estimate of 20% as Titan builds on the momentum of its Turbo Programme and strong consumer spending in India. However, as market competition and global economic slowdowns impact exports and raw material prices, we expect a gradual decrease in the years to come</t>
      </text>
    </comment>
    <comment ref="B5" authorId="1" shapeId="0" xr:uid="{BC30CB89-3FE4-4D67-A324-351036E27B3F}">
      <text>
        <t>[Threaded comment]
Your version of Excel allows you to read this threaded comment; however, any edits to it will get removed if the file is opened in a newer version of Excel. Learn more: https://go.microsoft.com/fwlink/?linkid=870924
Comment:
    Titan’s Turbo Programme aims to enhance operational excellence and reduce unnecessary costs, so we are assuming a slight decrease in the next 5 years</t>
      </text>
    </comment>
    <comment ref="B6" authorId="2" shapeId="0" xr:uid="{D9902395-DD26-4667-8BD2-0A4FEAD98F99}">
      <text>
        <t>[Threaded comment]
Your version of Excel allows you to read this threaded comment; however, any edits to it will get removed if the file is opened in a newer version of Excel. Learn more: https://go.microsoft.com/fwlink/?linkid=870924
Comment:
    We assume a gradual decrease of 0.2% every year. This gradual decrease reflects the ongoing operational improvements and strategic investments in technology and employee development programs that enhance productivity without necessarily increasing benefits costs. The Turbo programme is also expected to lead to cost savings across various departments including employee benefits</t>
      </text>
    </comment>
    <comment ref="B7" authorId="3" shapeId="0" xr:uid="{B306AE92-B04B-4C6D-A1FF-C9BE6B16727A}">
      <text>
        <t>[Threaded comment]
Your version of Excel allows you to read this threaded comment; however, any edits to it will get removed if the file is opened in a newer version of Excel. Learn more: https://go.microsoft.com/fwlink/?linkid=870924
Comment:
    There is a focus on leveraging technology to enhance customer experience and operational efficiency, potentially reducing other expenses as processes become more streamlined. Also, efforts to expand into new markets and increase market share might initially require higher investments but could lead to economies of scale and reduced costs in the long term.</t>
      </text>
    </comment>
    <comment ref="B9" authorId="4" shapeId="0" xr:uid="{87C595FA-681E-4015-95F3-500F5B91C2A7}">
      <text>
        <t>[Threaded comment]
Your version of Excel allows you to read this threaded comment; however, any edits to it will get removed if the file is opened in a newer version of Excel. Learn more: https://go.microsoft.com/fwlink/?linkid=870924
Comment:
    Unrealized gain on investments might be a one-time affair</t>
      </text>
    </comment>
    <comment ref="B10" authorId="5" shapeId="0" xr:uid="{B539259B-A38B-4016-96E2-C35917F47AD6}">
      <text>
        <t>[Threaded comment]
Your version of Excel allows you to read this threaded comment; however, any edits to it will get removed if the file is opened in a newer version of Excel. Learn more: https://go.microsoft.com/fwlink/?linkid=870924
Comment:
    Announcement of employee benefit scheme is a one-time thing so assuming an average of FY23 and 24</t>
      </text>
    </comment>
    <comment ref="B14" authorId="6" shapeId="0" xr:uid="{14DF829F-62AC-4730-B402-B0B2209F742E}">
      <text>
        <t>[Threaded comment]
Your version of Excel allows you to read this threaded comment; however, any edits to it will get removed if the file is opened in a newer version of Excel. Learn more: https://go.microsoft.com/fwlink/?linkid=870924
Comment:
    Given the trends of increase in dividend, we might expect a gradual increase and stabilization of dividend</t>
      </text>
    </comment>
    <comment ref="B19" authorId="7" shapeId="0" xr:uid="{4093009C-1EEE-4899-AB48-1EB3CD38D8E3}">
      <text>
        <t xml:space="preserve">[Threaded comment]
Your version of Excel allows you to read this threaded comment; however, any edits to it will get removed if the file is opened in a newer version of Excel. Learn more: https://go.microsoft.com/fwlink/?linkid=870924
Comment:
    Inventories days of COGS has been gaining efficiency, but the increasing cogs intense competition, might slowen the decrease in inventory days of cogs.Thus assuming a decreasing rate of 2% in decreasing rate of inventory days of COGS
</t>
      </text>
    </comment>
    <comment ref="B20" authorId="8" shapeId="0" xr:uid="{B55A6588-A970-412A-9363-D7BF9EE4D006}">
      <text>
        <t xml:space="preserve">[Threaded comment]
Your version of Excel allows you to read this threaded comment; however, any edits to it will get removed if the file is opened in a newer version of Excel. Learn more: https://go.microsoft.com/fwlink/?linkid=870924
Comment:
    </t>
      </text>
    </comment>
    <comment ref="B25" authorId="9" shapeId="0" xr:uid="{57B663E0-44E5-4058-8D2C-DF1CA6FFD6B9}">
      <text>
        <t xml:space="preserve">[Threaded comment]
Your version of Excel allows you to read this threaded comment; however, any edits to it will get removed if the file is opened in a newer version of Excel. Learn more: https://go.microsoft.com/fwlink/?linkid=870924
Comment:
    Expecting an increasing capex as % of sales for the next 1 year to aid revenue growth and thereby constant for stabilization
</t>
      </text>
    </comment>
    <comment ref="B26" authorId="10" shapeId="0" xr:uid="{C60C4F8E-06B0-48DF-B2F8-1FA53EEEF809}">
      <text>
        <t xml:space="preserve">[Threaded comment]
Your version of Excel allows you to read this threaded comment; however, any edits to it will get removed if the file is opened in a newer version of Excel. Learn more: https://go.microsoft.com/fwlink/?linkid=870924
Comment:
    With an increasing capex and sales,we shall assume a constant
to aid the growth
</t>
      </text>
    </comment>
    <comment ref="B27" authorId="11" shapeId="0" xr:uid="{ED52A0A6-9539-4CCD-91F6-7C0356D4552F}">
      <text>
        <t>[Threaded comment]
Your version of Excel allows you to read this threaded comment; however, any edits to it will get removed if the file is opened in a newer version of Excel. Learn more: https://go.microsoft.com/fwlink/?linkid=870924
Comment:
    With a decreasing revenue growth and and decreasing COGS,we can expect a moderate increase in investments,assuming a growth of 5% on average</t>
      </text>
    </comment>
    <comment ref="B29" authorId="12" shapeId="0" xr:uid="{9EAEEE24-1141-48A4-AD6B-27C4FD631B73}">
      <text>
        <t xml:space="preserve">[Threaded comment]
Your version of Excel allows you to read this threaded comment; however, any edits to it will get removed if the file is opened in a newer version of Excel. Learn more: https://go.microsoft.com/fwlink/?linkid=870924
Comment:
    Most of the intangibel assets being software and under development having an ageing schedule within 1 year,we are taking the average
</t>
      </text>
    </comment>
    <comment ref="B37" authorId="13" shapeId="0" xr:uid="{CFF5BF4F-C222-4F91-8E35-7E55BECBDF0C}">
      <text>
        <t>[Threaded comment]
Your version of Excel allows you to read this threaded comment; however, any edits to it will get removed if the file is opened in a newer version of Excel. Learn more: https://go.microsoft.com/fwlink/?linkid=870924
Comment:
    Considering the company has entered into agreement with Receivables Exchange of India for reverse factoring we can expect and improved trade payables days,thus taking average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tc={48491F9B-36C6-4FA5-8040-5AC4DEEA18DE}</author>
  </authors>
  <commentList>
    <comment ref="B4" authorId="0" shapeId="0" xr:uid="{48491F9B-36C6-4FA5-8040-5AC4DEEA18DE}">
      <text>
        <t>[Threaded comment]
Your version of Excel allows you to read this threaded comment; however, any edits to it will get removed if the file is opened in a newer version of Excel. Learn more: https://go.microsoft.com/fwlink/?linkid=870924
Comment:
    Raw Materials Consumed, Stock-In Trade Purchased, Changes in Inventory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Eshwar A</author>
  </authors>
  <commentList>
    <comment ref="B3" authorId="0" shapeId="0" xr:uid="{B9F7FFDA-DC0E-4644-87DB-8F8DED2410C0}">
      <text>
        <r>
          <rPr>
            <b/>
            <sz val="9"/>
            <color indexed="81"/>
            <rFont val="Tahoma"/>
            <family val="2"/>
          </rPr>
          <t>Eshwar A:</t>
        </r>
        <r>
          <rPr>
            <sz val="9"/>
            <color indexed="81"/>
            <rFont val="Tahoma"/>
            <family val="2"/>
          </rPr>
          <t xml:space="preserve">
Includes cash and cash equivalents, investments,bank balances,loans and other financial assets</t>
        </r>
      </text>
    </comment>
    <comment ref="B13" authorId="0" shapeId="0" xr:uid="{BD522695-19F7-40CC-AA11-F309CE107F89}">
      <text>
        <r>
          <rPr>
            <b/>
            <sz val="9"/>
            <color indexed="81"/>
            <rFont val="Tahoma"/>
            <family val="2"/>
          </rPr>
          <t>Eshwar A:</t>
        </r>
        <r>
          <rPr>
            <sz val="9"/>
            <color indexed="81"/>
            <rFont val="Tahoma"/>
            <family val="2"/>
          </rPr>
          <t xml:space="preserve">
Inlcudes investment property, long term investments,Loan receivables &amp; other financial Assets</t>
        </r>
      </text>
    </comment>
    <comment ref="B23" authorId="0" shapeId="0" xr:uid="{88A6CB12-D065-4F61-B62D-D167118A027A}">
      <text>
        <r>
          <rPr>
            <b/>
            <sz val="9"/>
            <color indexed="81"/>
            <rFont val="Tahoma"/>
            <family val="2"/>
          </rPr>
          <t>Eshwar A:</t>
        </r>
        <r>
          <rPr>
            <sz val="9"/>
            <color indexed="81"/>
            <rFont val="Tahoma"/>
            <family val="2"/>
          </rPr>
          <t xml:space="preserve">
also inludes liabilities directly associated with Assets held for sale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tc={D66A84EC-54A3-4F1A-BBFE-B3622C35B115}</author>
    <author>tc={F1C41818-C579-4759-A7AE-349A47A42AC7}</author>
  </authors>
  <commentList>
    <comment ref="B34" authorId="0" shapeId="0" xr:uid="{D66A84EC-54A3-4F1A-BBFE-B3622C35B115}">
      <text>
        <t>[Threaded comment]
Your version of Excel allows you to read this threaded comment; however, any edits to it will get removed if the file is opened in a newer version of Excel. Learn more: https://go.microsoft.com/fwlink/?linkid=870924
Comment:
    10-year government bond yield</t>
      </text>
    </comment>
    <comment ref="A40" authorId="1" shapeId="0" xr:uid="{F1C41818-C579-4759-A7AE-349A47A42AC7}">
      <text>
        <t>[Threaded comment]
Your version of Excel allows you to read this threaded comment; however, any edits to it will get removed if the file is opened in a newer version of Excel. Learn more: https://go.microsoft.com/fwlink/?linkid=870924
Comment:
    online sources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<sst xmlns="http://schemas.openxmlformats.org/spreadsheetml/2006/main" count="338" uniqueCount="220">
  <si>
    <t>Titan Financial Model</t>
  </si>
  <si>
    <t>Hist.</t>
  </si>
  <si>
    <t>Proj.</t>
  </si>
  <si>
    <t>All amounts in INR Crores</t>
  </si>
  <si>
    <t xml:space="preserve">Company Name </t>
  </si>
  <si>
    <t>Titan Company</t>
  </si>
  <si>
    <t xml:space="preserve">Analyst Name </t>
  </si>
  <si>
    <t xml:space="preserve">Latest Financials Date </t>
  </si>
  <si>
    <t xml:space="preserve">Circ Switch </t>
  </si>
  <si>
    <t> </t>
  </si>
  <si>
    <t>Income statement assumptions</t>
  </si>
  <si>
    <t>Revenue growth</t>
  </si>
  <si>
    <t>COGS as a % of sales</t>
  </si>
  <si>
    <t>Employee benefits expense as a % of sales</t>
  </si>
  <si>
    <t>Other expenses as a % of sales</t>
  </si>
  <si>
    <t>Depreciation and Ammortization as a % of previous year's PPE</t>
  </si>
  <si>
    <t>Other income/(expense) including share of profit of associates growth</t>
  </si>
  <si>
    <t>Non recurring income/(expense) (INR amount)</t>
  </si>
  <si>
    <t>Marginal tax rate</t>
  </si>
  <si>
    <t xml:space="preserve"> </t>
  </si>
  <si>
    <t>Effective tax rate</t>
  </si>
  <si>
    <t>Profit /(loss) attributable to NCI growth</t>
  </si>
  <si>
    <t>Dividends payout ratio</t>
  </si>
  <si>
    <t>Basic WASO</t>
  </si>
  <si>
    <t>Diluted WASO</t>
  </si>
  <si>
    <t>Current asset assumptions</t>
  </si>
  <si>
    <t>Operating cash as a % of sales</t>
  </si>
  <si>
    <t>Inventories days of COGS</t>
  </si>
  <si>
    <t>Trade receivables days of sales</t>
  </si>
  <si>
    <t>Loans receivable(intercorporate deposits and employee loans)</t>
  </si>
  <si>
    <t>Assets Held for Sale</t>
  </si>
  <si>
    <t>Other current assets as a % of sales</t>
  </si>
  <si>
    <t>Non current assets assumptions</t>
  </si>
  <si>
    <t>Capex as a % of sales</t>
  </si>
  <si>
    <t>Right-of-use Assets  as % of sales</t>
  </si>
  <si>
    <t xml:space="preserve">Investment </t>
  </si>
  <si>
    <t>Goodwill (INR amount)</t>
  </si>
  <si>
    <t xml:space="preserve">Other intangible assets &amp; intangible asets under development </t>
  </si>
  <si>
    <t>Investment in associates and joint venture (INR amount)</t>
  </si>
  <si>
    <t>Deferred Tax Assets(net)</t>
  </si>
  <si>
    <t>Income Tax Assets(net)</t>
  </si>
  <si>
    <t>Other non-current assets as a % sales</t>
  </si>
  <si>
    <t>Current liabilities assumptions</t>
  </si>
  <si>
    <t xml:space="preserve">Short term borrowings including lease liabilities </t>
  </si>
  <si>
    <t>Other Financial Liabilties</t>
  </si>
  <si>
    <t>Trade payables days of COGS</t>
  </si>
  <si>
    <t>Gold on Loan as % of Sales</t>
  </si>
  <si>
    <t xml:space="preserve">Provisions </t>
  </si>
  <si>
    <t>Current Tax Liabilities (net)</t>
  </si>
  <si>
    <t>Other current liabilities as % of sales</t>
  </si>
  <si>
    <t>Non current liabilities assumptions</t>
  </si>
  <si>
    <t xml:space="preserve">Borrowings including lease liabilities and other financial liabilities </t>
  </si>
  <si>
    <t>Provisions as % of sales</t>
  </si>
  <si>
    <t>Deferred Tax Liability (net)</t>
  </si>
  <si>
    <t>Other non current liabilties as % of sales</t>
  </si>
  <si>
    <t>Issue/(Repayment) of Debt</t>
  </si>
  <si>
    <t>Interest rate assumptions</t>
  </si>
  <si>
    <t>Interest rate on short term debt</t>
  </si>
  <si>
    <t>Interest rate on long term debt</t>
  </si>
  <si>
    <t>Interest rate on cash</t>
  </si>
  <si>
    <t>Cash and cash equivalents includes cash on hand, demand deposits, highly liquid investments with maturities of three months or less.</t>
  </si>
  <si>
    <t xml:space="preserve">Cash Flow from Operations </t>
  </si>
  <si>
    <t xml:space="preserve">Cash Flow from Investing </t>
  </si>
  <si>
    <t xml:space="preserve">Dividends paid </t>
  </si>
  <si>
    <t xml:space="preserve">Cash flow generated to service debt </t>
  </si>
  <si>
    <t xml:space="preserve">Beginning Cash </t>
  </si>
  <si>
    <t xml:space="preserve">Cash available to repay debt </t>
  </si>
  <si>
    <t>Short Term Borrowings Schedule</t>
  </si>
  <si>
    <t xml:space="preserve">Beginning  </t>
  </si>
  <si>
    <t xml:space="preserve">Issue/(Repayment) </t>
  </si>
  <si>
    <t xml:space="preserve">Ending </t>
  </si>
  <si>
    <t>Borrowings &amp; Lease Liabilities (Long term) Schedule</t>
  </si>
  <si>
    <t xml:space="preserve">Interest expense calculation </t>
  </si>
  <si>
    <t xml:space="preserve">interest expense on short term debt </t>
  </si>
  <si>
    <t xml:space="preserve">interest expense on borrowings &amp; lease liabilities debt </t>
  </si>
  <si>
    <t xml:space="preserve">Total interest expense </t>
  </si>
  <si>
    <t xml:space="preserve">Interest income </t>
  </si>
  <si>
    <t xml:space="preserve">Interest on cash </t>
  </si>
  <si>
    <t>Net PPE schedule</t>
  </si>
  <si>
    <t>Beginning balance</t>
  </si>
  <si>
    <t>Capex</t>
  </si>
  <si>
    <t>Depreciation and Ammortization</t>
  </si>
  <si>
    <t>Ending</t>
  </si>
  <si>
    <t>Gold on Loan</t>
  </si>
  <si>
    <t>Assuming the gold on loan is considered as a source of raw material,thus operating</t>
  </si>
  <si>
    <t>Provisions</t>
  </si>
  <si>
    <t>Operating working capital</t>
  </si>
  <si>
    <t xml:space="preserve">Equity </t>
  </si>
  <si>
    <t xml:space="preserve">Beginning balance </t>
  </si>
  <si>
    <t xml:space="preserve">Net income </t>
  </si>
  <si>
    <t xml:space="preserve">Ending balance </t>
  </si>
  <si>
    <t>Revenues</t>
  </si>
  <si>
    <t>COGS</t>
  </si>
  <si>
    <t>Gross Profit</t>
  </si>
  <si>
    <t>Employee benefits expense</t>
  </si>
  <si>
    <t>Other expenses</t>
  </si>
  <si>
    <t>EBITDA</t>
  </si>
  <si>
    <t>Depreciation &amp; Ammortization</t>
  </si>
  <si>
    <t>EBIT</t>
  </si>
  <si>
    <t>Other income/(expense) including share of profit of associates</t>
  </si>
  <si>
    <t>Non recurring income/(expense)</t>
  </si>
  <si>
    <t>Interest income</t>
  </si>
  <si>
    <t>Interest expense</t>
  </si>
  <si>
    <t>Profit before tax</t>
  </si>
  <si>
    <t>Tax expense</t>
  </si>
  <si>
    <t>Profit after tax</t>
  </si>
  <si>
    <t>Profit /(loss) attributable to NCI</t>
  </si>
  <si>
    <t>Profit attributable to the parent's shareholders</t>
  </si>
  <si>
    <t>After tax non recurring expense/(income)</t>
  </si>
  <si>
    <t>Recurring profit</t>
  </si>
  <si>
    <t>Dividends</t>
  </si>
  <si>
    <t>Shareholder's info</t>
  </si>
  <si>
    <t>Basic normalized EPS</t>
  </si>
  <si>
    <t>Diluted  normalized EPS</t>
  </si>
  <si>
    <t>Dividends per share (on basic WASO)</t>
  </si>
  <si>
    <t>NO</t>
  </si>
  <si>
    <t>Cash and cash equivalents</t>
  </si>
  <si>
    <t>O</t>
  </si>
  <si>
    <t>Inventories</t>
  </si>
  <si>
    <t>Trade receivables</t>
  </si>
  <si>
    <t>customers take n days to pay you</t>
  </si>
  <si>
    <t>Assets held for Sale</t>
  </si>
  <si>
    <t>Other current assets</t>
  </si>
  <si>
    <t>Total current assets</t>
  </si>
  <si>
    <t>Sales/365 * n = AR</t>
  </si>
  <si>
    <t>Property, plant and equipment including CWIP</t>
  </si>
  <si>
    <t>COGS/365* x =Inventory</t>
  </si>
  <si>
    <t>Right-of-use Assets</t>
  </si>
  <si>
    <t>Investment</t>
  </si>
  <si>
    <t>Goodwill</t>
  </si>
  <si>
    <t>x is the inventory days</t>
  </si>
  <si>
    <t>Other intangible assets &amp; intangible asets under development</t>
  </si>
  <si>
    <t>Investment in associates and joint venture</t>
  </si>
  <si>
    <t>Other non-current assets</t>
  </si>
  <si>
    <t>Total assets</t>
  </si>
  <si>
    <t>Short term borrowings including lease liabilities</t>
  </si>
  <si>
    <t xml:space="preserve">Other Financial Liabilities </t>
  </si>
  <si>
    <t xml:space="preserve"> Trade payables</t>
  </si>
  <si>
    <t>Gold On Loan</t>
  </si>
  <si>
    <t>Other current liabilities</t>
  </si>
  <si>
    <t>Total current liabilities</t>
  </si>
  <si>
    <t>F</t>
  </si>
  <si>
    <t>Borrowings including lease liabilities and other financial liabilities</t>
  </si>
  <si>
    <t>Deferred tax liability(net)</t>
  </si>
  <si>
    <t>Other non current liabilties</t>
  </si>
  <si>
    <t>Total liabilities</t>
  </si>
  <si>
    <t>Total equity</t>
  </si>
  <si>
    <t>Total liabilities and equity</t>
  </si>
  <si>
    <t>Balance check</t>
  </si>
  <si>
    <t xml:space="preserve">Profit After Tax </t>
  </si>
  <si>
    <t xml:space="preserve">Depreciation &amp; Amortization </t>
  </si>
  <si>
    <t xml:space="preserve">(Inc)/Dec in Operating Working Capital </t>
  </si>
  <si>
    <t xml:space="preserve">(Inc)/Dec in Other non-current assets </t>
  </si>
  <si>
    <t xml:space="preserve">Inc/(Dec) in Other non-current liabilities </t>
  </si>
  <si>
    <t xml:space="preserve">(Inc)/Dec in Deferred Tax Assets (net) </t>
  </si>
  <si>
    <t xml:space="preserve">Capital Expenditure </t>
  </si>
  <si>
    <t xml:space="preserve">(Inc)/Dec in Asset held for sale </t>
  </si>
  <si>
    <t xml:space="preserve">(Inc)/Dec in Financial Assets including Investments </t>
  </si>
  <si>
    <t xml:space="preserve">Inc/(Dec) in Short term Borrowings </t>
  </si>
  <si>
    <t xml:space="preserve">Inc/(Dec) in Borrowings &amp; Lease Liabilities </t>
  </si>
  <si>
    <t xml:space="preserve">Inc/(Dec) in Other financial liabilities </t>
  </si>
  <si>
    <t xml:space="preserve">Cash Flow from Financing </t>
  </si>
  <si>
    <t xml:space="preserve">Net Cash Flow </t>
  </si>
  <si>
    <t xml:space="preserve">Ending Cash </t>
  </si>
  <si>
    <t>Step 1- Calculating FCFF</t>
  </si>
  <si>
    <t>Tax on EBIT</t>
  </si>
  <si>
    <t>NOPAT</t>
  </si>
  <si>
    <t>+Dep &amp; Amortization</t>
  </si>
  <si>
    <t>-Capex</t>
  </si>
  <si>
    <t>(Inc)/dec in OWC</t>
  </si>
  <si>
    <t>(Inc)/dec in other operating non current assets</t>
  </si>
  <si>
    <t>Inc/(dec) in other operating non current liabilties</t>
  </si>
  <si>
    <t>FCFF</t>
  </si>
  <si>
    <t>Step 2 -Checking the FCFF</t>
  </si>
  <si>
    <t>NOPAT growth</t>
  </si>
  <si>
    <t>Invested Capital</t>
  </si>
  <si>
    <t>ROIC</t>
  </si>
  <si>
    <t>Reinvestment rate</t>
  </si>
  <si>
    <t>Cash conversion</t>
  </si>
  <si>
    <t>Implied growth (using ROIC and reinvestment rate)</t>
  </si>
  <si>
    <t xml:space="preserve">Key Ratios </t>
  </si>
  <si>
    <t xml:space="preserve">Sales growth </t>
  </si>
  <si>
    <t xml:space="preserve">EBIT margin </t>
  </si>
  <si>
    <t xml:space="preserve">EBITDA margin </t>
  </si>
  <si>
    <t xml:space="preserve">NOPAT growth </t>
  </si>
  <si>
    <t xml:space="preserve">Invested Capital </t>
  </si>
  <si>
    <t xml:space="preserve">ROIC </t>
  </si>
  <si>
    <t xml:space="preserve">Reinvestment rate </t>
  </si>
  <si>
    <t xml:space="preserve">Implied growth rate </t>
  </si>
  <si>
    <t xml:space="preserve">Risk free rate </t>
  </si>
  <si>
    <t xml:space="preserve">Equity Risk Premium  </t>
  </si>
  <si>
    <t xml:space="preserve">Beta </t>
  </si>
  <si>
    <t xml:space="preserve">Cost of equity (Ke) </t>
  </si>
  <si>
    <t xml:space="preserve">Spread over risk free rate </t>
  </si>
  <si>
    <t xml:space="preserve">Kd </t>
  </si>
  <si>
    <t xml:space="preserve">Marginal Tax Rate </t>
  </si>
  <si>
    <t xml:space="preserve">Post tax cost of debt </t>
  </si>
  <si>
    <t xml:space="preserve">Total Debt </t>
  </si>
  <si>
    <t xml:space="preserve">Share Price </t>
  </si>
  <si>
    <t xml:space="preserve">Diluted number of shares </t>
  </si>
  <si>
    <t xml:space="preserve">Market Capitalization </t>
  </si>
  <si>
    <t xml:space="preserve">Total Capital </t>
  </si>
  <si>
    <t xml:space="preserve">% of Debt </t>
  </si>
  <si>
    <t xml:space="preserve">% of Equity </t>
  </si>
  <si>
    <t xml:space="preserve">WACC </t>
  </si>
  <si>
    <t xml:space="preserve">Terminal year growth rate </t>
  </si>
  <si>
    <t xml:space="preserve">Terminal value using growing perpetuity formula </t>
  </si>
  <si>
    <t xml:space="preserve">Implied TV multiple </t>
  </si>
  <si>
    <t xml:space="preserve">Year Count </t>
  </si>
  <si>
    <t xml:space="preserve">Discount Factor </t>
  </si>
  <si>
    <t>PV of cash flows</t>
  </si>
  <si>
    <t xml:space="preserve">Sum of PV of forecasted cash flows </t>
  </si>
  <si>
    <t xml:space="preserve">PV of terminal value </t>
  </si>
  <si>
    <t xml:space="preserve">Enterprise Value </t>
  </si>
  <si>
    <t xml:space="preserve">Add cash </t>
  </si>
  <si>
    <t xml:space="preserve">Add Investments </t>
  </si>
  <si>
    <t xml:space="preserve">Less Debt </t>
  </si>
  <si>
    <t xml:space="preserve">Equity value </t>
  </si>
  <si>
    <t xml:space="preserve">Share price </t>
  </si>
  <si>
    <t>Eswar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</si>
</sst>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_);\(#,##0.0\);0.0_);@_)"/>
    <numFmt numFmtId="165" formatCode="dd\-mmm\-yy"/>
    <numFmt numFmtId="166" formatCode="#,##0.0\ \x_);\(#,##0.0\ \x\)"/>
    <numFmt numFmtId="167" formatCode="0.0%_);\(0.0%\)"/>
    <numFmt numFmtId="168" formatCode="#,##0.00_);\(#,##0.00\);0.00_);@_)"/>
    <numFmt numFmtId="169" formatCode="#,##0.000_);\(#,##0.000\);0.000_);@_)"/>
    <numFmt numFmtId="170" formatCode="0.0%"/>
    <numFmt numFmtId="171" formatCode="0.00%_);\(0.00%\)"/>
    <numFmt numFmtId="172" formatCode="0.000%"/>
    <numFmt numFmtId="173" formatCode="[$-409]d\-mmm\-yyyy;@"/>
  </numFmts>
  <fonts count="22" x14ac:knownFonts="1">
    <font>
      <sz val="11"/>
      <color theme="1"/>
      <name val="Aptos"/>
      <family val="2"/>
    </font>
    <font>
      <sz val="11"/>
      <color rgb="FF0000FF"/>
      <name val="Aptos"/>
      <family val="2"/>
    </font>
    <font>
      <sz val="11"/>
      <color theme="1"/>
      <name val="Aptos"/>
      <family val="2"/>
    </font>
    <font>
      <sz val="11"/>
      <color theme="0"/>
      <name val="Aptos"/>
      <family val="2"/>
    </font>
    <font>
      <sz val="14"/>
      <color theme="0"/>
      <name val="Aptos"/>
      <family val="2"/>
    </font>
    <font>
      <i/>
      <sz val="11"/>
      <color theme="0"/>
      <name val="Aptos"/>
      <family val="2"/>
    </font>
    <font>
      <b/>
      <sz val="11"/>
      <color theme="1"/>
      <name val="Aptos"/>
      <family val="2"/>
    </font>
    <font>
      <b/>
      <i/>
      <sz val="11"/>
      <color theme="1"/>
      <name val="Aptos"/>
      <family val="2"/>
    </font>
    <font>
      <sz val="10"/>
      <color indexed="12"/>
      <name val="Arial"/>
      <family val="2"/>
    </font>
    <font>
      <b/>
      <sz val="12"/>
      <color rgb="FF163260"/>
      <name val="Calibri"/>
      <family val="2"/>
      <scheme val="minor"/>
    </font>
    <font>
      <sz val="10"/>
      <name val="Arial"/>
      <family val="2"/>
    </font>
    <font>
      <sz val="9"/>
      <color indexed="81"/>
      <name val="Tahoma"/>
      <family val="2"/>
    </font>
    <font>
      <b/>
      <sz val="9"/>
      <color indexed="81"/>
      <name val="Tahoma"/>
      <family val="2"/>
    </font>
    <font>
      <sz val="11"/>
      <color rgb="FF000000"/>
      <name val="Aptos"/>
      <family val="2"/>
    </font>
    <font>
      <sz val="10"/>
      <color rgb="FF000000"/>
      <name val="Arial"/>
      <family val="2"/>
    </font>
    <font>
      <b/>
      <sz val="10"/>
      <name val="Arial"/>
      <family val="2"/>
    </font>
    <font>
      <b/>
      <sz val="10"/>
      <color rgb="FF000000"/>
      <name val="Arial"/>
      <family val="2"/>
    </font>
    <font>
      <b/>
      <i/>
      <sz val="10"/>
      <name val="Arial"/>
      <family val="2"/>
    </font>
    <font>
      <sz val="10"/>
      <color rgb="FF0000FF"/>
      <name val="Arial"/>
      <family val="2"/>
    </font>
    <font>
      <b/>
      <i/>
      <sz val="10"/>
      <color rgb="FF000000"/>
      <name val="Arial"/>
      <family val="2"/>
    </font>
    <font>
      <b/>
      <sz val="11"/>
      <color rgb="FF000000"/>
      <name val="Calibri"/>
      <family val="2"/>
    </font>
    <font>
      <sz val="11"/>
      <color theme="4" tint="-0.249977111117893"/>
      <name val="Aptos"/>
      <family val="2"/>
    </font>
  </fonts>
  <fills count="7">
    <fill>
      <patternFill patternType="none"/>
    </fill>
    <fill>
      <patternFill patternType="gray125"/>
    </fill>
    <fill>
      <patternFill patternType="solid">
        <fgColor rgb="FFCCECFF"/>
        <bgColor indexed="64"/>
      </patternFill>
    </fill>
    <fill>
      <patternFill patternType="solid">
        <fgColor theme="4" tint="-0.249977111117893"/>
        <bgColor indexed="64"/>
      </patternFill>
    </fill>
    <fill>
      <patternFill patternType="solid">
        <fgColor rgb="FFFFFF00"/>
        <bgColor indexed="64"/>
      </patternFill>
    </fill>
    <fill>
      <patternFill patternType="solid">
        <fgColor rgb="FFFFFFCC"/>
        <bgColor rgb="FF000000"/>
      </patternFill>
    </fill>
    <fill>
      <patternFill patternType="solid">
        <fgColor rgb="FF29ABC9"/>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0">
    <xf numFmtId="164" fontId="0" fillId="0" borderId="0"/>
    <xf numFmtId="164" fontId="1" fillId="0" borderId="0" applyNumberFormat="0" applyFill="0" applyBorder="0" applyAlignment="0" applyProtection="0"/>
    <xf numFmtId="165" fontId="2" fillId="0" borderId="0" applyFont="0" applyFill="0" applyBorder="0" applyAlignment="0" applyProtection="0"/>
    <xf numFmtId="164" fontId="1" fillId="2" borderId="1" applyNumberFormat="0" applyAlignment="0" applyProtection="0"/>
    <xf numFmtId="166" fontId="2" fillId="0" borderId="0" applyFont="0" applyFill="0" applyBorder="0" applyAlignment="0" applyProtection="0"/>
    <xf numFmtId="167" fontId="2" fillId="0" borderId="0" applyFont="0" applyFill="0" applyBorder="0" applyAlignment="0" applyProtection="0"/>
    <xf numFmtId="0" fontId="9" fillId="0" borderId="0" applyNumberFormat="0" applyFill="0" applyBorder="0">
      <alignment horizontal="left" vertical="center"/>
    </xf>
    <xf numFmtId="164" fontId="8" fillId="0" borderId="0" applyNumberFormat="0" applyFill="0" applyBorder="0" applyAlignment="0" applyProtection="0"/>
    <xf numFmtId="167" fontId="10" fillId="0" borderId="0" applyFont="0" applyFill="0" applyBorder="0" applyAlignment="0" applyProtection="0"/>
    <xf numFmtId="9" fontId="2" fillId="0" borderId="0" applyFont="0" applyFill="0" applyBorder="0" applyAlignment="0" applyProtection="0"/>
  </cellStyleXfs>
  <cellXfs count="56">
    <xf numFmtId="164" fontId="0" fillId="0" borderId="0" xfId="0"/>
    <xf numFmtId="164" fontId="0" fillId="3" borderId="0" xfId="0" applyFill="1"/>
    <xf numFmtId="164" fontId="4" fillId="3" borderId="0" xfId="0" applyFont="1" applyFill="1"/>
    <xf numFmtId="164" fontId="5" fillId="3" borderId="0" xfId="0" applyFont="1" applyFill="1"/>
    <xf numFmtId="165" fontId="3" fillId="3" borderId="0" xfId="2" applyFont="1" applyFill="1"/>
    <xf numFmtId="164" fontId="5" fillId="3" borderId="0" xfId="0" applyFont="1" applyFill="1" applyAlignment="1">
      <alignment horizontal="center"/>
    </xf>
    <xf numFmtId="164" fontId="6" fillId="0" borderId="0" xfId="0" applyFont="1"/>
    <xf numFmtId="164" fontId="1" fillId="0" borderId="0" xfId="1"/>
    <xf numFmtId="164" fontId="7" fillId="0" borderId="0" xfId="0" applyFont="1"/>
    <xf numFmtId="164" fontId="1" fillId="2" borderId="1" xfId="3"/>
    <xf numFmtId="164" fontId="0" fillId="0" borderId="0" xfId="0" quotePrefix="1"/>
    <xf numFmtId="167" fontId="0" fillId="0" borderId="0" xfId="8" applyFont="1"/>
    <xf numFmtId="167" fontId="1" fillId="2" borderId="1" xfId="8" applyFont="1" applyFill="1" applyBorder="1"/>
    <xf numFmtId="164" fontId="0" fillId="4" borderId="0" xfId="0" applyFill="1"/>
    <xf numFmtId="9" fontId="0" fillId="0" borderId="0" xfId="9" applyFont="1"/>
    <xf numFmtId="169" fontId="0" fillId="0" borderId="0" xfId="0" applyNumberFormat="1"/>
    <xf numFmtId="9" fontId="1" fillId="2" borderId="1" xfId="9" applyFont="1" applyFill="1" applyBorder="1"/>
    <xf numFmtId="168" fontId="0" fillId="0" borderId="0" xfId="0" applyNumberFormat="1"/>
    <xf numFmtId="170" fontId="0" fillId="0" borderId="0" xfId="9" applyNumberFormat="1" applyFont="1"/>
    <xf numFmtId="10" fontId="0" fillId="0" borderId="0" xfId="9" applyNumberFormat="1" applyFont="1"/>
    <xf numFmtId="170" fontId="1" fillId="2" borderId="1" xfId="9" applyNumberFormat="1" applyFont="1" applyFill="1" applyBorder="1"/>
    <xf numFmtId="10" fontId="1" fillId="2" borderId="1" xfId="9" applyNumberFormat="1" applyFont="1" applyFill="1" applyBorder="1"/>
    <xf numFmtId="171" fontId="1" fillId="2" borderId="1" xfId="8" applyNumberFormat="1" applyFont="1" applyFill="1" applyBorder="1"/>
    <xf numFmtId="2" fontId="1" fillId="2" borderId="1" xfId="9" applyNumberFormat="1" applyFont="1" applyFill="1" applyBorder="1"/>
    <xf numFmtId="164" fontId="13" fillId="0" borderId="0" xfId="0" applyFont="1"/>
    <xf numFmtId="172" fontId="0" fillId="0" borderId="0" xfId="9" applyNumberFormat="1" applyFont="1"/>
    <xf numFmtId="2" fontId="0" fillId="0" borderId="0" xfId="9" applyNumberFormat="1" applyFont="1"/>
    <xf numFmtId="10" fontId="1" fillId="2" borderId="1" xfId="3" applyNumberFormat="1"/>
    <xf numFmtId="10" fontId="0" fillId="0" borderId="0" xfId="0" applyNumberFormat="1"/>
    <xf numFmtId="10" fontId="1" fillId="2" borderId="1" xfId="8" applyNumberFormat="1" applyFont="1" applyFill="1" applyBorder="1"/>
    <xf numFmtId="164" fontId="14" fillId="0" borderId="0" xfId="0" applyFont="1"/>
    <xf numFmtId="164" fontId="15" fillId="0" borderId="0" xfId="0" applyFont="1"/>
    <xf numFmtId="164" fontId="16" fillId="0" borderId="0" xfId="0" applyFont="1"/>
    <xf numFmtId="164" fontId="17" fillId="0" borderId="0" xfId="0" applyFont="1"/>
    <xf numFmtId="164" fontId="14" fillId="0" borderId="2" xfId="0" applyFont="1" applyBorder="1"/>
    <xf numFmtId="164" fontId="18" fillId="0" borderId="3" xfId="0" applyFont="1" applyBorder="1"/>
    <xf numFmtId="164" fontId="14" fillId="0" borderId="4" xfId="0" applyFont="1" applyBorder="1"/>
    <xf numFmtId="164" fontId="18" fillId="0" borderId="5" xfId="0" applyFont="1" applyBorder="1"/>
    <xf numFmtId="164" fontId="18" fillId="5" borderId="1" xfId="0" applyFont="1" applyFill="1" applyBorder="1"/>
    <xf numFmtId="164" fontId="14" fillId="0" borderId="6" xfId="0" applyFont="1" applyBorder="1"/>
    <xf numFmtId="164" fontId="14" fillId="0" borderId="7" xfId="0" applyFont="1" applyBorder="1"/>
    <xf numFmtId="173" fontId="18" fillId="0" borderId="5" xfId="0" applyNumberFormat="1" applyFont="1" applyBorder="1"/>
    <xf numFmtId="9" fontId="0" fillId="0" borderId="0" xfId="0" applyNumberFormat="1"/>
    <xf numFmtId="2" fontId="0" fillId="0" borderId="0" xfId="8" applyNumberFormat="1" applyFont="1"/>
    <xf numFmtId="164" fontId="4" fillId="6" borderId="0" xfId="0" applyFont="1" applyFill="1"/>
    <xf numFmtId="164" fontId="0" fillId="6" borderId="0" xfId="0" applyFill="1"/>
    <xf numFmtId="164" fontId="5" fillId="6" borderId="0" xfId="0" applyFont="1" applyFill="1" applyAlignment="1">
      <alignment horizontal="center"/>
    </xf>
    <xf numFmtId="164" fontId="5" fillId="6" borderId="0" xfId="0" applyFont="1" applyFill="1"/>
    <xf numFmtId="165" fontId="3" fillId="6" borderId="0" xfId="2" applyFont="1" applyFill="1"/>
    <xf numFmtId="164" fontId="19" fillId="0" borderId="0" xfId="0" applyFont="1"/>
    <xf numFmtId="164" fontId="20" fillId="0" borderId="0" xfId="0" applyFont="1"/>
    <xf numFmtId="164" fontId="6" fillId="4" borderId="0" xfId="0" applyFont="1" applyFill="1"/>
    <xf numFmtId="164" fontId="0" fillId="0" borderId="0" xfId="1" applyFont="1"/>
    <xf numFmtId="164" fontId="6" fillId="0" borderId="0" xfId="1" applyFont="1"/>
    <xf numFmtId="10" fontId="21" fillId="4" borderId="0" xfId="0" applyNumberFormat="1" applyFont="1" applyFill="1"/>
    <xf numFmtId="10" fontId="1" fillId="0" borderId="0" xfId="1" applyNumberFormat="1"/>
  </cellXfs>
  <cellStyles count="10">
    <cellStyle name="Blue" xfId="1" xr:uid="{66EB639A-953C-4B1F-91C4-95AB62829E66}"/>
    <cellStyle name="Blue 4" xfId="7" xr:uid="{AC899400-8B85-45B7-A572-B4EC0FC0E3E6}"/>
    <cellStyle name="Date" xfId="2" xr:uid="{93F55CF5-DCCB-4E2B-A521-E8B7FEF99212}"/>
    <cellStyle name="Input1" xfId="3" xr:uid="{A749B2B5-7BB7-46AC-88F5-488094C40243}"/>
    <cellStyle name="Multiple" xfId="4" xr:uid="{DDDB40D9-558C-4F55-9339-CE6DF32C0655}"/>
    <cellStyle name="Normal" xfId="0" builtinId="0" customBuiltin="1"/>
    <cellStyle name="p" xfId="8" xr:uid="{398C5937-70C1-449A-83CC-C65849D88E70}"/>
    <cellStyle name="Percent" xfId="9" builtinId="5"/>
    <cellStyle name="Percent1" xfId="5" xr:uid="{620BF97C-0A7C-49F3-B957-607024124715}"/>
    <cellStyle name="Tertiary Title" xfId="6" xr:uid="{E3880CE2-E69A-4E21-B0A1-54B5C48AC900}"/>
  </cellStyles>
  <dxfs count="0"/>
  <tableStyles count="0" defaultTableStyle="TableStyleMedium2" defaultPivotStyle="PivotStyleLight16"/>
  <colors>
    <mruColors>
      <color rgb="FF29AB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10"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368292</xdr:colOff>
      <xdr:row>14</xdr:row>
      <xdr:rowOff>2789</xdr:rowOff>
    </xdr:from>
    <xdr:to>
      <xdr:col>3</xdr:col>
      <xdr:colOff>370812</xdr:colOff>
      <xdr:row>14</xdr:row>
      <xdr:rowOff>5309</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8" name="Ink 17">
              <a:extLst>
                <a:ext uri="{FF2B5EF4-FFF2-40B4-BE49-F238E27FC236}">
                  <a16:creationId xmlns:a16="http://schemas.microsoft.com/office/drawing/2014/main" id="{AD8367C4-01AC-64E2-F7A5-3ED6F16B37D3}"/>
                </a:ext>
              </a:extLst>
            </xdr14:cNvPr>
            <xdr14:cNvContentPartPr/>
          </xdr14:nvContentPartPr>
          <xdr14:nvPr macro=""/>
          <xdr14:xfrm>
            <a:off x="4735138" y="2602800"/>
            <a:ext cx="2520" cy="2520"/>
          </xdr14:xfrm>
        </xdr:contentPart>
      </mc:Choice>
      <mc:Fallback xmlns="">
        <xdr:pic>
          <xdr:nvPicPr>
            <xdr:cNvPr id="18" name="Ink 17">
              <a:extLst>
                <a:ext uri="{FF2B5EF4-FFF2-40B4-BE49-F238E27FC236}">
                  <a16:creationId xmlns:a16="http://schemas.microsoft.com/office/drawing/2014/main" id="{AD8367C4-01AC-64E2-F7A5-3ED6F16B37D3}"/>
                </a:ext>
              </a:extLst>
            </xdr:cNvPr>
            <xdr:cNvPicPr/>
          </xdr:nvPicPr>
          <xdr:blipFill>
            <a:blip xmlns:r="http://schemas.openxmlformats.org/officeDocument/2006/relationships" r:embed="rId10"/>
            <a:stretch>
              <a:fillRect/>
            </a:stretch>
          </xdr:blipFill>
          <xdr:spPr>
            <a:xfrm>
              <a:off x="4726138" y="2593800"/>
              <a:ext cx="20160" cy="201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1T06:27:11.213"/>
    </inkml:context>
    <inkml:brush xml:id="br0">
      <inkml:brushProperty name="width" value="0.05" units="cm"/>
      <inkml:brushProperty name="height" value="0.05" units="cm"/>
      <inkml:brushProperty name="color" value="#33CCFF"/>
    </inkml:brush>
  </inkml:definitions>
  <inkml:trace contextRef="#ctx0" brushRef="#br0">6 6 11931,'-3'-4'-40,"0"2"-1273</inkml:trace>
</inkml:ink>
</file>

<file path=xl/persons/person.xml><?xml version="1.0" encoding="utf-8"?>
<personList xmlns="http://schemas.microsoft.com/office/spreadsheetml/2018/threadedcomments" xmlns:x="http://schemas.openxmlformats.org/spreadsheetml/2006/main">
  <person displayName="Nidhi Kalagarla" id="{05ACFF13-E134-4154-9CEE-7499F3613F44}" userId="56e01c9e99c2b121" providerId="Windows Live"/>
  <person displayName="Eswar Anguru" id="{3AD3A533-DD13-44B8-9CF3-93C97BD32890}" userId="S::eswar.anguru_ug25@ashoka.edu.in::6af4d56d-58a5-41c1-892a-b20fe48ce25b" providerId="AD"/>
  <person displayName="Guest User" id="{063BBE82-E202-4BBC-961F-412C95E0FC8D}" userId="S::urn:spo:anon#c6a74b67b5215db9b05813a9ecdf705050ed895bc6e3baf06606420c684fc9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5-08-30T13:42:38.91" personId="{3AD3A533-DD13-44B8-9CF3-93C97BD32890}" id="{EB91CA58-11BD-4F83-A5E2-7B8469E963C3}">
    <text>There is a 15% drop in revenue from FY23 to 24. Taking a conservative estimate of 20% as Titan builds on the momentum of its Turbo Programme and strong consumer spending in India. However, as market competition and global economic slowdowns impact exports and raw material prices, we expect a gradual decrease in the years to come</text>
  </threadedComment>
  <threadedComment ref="B5" dT="2025-08-30T13:43:07.98" personId="{3AD3A533-DD13-44B8-9CF3-93C97BD32890}" id="{BC30CB89-3FE4-4D67-A324-351036E27B3F}">
    <text>Titan’s Turbo Programme aims to enhance operational excellence and reduce unnecessary costs, so we are assuming a slight decrease in the next 5 years</text>
  </threadedComment>
  <threadedComment ref="B6" dT="2025-08-30T13:43:23.85" personId="{3AD3A533-DD13-44B8-9CF3-93C97BD32890}" id="{D9902395-DD26-4667-8BD2-0A4FEAD98F99}">
    <text>We assume a gradual decrease of 0.2% every year. This gradual decrease reflects the ongoing operational improvements and strategic investments in technology and employee development programs that enhance productivity without necessarily increasing benefits costs. The Turbo programme is also expected to lead to cost savings across various departments including employee benefits</text>
  </threadedComment>
  <threadedComment ref="B7" dT="2025-08-30T13:43:43.98" personId="{3AD3A533-DD13-44B8-9CF3-93C97BD32890}" id="{B306AE92-B04B-4C6D-A1FF-C9BE6B16727A}">
    <text>There is a focus on leveraging technology to enhance customer experience and operational efficiency, potentially reducing other expenses as processes become more streamlined. Also, efforts to expand into new markets and increase market share might initially require higher investments but could lead to economies of scale and reduced costs in the long term.</text>
  </threadedComment>
  <threadedComment ref="B9" dT="2025-08-30T13:44:02.95" personId="{3AD3A533-DD13-44B8-9CF3-93C97BD32890}" id="{87C595FA-681E-4015-95F3-500F5B91C2A7}">
    <text>Unrealized gain on investments might be a one-time affair</text>
  </threadedComment>
  <threadedComment ref="B10" dT="2025-08-30T13:44:28.86" personId="{3AD3A533-DD13-44B8-9CF3-93C97BD32890}" id="{B539259B-A38B-4016-96E2-C35917F47AD6}">
    <text>Announcement of employee benefit scheme is a one-time thing so assuming an average of FY23 and 24</text>
  </threadedComment>
  <threadedComment ref="B14" dT="2025-08-30T13:44:49.24" personId="{3AD3A533-DD13-44B8-9CF3-93C97BD32890}" id="{14DF829F-62AC-4730-B402-B0B2209F742E}">
    <text>Given the trends of increase in dividend, we might expect a gradual increase and stabilization of dividend</text>
  </threadedComment>
  <threadedComment ref="B19" dT="2025-03-15T17:22:26.70" personId="{3AD3A533-DD13-44B8-9CF3-93C97BD32890}" id="{4093009C-1EEE-4899-AB48-1EB3CD38D8E3}">
    <text xml:space="preserve">Inventories days of COGS has been gaining efficiency, but the increasing cogs intense competition, might slowen the decrease in inventory days of cogs.Thus assuming a decreasing rate of 2% in decreasing rate of inventory days of COGS
</text>
  </threadedComment>
  <threadedComment ref="B20" dT="2025-03-15T17:38:37.85" personId="{3AD3A533-DD13-44B8-9CF3-93C97BD32890}" id="{B55A6588-A970-412A-9363-D7BF9EE4D006}">
    <text/>
  </threadedComment>
  <threadedComment ref="B25" dT="2025-03-16T09:24:32.00" personId="{3AD3A533-DD13-44B8-9CF3-93C97BD32890}" id="{57B663E0-44E5-4058-8D2C-DF1CA6FFD6B9}">
    <text xml:space="preserve">Expecting an increasing capex as % of sales for the next 1 year to aid revenue growth and thereby constant for stabilization
</text>
  </threadedComment>
  <threadedComment ref="B26" dT="2025-03-16T08:54:13.19" personId="{3AD3A533-DD13-44B8-9CF3-93C97BD32890}" id="{C60C4F8E-06B0-48DF-B2F8-1FA53EEEF809}">
    <text xml:space="preserve">With an increasing capex and sales,we shall assume a constant
to aid the growth
</text>
  </threadedComment>
  <threadedComment ref="B27" dT="2025-03-16T08:55:52.03" personId="{3AD3A533-DD13-44B8-9CF3-93C97BD32890}" id="{ED52A0A6-9539-4CCD-91F6-7C0356D4552F}">
    <text>With a decreasing revenue growth and and decreasing COGS,we can expect a moderate increase in investments,assuming a growth of 5% on average</text>
  </threadedComment>
  <threadedComment ref="B29" dT="2025-03-16T09:10:21.90" personId="{3AD3A533-DD13-44B8-9CF3-93C97BD32890}" id="{9EAEEE24-1141-48A4-AD6B-27C4FD631B73}">
    <text xml:space="preserve">Most of the intangibel assets being software and under development having an ageing schedule within 1 year,we are taking the average
</text>
  </threadedComment>
  <threadedComment ref="B37" dT="2025-03-16T09:21:47.51" personId="{3AD3A533-DD13-44B8-9CF3-93C97BD32890}" id="{CFF5BF4F-C222-4F91-8E35-7E55BECBDF0C}">
    <text>Considering the company has entered into agreement with Receivables Exchange of India for reverse factoring we can expect and improved trade payables days,thus taking average</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5-03-13T16:46:05.24" personId="{05ACFF13-E134-4154-9CEE-7499F3613F44}" id="{48491F9B-36C6-4FA5-8040-5AC4DEEA18DE}">
    <text>Raw Materials Consumed, Stock-In Trade Purchased, Changes in Inventory</text>
  </threadedComment>
</ThreadedComments>
</file>

<file path=xl/threadedComments/threadedComment3.xml><?xml version="1.0" encoding="utf-8"?>
<ThreadedComments xmlns="http://schemas.microsoft.com/office/spreadsheetml/2018/threadedcomments" xmlns:x="http://schemas.openxmlformats.org/spreadsheetml/2006/main">
  <threadedComment ref="B34" dT="2025-03-17T10:58:54.43" personId="{063BBE82-E202-4BBC-961F-412C95E0FC8D}" id="{D66A84EC-54A3-4F1A-BBFE-B3622C35B115}">
    <text>10-year government bond yield</text>
  </threadedComment>
  <threadedComment ref="A40" dT="2025-03-17T17:16:11.15" personId="{063BBE82-E202-4BBC-961F-412C95E0FC8D}" id="{F1C41818-C579-4759-A7AE-349A47A42AC7}">
    <text>online sources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8.bin"/><Relationship Id="rId5" Type="http://schemas.microsoft.com/office/2017/10/relationships/threadedComment" Target="../threadedComments/threadedComment3.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E278-F91E-49F7-97B8-0ECD7835B05C}">
  <dimension ref="A1:J9"/>
  <sheetViews>
    <sheetView tabSelected="1" zoomScale="61" workbookViewId="0">
      <pane xSplit="2" ySplit="2" topLeftCell="C3" activePane="bottomRight" state="frozen"/>
      <selection pane="topRight" activeCell="C1" sqref="C1"/>
      <selection pane="bottomLeft" activeCell="A3" sqref="A3"/>
      <selection pane="bottomRight" activeCell="B6" sqref="B6:C6"/>
    </sheetView>
  </sheetViews>
  <sheetFormatPr defaultRowHeight="14.5" x14ac:dyDescent="0.35"/>
  <cols>
    <col min="1" max="1" width="2.58203125" customWidth="1"/>
    <col min="2" max="2" width="44.08203125" customWidth="1"/>
    <col min="3" max="3" width="10.58203125" customWidth="1"/>
    <col min="4" max="4" width="11.5" customWidth="1"/>
    <col min="5" max="5" width="9" bestFit="1" customWidth="1"/>
    <col min="6" max="6" width="11.33203125" customWidth="1"/>
    <col min="7" max="7" width="10.58203125" customWidth="1"/>
    <col min="8" max="8" width="10.5" customWidth="1"/>
    <col min="9" max="9" width="9" bestFit="1" customWidth="1"/>
    <col min="10" max="10" width="11.33203125" customWidth="1"/>
  </cols>
  <sheetData>
    <row r="1" spans="1:10" s="1" customFormat="1" ht="18.5" x14ac:dyDescent="0.45">
      <c r="A1" s="2" t="s">
        <v>0</v>
      </c>
      <c r="C1" s="5" t="s">
        <v>1</v>
      </c>
      <c r="D1" s="5" t="s">
        <v>1</v>
      </c>
      <c r="E1" s="5" t="s">
        <v>1</v>
      </c>
      <c r="F1" s="5" t="s">
        <v>2</v>
      </c>
      <c r="G1" s="5" t="s">
        <v>2</v>
      </c>
      <c r="H1" s="5" t="s">
        <v>2</v>
      </c>
      <c r="I1" s="5" t="s">
        <v>2</v>
      </c>
      <c r="J1" s="5" t="s">
        <v>2</v>
      </c>
    </row>
    <row r="2" spans="1:10" s="1" customFormat="1" x14ac:dyDescent="0.35">
      <c r="A2" s="3" t="s">
        <v>3</v>
      </c>
      <c r="C2" s="4">
        <f>DATE(YEAR(D2)-1,MONTH(D2),DAY(D2))</f>
        <v>44651</v>
      </c>
      <c r="D2" s="4">
        <f>DATE(YEAR(E2)-1,MONTH(E2),DAY(E2))</f>
        <v>45016</v>
      </c>
      <c r="E2" s="4">
        <v>45382</v>
      </c>
      <c r="F2" s="4">
        <f>DATE(YEAR(E2)+1,MONTH(E2),DAY(E2))</f>
        <v>45747</v>
      </c>
      <c r="G2" s="4">
        <f t="shared" ref="G2:J2" si="0">DATE(YEAR(F2)+1,MONTH(F2),DAY(F2))</f>
        <v>46112</v>
      </c>
      <c r="H2" s="4">
        <f t="shared" si="0"/>
        <v>46477</v>
      </c>
      <c r="I2" s="4">
        <f t="shared" si="0"/>
        <v>46843</v>
      </c>
      <c r="J2" s="4">
        <f t="shared" si="0"/>
        <v>47208</v>
      </c>
    </row>
    <row r="5" spans="1:10" x14ac:dyDescent="0.35">
      <c r="B5" s="34" t="s">
        <v>4</v>
      </c>
      <c r="C5" s="35" t="s">
        <v>5</v>
      </c>
    </row>
    <row r="6" spans="1:10" x14ac:dyDescent="0.35">
      <c r="B6" s="36" t="s">
        <v>6</v>
      </c>
      <c r="C6" s="37" t="s">
        <v>219</v>
      </c>
    </row>
    <row r="7" spans="1:10" x14ac:dyDescent="0.35">
      <c r="B7" s="36" t="s">
        <v>7</v>
      </c>
      <c r="C7" s="41">
        <v>45657</v>
      </c>
    </row>
    <row r="8" spans="1:10" x14ac:dyDescent="0.35">
      <c r="B8" s="36" t="s">
        <v>8</v>
      </c>
      <c r="C8" s="38">
        <v>0</v>
      </c>
    </row>
    <row r="9" spans="1:10" x14ac:dyDescent="0.35">
      <c r="B9" s="39" t="s">
        <v>9</v>
      </c>
      <c r="C9" s="40"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46911-103A-4B35-A839-832656301C86}">
  <dimension ref="A1:AQ933"/>
  <sheetViews>
    <sheetView zoomScale="68" workbookViewId="0">
      <pane xSplit="2" ySplit="2" topLeftCell="C3" activePane="bottomRight" state="frozen"/>
      <selection activeCell="F51" sqref="F51"/>
      <selection pane="topRight" activeCell="F51" sqref="F51"/>
      <selection pane="bottomLeft" activeCell="F51" sqref="F51"/>
      <selection pane="bottomRight" activeCell="P40" sqref="P40"/>
    </sheetView>
  </sheetViews>
  <sheetFormatPr defaultRowHeight="14.5" x14ac:dyDescent="0.35"/>
  <cols>
    <col min="1" max="1" width="2.58203125" customWidth="1"/>
    <col min="2" max="2" width="63.83203125" customWidth="1"/>
    <col min="3" max="3" width="14.58203125" bestFit="1" customWidth="1"/>
    <col min="4" max="4" width="11.5" customWidth="1"/>
    <col min="5" max="5" width="11.58203125" customWidth="1"/>
    <col min="6" max="6" width="11.33203125" customWidth="1"/>
    <col min="7" max="7" width="10.58203125" customWidth="1"/>
    <col min="8" max="8" width="10.5" customWidth="1"/>
    <col min="9" max="9" width="9" bestFit="1" customWidth="1"/>
    <col min="10" max="10" width="11.33203125" customWidth="1"/>
  </cols>
  <sheetData>
    <row r="1" spans="1:12" s="45" customFormat="1" ht="18.5" x14ac:dyDescent="0.45">
      <c r="A1" s="44" t="s">
        <v>0</v>
      </c>
      <c r="C1" s="46" t="s">
        <v>1</v>
      </c>
      <c r="D1" s="46" t="s">
        <v>1</v>
      </c>
      <c r="E1" s="46" t="s">
        <v>1</v>
      </c>
      <c r="F1" s="46" t="s">
        <v>2</v>
      </c>
      <c r="G1" s="46" t="s">
        <v>2</v>
      </c>
      <c r="H1" s="46" t="s">
        <v>2</v>
      </c>
      <c r="I1" s="46" t="s">
        <v>2</v>
      </c>
      <c r="J1" s="46" t="s">
        <v>2</v>
      </c>
    </row>
    <row r="2" spans="1:12" s="45" customFormat="1" x14ac:dyDescent="0.35">
      <c r="A2" s="47" t="s">
        <v>3</v>
      </c>
      <c r="C2" s="48">
        <f>DATE(YEAR(D2)-1,MONTH(D2),DAY(D2))</f>
        <v>44651</v>
      </c>
      <c r="D2" s="48">
        <f>DATE(YEAR(E2)-1,MONTH(E2),DAY(E2))</f>
        <v>45016</v>
      </c>
      <c r="E2" s="48">
        <v>45382</v>
      </c>
      <c r="F2" s="48">
        <f>DATE(YEAR(E2)+1,MONTH(E2),DAY(E2))</f>
        <v>45747</v>
      </c>
      <c r="G2" s="48">
        <f t="shared" ref="G2:J2" si="0">DATE(YEAR(F2)+1,MONTH(F2),DAY(F2))</f>
        <v>46112</v>
      </c>
      <c r="H2" s="48">
        <f t="shared" si="0"/>
        <v>46477</v>
      </c>
      <c r="I2" s="48">
        <f t="shared" si="0"/>
        <v>46843</v>
      </c>
      <c r="J2" s="48">
        <f t="shared" si="0"/>
        <v>47208</v>
      </c>
    </row>
    <row r="3" spans="1:12" x14ac:dyDescent="0.35">
      <c r="A3" s="8" t="s">
        <v>10</v>
      </c>
    </row>
    <row r="4" spans="1:12" x14ac:dyDescent="0.35">
      <c r="B4" t="s">
        <v>11</v>
      </c>
      <c r="D4" s="19">
        <f>(IS!D3-IS!C3)/IS!C3</f>
        <v>0.40890308691274002</v>
      </c>
      <c r="E4" s="19">
        <f>(IS!E3-IS!D3)/IS!D3</f>
        <v>0.2590018484288355</v>
      </c>
      <c r="F4" s="12">
        <v>0.2</v>
      </c>
      <c r="G4" s="12">
        <v>0.18</v>
      </c>
      <c r="H4" s="12">
        <v>0.16</v>
      </c>
      <c r="I4" s="12">
        <v>0.14000000000000001</v>
      </c>
      <c r="J4" s="12">
        <v>0.12</v>
      </c>
      <c r="K4" s="19"/>
    </row>
    <row r="5" spans="1:12" x14ac:dyDescent="0.35">
      <c r="B5" t="s">
        <v>12</v>
      </c>
      <c r="C5" s="19">
        <f>IS!C4/IS!C3</f>
        <v>0.7514497031146915</v>
      </c>
      <c r="D5" s="19">
        <f>IS!D4/IS!D3</f>
        <v>0.74812076401725203</v>
      </c>
      <c r="E5" s="19">
        <f>IS!E4/IS!E3</f>
        <v>0.77190509748649283</v>
      </c>
      <c r="F5" s="12">
        <v>0.75719999999999998</v>
      </c>
      <c r="G5" s="12">
        <f>F5-0.005</f>
        <v>0.75219999999999998</v>
      </c>
      <c r="H5" s="12">
        <f t="shared" ref="H5:J5" si="1">G5-0.005</f>
        <v>0.74719999999999998</v>
      </c>
      <c r="I5" s="12">
        <f t="shared" si="1"/>
        <v>0.74219999999999997</v>
      </c>
      <c r="J5" s="12">
        <f t="shared" si="1"/>
        <v>0.73719999999999997</v>
      </c>
      <c r="K5" s="19"/>
    </row>
    <row r="6" spans="1:12" x14ac:dyDescent="0.35">
      <c r="B6" t="s">
        <v>13</v>
      </c>
      <c r="C6" s="19">
        <f>IS!C7/IS!C3</f>
        <v>4.6841904232785864E-2</v>
      </c>
      <c r="D6" s="19">
        <f>IS!D7/IS!D3</f>
        <v>4.0591497227356749E-2</v>
      </c>
      <c r="E6" s="19">
        <f>IS!E7/IS!E3</f>
        <v>3.6488920209850444E-2</v>
      </c>
      <c r="F6" s="12">
        <v>3.4500000000000003E-2</v>
      </c>
      <c r="G6" s="12">
        <f>F6-0.002</f>
        <v>3.2500000000000001E-2</v>
      </c>
      <c r="H6" s="12">
        <f t="shared" ref="H6:J6" si="2">G6-0.002</f>
        <v>3.0499999999999999E-2</v>
      </c>
      <c r="I6" s="12">
        <f t="shared" si="2"/>
        <v>2.8499999999999998E-2</v>
      </c>
      <c r="J6" s="12">
        <f t="shared" si="2"/>
        <v>2.6499999999999996E-2</v>
      </c>
      <c r="K6" s="19"/>
    </row>
    <row r="7" spans="1:12" x14ac:dyDescent="0.35">
      <c r="B7" t="s">
        <v>14</v>
      </c>
      <c r="C7" s="19">
        <f>IS!C8/IS!C3</f>
        <v>8.4933504635577625E-2</v>
      </c>
      <c r="D7" s="19">
        <f>IS!D8/IS!D3</f>
        <v>9.0967344423906346E-2</v>
      </c>
      <c r="E7" s="19">
        <f>IS!E8/IS!E3</f>
        <v>8.7874872758593695E-2</v>
      </c>
      <c r="F7" s="22">
        <v>8.5000000000000006E-2</v>
      </c>
      <c r="G7" s="22">
        <v>8.4500000000000006E-2</v>
      </c>
      <c r="H7" s="22">
        <f>G7-0.0005</f>
        <v>8.4000000000000005E-2</v>
      </c>
      <c r="I7" s="22">
        <f t="shared" ref="I7:J7" si="3">H7-0.0005</f>
        <v>8.3500000000000005E-2</v>
      </c>
      <c r="J7" s="22">
        <f t="shared" si="3"/>
        <v>8.3000000000000004E-2</v>
      </c>
      <c r="K7" s="19"/>
    </row>
    <row r="8" spans="1:12" x14ac:dyDescent="0.35">
      <c r="B8" t="s">
        <v>15</v>
      </c>
      <c r="D8" s="28">
        <f>IS!D11/BS!C11</f>
        <v>0.34265734265734266</v>
      </c>
      <c r="E8" s="28">
        <f>IS!E11/BS!D11</f>
        <v>0.39566395663956638</v>
      </c>
      <c r="F8" s="12">
        <f>AVERAGE(D8:E8)</f>
        <v>0.36916064964845452</v>
      </c>
      <c r="G8" s="29">
        <v>0.36899999999999999</v>
      </c>
      <c r="H8" s="29">
        <v>0.36899999999999999</v>
      </c>
      <c r="I8" s="29">
        <v>0.36899999999999999</v>
      </c>
      <c r="J8" s="29">
        <v>0.36899999999999999</v>
      </c>
    </row>
    <row r="9" spans="1:12" x14ac:dyDescent="0.35">
      <c r="B9" t="s">
        <v>16</v>
      </c>
      <c r="D9" s="18">
        <f>(IS!D14-IS!C14)/IS!C14</f>
        <v>0.20289855072463769</v>
      </c>
      <c r="E9" s="18">
        <f>(IS!E14-IS!D14)/IS!D14</f>
        <v>0.7168674698795181</v>
      </c>
      <c r="F9" s="20">
        <v>0.20300000000000001</v>
      </c>
      <c r="G9" s="20">
        <v>0.20300000000000001</v>
      </c>
      <c r="H9" s="20">
        <v>0.20300000000000001</v>
      </c>
      <c r="I9" s="20">
        <v>0.20300000000000001</v>
      </c>
      <c r="J9" s="20">
        <v>0.20300000000000001</v>
      </c>
    </row>
    <row r="10" spans="1:12" x14ac:dyDescent="0.35">
      <c r="B10" t="s">
        <v>17</v>
      </c>
      <c r="C10">
        <f>IS!C15</f>
        <v>-76</v>
      </c>
      <c r="D10">
        <f>IS!D15</f>
        <v>-3</v>
      </c>
      <c r="E10">
        <f>IS!E15</f>
        <v>-7</v>
      </c>
      <c r="F10" s="23">
        <v>-5</v>
      </c>
      <c r="G10" s="23">
        <v>-5</v>
      </c>
      <c r="H10" s="23">
        <v>-5</v>
      </c>
      <c r="I10" s="23">
        <v>-5</v>
      </c>
      <c r="J10" s="23">
        <v>-5</v>
      </c>
    </row>
    <row r="11" spans="1:12" x14ac:dyDescent="0.35">
      <c r="B11" t="s">
        <v>18</v>
      </c>
      <c r="C11" s="19">
        <v>0.25169999999999998</v>
      </c>
      <c r="D11" s="19">
        <v>0.25169999999999998</v>
      </c>
      <c r="E11" s="19">
        <v>0.25169999999999998</v>
      </c>
      <c r="F11" s="21">
        <v>0.25169999999999998</v>
      </c>
      <c r="G11" s="21">
        <v>0.25169999999999998</v>
      </c>
      <c r="H11" s="21">
        <v>0.25169999999999998</v>
      </c>
      <c r="I11" s="21">
        <v>0.25169999999999998</v>
      </c>
      <c r="J11" s="21">
        <v>0.25169999999999998</v>
      </c>
      <c r="L11" s="15" t="s">
        <v>19</v>
      </c>
    </row>
    <row r="12" spans="1:12" x14ac:dyDescent="0.35">
      <c r="B12" t="s">
        <v>20</v>
      </c>
      <c r="C12" s="19">
        <f>IS!C20/IS!C18</f>
        <v>0.24311294765840222</v>
      </c>
      <c r="D12" s="19">
        <f>IS!D20/IS!D18</f>
        <v>0.26377333033505734</v>
      </c>
      <c r="E12" s="19">
        <f>IS!E20/IS!E18</f>
        <v>0.24378109452736318</v>
      </c>
      <c r="F12" s="21">
        <f>AVERAGE(C12:E12)</f>
        <v>0.25022245750694089</v>
      </c>
      <c r="G12" s="21">
        <v>0.25019999999999998</v>
      </c>
      <c r="H12" s="21">
        <v>0.25019999999999998</v>
      </c>
      <c r="I12" s="21">
        <v>0.25019999999999998</v>
      </c>
      <c r="J12" s="21">
        <v>0.25019999999999998</v>
      </c>
      <c r="L12" s="15"/>
    </row>
    <row r="13" spans="1:12" x14ac:dyDescent="0.35">
      <c r="B13" t="s">
        <v>21</v>
      </c>
      <c r="D13" s="11">
        <f>(IS!D23-IS!C23)/IS!C23</f>
        <v>-0.04</v>
      </c>
      <c r="E13" s="11">
        <f>(IS!E23-IS!D23)/IS!D23</f>
        <v>-1</v>
      </c>
      <c r="F13" s="12">
        <v>0</v>
      </c>
      <c r="G13" s="12">
        <v>0</v>
      </c>
      <c r="H13" s="12">
        <v>0</v>
      </c>
      <c r="I13" s="12">
        <v>0</v>
      </c>
      <c r="J13" s="12">
        <v>0</v>
      </c>
    </row>
    <row r="14" spans="1:12" x14ac:dyDescent="0.35">
      <c r="B14" t="s">
        <v>22</v>
      </c>
      <c r="C14" s="19">
        <f>IS!C29/IS!C24</f>
        <v>0.16336861481822365</v>
      </c>
      <c r="D14" s="19">
        <f>IS!D29/IS!D24</f>
        <v>0.20492307692307693</v>
      </c>
      <c r="E14" s="19">
        <f>IS!E29/IS!E24</f>
        <v>0.25400457665903892</v>
      </c>
      <c r="F14" s="16">
        <v>0.27</v>
      </c>
      <c r="G14" s="16">
        <v>0.28000000000000003</v>
      </c>
      <c r="H14" s="16">
        <v>0.28999999999999998</v>
      </c>
      <c r="I14" s="16">
        <v>0.3</v>
      </c>
      <c r="J14" s="16">
        <v>0.3</v>
      </c>
    </row>
    <row r="15" spans="1:12" x14ac:dyDescent="0.35">
      <c r="B15" t="s">
        <v>23</v>
      </c>
      <c r="C15">
        <f>IS!C32</f>
        <v>88.778616</v>
      </c>
      <c r="D15">
        <f>IS!D32</f>
        <v>88.778616</v>
      </c>
      <c r="E15">
        <f>IS!E32</f>
        <v>88.7395949</v>
      </c>
      <c r="F15" s="23">
        <v>88.8</v>
      </c>
      <c r="G15" s="23">
        <v>88.8</v>
      </c>
      <c r="H15" s="23">
        <v>88.8</v>
      </c>
      <c r="I15" s="23">
        <v>88.8</v>
      </c>
      <c r="J15" s="23">
        <v>88.8</v>
      </c>
    </row>
    <row r="16" spans="1:12" x14ac:dyDescent="0.35">
      <c r="B16" t="s">
        <v>24</v>
      </c>
      <c r="C16">
        <f>IS!C33</f>
        <v>88.778616</v>
      </c>
      <c r="D16">
        <f>IS!D33</f>
        <v>88.778616</v>
      </c>
      <c r="E16">
        <f>IS!E33</f>
        <v>88.765317199999998</v>
      </c>
      <c r="F16" s="9">
        <v>88.8</v>
      </c>
      <c r="G16" s="9">
        <v>88.8</v>
      </c>
      <c r="H16" s="9">
        <v>88.8</v>
      </c>
      <c r="I16" s="9">
        <v>88.8</v>
      </c>
      <c r="J16" s="9">
        <v>88.8</v>
      </c>
    </row>
    <row r="18" spans="1:12" x14ac:dyDescent="0.35">
      <c r="A18" s="8" t="s">
        <v>25</v>
      </c>
      <c r="B18" t="s">
        <v>26</v>
      </c>
      <c r="D18" s="18">
        <f>CF!D9/IS!D3</f>
        <v>2.9032655576093653E-2</v>
      </c>
      <c r="E18" s="18">
        <f>CF!E9/IS!E3</f>
        <v>3.0616239918565501E-2</v>
      </c>
      <c r="F18" s="20">
        <f>CF!F9/IS!F3</f>
        <v>0.11232811619080071</v>
      </c>
      <c r="G18" s="20">
        <f>CF!G9/IS!G3</f>
        <v>0.10643289113496446</v>
      </c>
      <c r="H18" s="20">
        <f>CF!H9/IS!H3</f>
        <v>0.11017655038158509</v>
      </c>
      <c r="I18" s="20">
        <f>CF!I9/IS!I3</f>
        <v>0.11374292919131422</v>
      </c>
      <c r="J18" s="20">
        <f>CF!J9/IS!J3</f>
        <v>0.11709373205690532</v>
      </c>
    </row>
    <row r="19" spans="1:12" x14ac:dyDescent="0.35">
      <c r="B19" t="s">
        <v>27</v>
      </c>
      <c r="C19">
        <f>BS!C4*365/IS!C4</f>
        <v>229.53121389954254</v>
      </c>
      <c r="D19">
        <f>BS!D4*365/IS!D4</f>
        <v>199.41228792620655</v>
      </c>
      <c r="E19">
        <f>BS!E4*365/IS!E4</f>
        <v>176.34446642320958</v>
      </c>
      <c r="F19" s="9">
        <f>E19*(((E19-D19)/D19+0.02))+E19</f>
        <v>159.4719976338973</v>
      </c>
      <c r="G19" s="9">
        <f t="shared" ref="G19:J19" si="4">F19*(((F19-E19)/E19+0.02))+F19</f>
        <v>147.40331036873656</v>
      </c>
      <c r="H19" s="9">
        <f t="shared" si="4"/>
        <v>139.19603594525202</v>
      </c>
      <c r="I19" s="9">
        <f t="shared" si="4"/>
        <v>134.22965537983663</v>
      </c>
      <c r="J19" s="9">
        <f t="shared" si="4"/>
        <v>132.12506359970405</v>
      </c>
      <c r="L19" s="28"/>
    </row>
    <row r="20" spans="1:12" x14ac:dyDescent="0.35">
      <c r="B20" t="s">
        <v>28</v>
      </c>
      <c r="C20">
        <f>BS!C5*365/IS!C4</f>
        <v>9.529365556120327</v>
      </c>
      <c r="D20">
        <f>BS!D5*365/IS!D4</f>
        <v>8.1044309010047773</v>
      </c>
      <c r="E20">
        <f>BS!E5*365/IS!E4</f>
        <v>9.4230574152972206</v>
      </c>
      <c r="F20" s="9">
        <f>AVERAGE(C20:E20)</f>
        <v>9.0189512908074416</v>
      </c>
      <c r="G20" s="9">
        <f>F20</f>
        <v>9.0189512908074416</v>
      </c>
      <c r="H20" s="9">
        <f t="shared" ref="H20:J20" si="5">G20</f>
        <v>9.0189512908074416</v>
      </c>
      <c r="I20" s="9">
        <f t="shared" si="5"/>
        <v>9.0189512908074416</v>
      </c>
      <c r="J20" s="9">
        <f t="shared" si="5"/>
        <v>9.0189512908074416</v>
      </c>
      <c r="L20" s="28"/>
    </row>
    <row r="21" spans="1:12" x14ac:dyDescent="0.35">
      <c r="B21" t="s">
        <v>29</v>
      </c>
      <c r="C21">
        <f>BS!C6</f>
        <v>423</v>
      </c>
      <c r="D21">
        <f>BS!D6</f>
        <v>135</v>
      </c>
      <c r="E21">
        <f>BS!E6</f>
        <v>281</v>
      </c>
      <c r="F21" s="9">
        <f>AVERAGE(C21:E21)</f>
        <v>279.66666666666669</v>
      </c>
      <c r="G21" s="9">
        <v>279.7</v>
      </c>
      <c r="H21" s="9">
        <v>279.7</v>
      </c>
      <c r="I21" s="9">
        <v>279.7</v>
      </c>
      <c r="J21" s="9">
        <v>279.7</v>
      </c>
    </row>
    <row r="22" spans="1:12" x14ac:dyDescent="0.35">
      <c r="B22" t="s">
        <v>30</v>
      </c>
      <c r="C22">
        <f>BS!C7</f>
        <v>0</v>
      </c>
      <c r="D22">
        <f>BS!D7</f>
        <v>18</v>
      </c>
      <c r="E22">
        <f>BS!E7</f>
        <v>18</v>
      </c>
      <c r="F22" s="9">
        <f>MIN(C22:E22)</f>
        <v>0</v>
      </c>
      <c r="G22" s="9">
        <f t="shared" ref="G22:J22" si="6">MIN(D22:F22)</f>
        <v>0</v>
      </c>
      <c r="H22" s="9">
        <f t="shared" si="6"/>
        <v>0</v>
      </c>
      <c r="I22" s="9">
        <f t="shared" si="6"/>
        <v>0</v>
      </c>
      <c r="J22" s="9">
        <f t="shared" si="6"/>
        <v>0</v>
      </c>
    </row>
    <row r="23" spans="1:12" x14ac:dyDescent="0.35">
      <c r="B23" t="s">
        <v>31</v>
      </c>
      <c r="C23" s="18">
        <f>BS!C8/IS!C3</f>
        <v>3.3959512483072329E-2</v>
      </c>
      <c r="D23" s="18">
        <f>BS!D8/IS!D3</f>
        <v>3.1743684534812078E-2</v>
      </c>
      <c r="E23" s="18">
        <f>BS!E8/IS!E3</f>
        <v>3.3689609271004617E-2</v>
      </c>
      <c r="F23" s="27">
        <f>AVERAGE(C23:E23)</f>
        <v>3.3130935429629672E-2</v>
      </c>
      <c r="G23" s="27">
        <f>F23</f>
        <v>3.3130935429629672E-2</v>
      </c>
      <c r="H23" s="27">
        <f>F23</f>
        <v>3.3130935429629672E-2</v>
      </c>
      <c r="I23" s="27">
        <f>F23</f>
        <v>3.3130935429629672E-2</v>
      </c>
      <c r="J23" s="27">
        <f>F23</f>
        <v>3.3130935429629672E-2</v>
      </c>
    </row>
    <row r="24" spans="1:12" x14ac:dyDescent="0.35">
      <c r="B24" s="6"/>
    </row>
    <row r="25" spans="1:12" x14ac:dyDescent="0.35">
      <c r="A25" s="8" t="s">
        <v>32</v>
      </c>
      <c r="B25" t="s">
        <v>33</v>
      </c>
      <c r="D25" s="18">
        <f>Calc!D5/IS!D3</f>
        <v>1.5526802218114602E-2</v>
      </c>
      <c r="E25" s="18">
        <f>Calc!E5/IS!E3</f>
        <v>1.8264035705896169E-2</v>
      </c>
      <c r="F25" s="27">
        <f>E25+(E25-D25)/2</f>
        <v>1.9632652449786951E-2</v>
      </c>
      <c r="G25" s="27">
        <f>AVERAGE(D25:F25)</f>
        <v>1.7807830124599241E-2</v>
      </c>
      <c r="H25" s="27">
        <f>G25</f>
        <v>1.7807830124599241E-2</v>
      </c>
      <c r="I25" s="27">
        <f t="shared" ref="I25:J25" si="7">H25</f>
        <v>1.7807830124599241E-2</v>
      </c>
      <c r="J25" s="27">
        <f t="shared" si="7"/>
        <v>1.7807830124599241E-2</v>
      </c>
    </row>
    <row r="26" spans="1:12" x14ac:dyDescent="0.35">
      <c r="A26" s="8"/>
      <c r="B26" t="s">
        <v>34</v>
      </c>
      <c r="C26" s="18">
        <f>BS!C12/IS!C3</f>
        <v>3.3785895343588321E-2</v>
      </c>
      <c r="D26" s="18">
        <f>BS!D12/IS!D3</f>
        <v>3.1669747381392485E-2</v>
      </c>
      <c r="E26" s="18">
        <f>BS!E12/IS!E3</f>
        <v>3.0205152298175553E-2</v>
      </c>
      <c r="F26" s="20">
        <f>1739.62449/IS!F3</f>
        <v>2.8378495712943388E-2</v>
      </c>
      <c r="G26" s="20">
        <f>1809.8879231511/IS!G3</f>
        <v>2.5020934876939981E-2</v>
      </c>
      <c r="H26" s="20">
        <f>1880.45545327476/IS!H3</f>
        <v>2.2410776834303318E-2</v>
      </c>
      <c r="I26" s="20">
        <f>1952.11961059906/IS!I3</f>
        <v>2.0407764508297017E-2</v>
      </c>
      <c r="J26" s="20">
        <f>2022.12261983514/IS!J3</f>
        <v>1.8874631199611181E-2</v>
      </c>
      <c r="L26" s="17"/>
    </row>
    <row r="27" spans="1:12" x14ac:dyDescent="0.35">
      <c r="B27" t="s">
        <v>35</v>
      </c>
      <c r="C27">
        <f>BS!C13</f>
        <v>701</v>
      </c>
      <c r="D27">
        <f>BS!D13</f>
        <v>998</v>
      </c>
      <c r="E27">
        <f>BS!E13</f>
        <v>1536</v>
      </c>
      <c r="F27" s="9">
        <f>AVERAGE(C27:E27)</f>
        <v>1078.3333333333333</v>
      </c>
      <c r="G27" s="9">
        <f>F27*1.05</f>
        <v>1132.25</v>
      </c>
      <c r="H27" s="9">
        <f t="shared" ref="H27:J27" si="8">G27*1.05</f>
        <v>1188.8625</v>
      </c>
      <c r="I27" s="9">
        <f t="shared" si="8"/>
        <v>1248.305625</v>
      </c>
      <c r="J27" s="9">
        <f t="shared" si="8"/>
        <v>1310.7209062500001</v>
      </c>
    </row>
    <row r="28" spans="1:12" x14ac:dyDescent="0.35">
      <c r="B28" t="s">
        <v>36</v>
      </c>
      <c r="C28">
        <f>BS!C14</f>
        <v>123</v>
      </c>
      <c r="D28">
        <f>BS!D14</f>
        <v>123</v>
      </c>
      <c r="E28">
        <f>BS!E14</f>
        <v>123</v>
      </c>
      <c r="F28" s="9">
        <f>E28</f>
        <v>123</v>
      </c>
      <c r="G28" s="9">
        <f t="shared" ref="G28:J28" si="9">F28</f>
        <v>123</v>
      </c>
      <c r="H28" s="9">
        <f t="shared" si="9"/>
        <v>123</v>
      </c>
      <c r="I28" s="9">
        <f t="shared" si="9"/>
        <v>123</v>
      </c>
      <c r="J28" s="9">
        <f t="shared" si="9"/>
        <v>123</v>
      </c>
    </row>
    <row r="29" spans="1:12" x14ac:dyDescent="0.35">
      <c r="B29" s="24" t="s">
        <v>37</v>
      </c>
      <c r="C29">
        <f>BS!C15</f>
        <v>245</v>
      </c>
      <c r="D29">
        <f>BS!D15</f>
        <v>257</v>
      </c>
      <c r="E29">
        <f>BS!E15</f>
        <v>314</v>
      </c>
      <c r="F29" s="9">
        <f>AVERAGE(C29:E29)</f>
        <v>272</v>
      </c>
      <c r="G29" s="9">
        <f>F29</f>
        <v>272</v>
      </c>
      <c r="H29" s="9">
        <f t="shared" ref="H29:J29" si="10">G29</f>
        <v>272</v>
      </c>
      <c r="I29" s="9">
        <f t="shared" si="10"/>
        <v>272</v>
      </c>
      <c r="J29" s="9">
        <f t="shared" si="10"/>
        <v>272</v>
      </c>
    </row>
    <row r="30" spans="1:12" x14ac:dyDescent="0.35">
      <c r="B30" t="s">
        <v>38</v>
      </c>
      <c r="C30">
        <f>BS!C16</f>
        <v>3</v>
      </c>
      <c r="D30">
        <f>BS!D16</f>
        <v>3</v>
      </c>
      <c r="E30">
        <f>BS!E16</f>
        <v>4</v>
      </c>
      <c r="F30" s="9">
        <f>AVERAGE(C30:E30)</f>
        <v>3.3333333333333335</v>
      </c>
      <c r="G30" s="9">
        <f>F30</f>
        <v>3.3333333333333335</v>
      </c>
      <c r="H30" s="9">
        <f t="shared" ref="H30:J30" si="11">G30</f>
        <v>3.3333333333333335</v>
      </c>
      <c r="I30" s="9">
        <f t="shared" si="11"/>
        <v>3.3333333333333335</v>
      </c>
      <c r="J30" s="9">
        <f t="shared" si="11"/>
        <v>3.3333333333333335</v>
      </c>
    </row>
    <row r="31" spans="1:12" x14ac:dyDescent="0.35">
      <c r="B31" s="24" t="s">
        <v>39</v>
      </c>
      <c r="C31">
        <f>BS!C18</f>
        <v>187</v>
      </c>
      <c r="D31">
        <f>BS!D18</f>
        <v>158</v>
      </c>
      <c r="E31">
        <f>BS!E18</f>
        <v>187</v>
      </c>
      <c r="F31" s="9">
        <f>AVERAGE(C31:E31)</f>
        <v>177.33333333333334</v>
      </c>
      <c r="G31" s="9">
        <f>F31</f>
        <v>177.33333333333334</v>
      </c>
      <c r="H31" s="9">
        <f t="shared" ref="H31:J32" si="12">G31</f>
        <v>177.33333333333334</v>
      </c>
      <c r="I31" s="9">
        <f t="shared" si="12"/>
        <v>177.33333333333334</v>
      </c>
      <c r="J31" s="9">
        <f t="shared" si="12"/>
        <v>177.33333333333334</v>
      </c>
    </row>
    <row r="32" spans="1:12" x14ac:dyDescent="0.35">
      <c r="B32" s="24" t="s">
        <v>40</v>
      </c>
      <c r="C32">
        <f>BS!C19</f>
        <v>137</v>
      </c>
      <c r="D32">
        <f>BS!D19</f>
        <v>151</v>
      </c>
      <c r="E32">
        <f>BS!E19</f>
        <v>213</v>
      </c>
      <c r="F32" s="9">
        <f>AVERAGE(C32:E32)</f>
        <v>167</v>
      </c>
      <c r="G32" s="9">
        <f>F32</f>
        <v>167</v>
      </c>
      <c r="H32" s="9">
        <f t="shared" si="12"/>
        <v>167</v>
      </c>
      <c r="I32" s="9">
        <f t="shared" si="12"/>
        <v>167</v>
      </c>
      <c r="J32" s="9">
        <f t="shared" si="12"/>
        <v>167</v>
      </c>
    </row>
    <row r="33" spans="1:10" x14ac:dyDescent="0.35">
      <c r="B33" t="s">
        <v>41</v>
      </c>
      <c r="C33" s="18">
        <f>BS!C17/IS!C3</f>
        <v>2.9167679433313655E-3</v>
      </c>
      <c r="D33" s="18">
        <f>BS!D17/IS!D3</f>
        <v>4.0665434380776338E-3</v>
      </c>
      <c r="E33" s="18">
        <f>BS!E17/IS!E3</f>
        <v>3.8563933912771123E-3</v>
      </c>
      <c r="F33" s="27">
        <f>AVERAGE(C33:E33)</f>
        <v>3.6132349242287039E-3</v>
      </c>
      <c r="G33" s="27">
        <f>F33</f>
        <v>3.6132349242287039E-3</v>
      </c>
      <c r="H33" s="27">
        <f t="shared" ref="H33:J33" si="13">G33</f>
        <v>3.6132349242287039E-3</v>
      </c>
      <c r="I33" s="27">
        <f t="shared" si="13"/>
        <v>3.6132349242287039E-3</v>
      </c>
      <c r="J33" s="27">
        <f t="shared" si="13"/>
        <v>3.6132349242287039E-3</v>
      </c>
    </row>
    <row r="34" spans="1:10" x14ac:dyDescent="0.35">
      <c r="B34" s="6"/>
    </row>
    <row r="35" spans="1:10" x14ac:dyDescent="0.35">
      <c r="A35" s="8" t="s">
        <v>42</v>
      </c>
      <c r="B35" s="24" t="s">
        <v>43</v>
      </c>
      <c r="C35">
        <f>BS!C22</f>
        <v>737</v>
      </c>
      <c r="D35">
        <f>BS!D22</f>
        <v>2461</v>
      </c>
      <c r="E35">
        <f>BS!E22</f>
        <v>4853</v>
      </c>
      <c r="F35" s="9">
        <f>Debt!F14</f>
        <v>0</v>
      </c>
      <c r="G35" s="9">
        <f>Debt!G14</f>
        <v>0</v>
      </c>
      <c r="H35" s="9">
        <f>Debt!H14</f>
        <v>0</v>
      </c>
      <c r="I35" s="9">
        <f>Debt!I14</f>
        <v>0</v>
      </c>
      <c r="J35" s="9">
        <f>Debt!J14</f>
        <v>0</v>
      </c>
    </row>
    <row r="36" spans="1:10" x14ac:dyDescent="0.35">
      <c r="A36" s="8"/>
      <c r="B36" s="24" t="s">
        <v>44</v>
      </c>
      <c r="C36">
        <f>BS!C23</f>
        <v>440</v>
      </c>
      <c r="D36">
        <f>BS!D23</f>
        <v>568</v>
      </c>
      <c r="E36">
        <f>BS!E23</f>
        <v>671</v>
      </c>
      <c r="F36" s="9">
        <f t="shared" ref="F36:F41" si="14">AVERAGE(C36:E36)</f>
        <v>559.66666666666663</v>
      </c>
      <c r="G36" s="9">
        <f>F36</f>
        <v>559.66666666666663</v>
      </c>
      <c r="H36" s="9">
        <f t="shared" ref="H36:J36" si="15">G36</f>
        <v>559.66666666666663</v>
      </c>
      <c r="I36" s="9">
        <f t="shared" si="15"/>
        <v>559.66666666666663</v>
      </c>
      <c r="J36" s="9">
        <f t="shared" si="15"/>
        <v>559.66666666666663</v>
      </c>
    </row>
    <row r="37" spans="1:10" x14ac:dyDescent="0.35">
      <c r="B37" t="s">
        <v>45</v>
      </c>
      <c r="C37">
        <f>BS!C24*365/IS!C4</f>
        <v>21.824777043574695</v>
      </c>
      <c r="D37">
        <f>BS!D24*365/IS!D4</f>
        <v>14.597595124361719</v>
      </c>
      <c r="E37">
        <f>BS!E24*365/IS!E4</f>
        <v>13.051582471089471</v>
      </c>
      <c r="F37" s="9">
        <f>AVERAGE(C37:E37)</f>
        <v>16.491318213008629</v>
      </c>
      <c r="G37" s="9">
        <f>F37</f>
        <v>16.491318213008629</v>
      </c>
      <c r="H37" s="9">
        <f t="shared" ref="H37:J37" si="16">G37</f>
        <v>16.491318213008629</v>
      </c>
      <c r="I37" s="9">
        <f t="shared" si="16"/>
        <v>16.491318213008629</v>
      </c>
      <c r="J37" s="9">
        <f t="shared" si="16"/>
        <v>16.491318213008629</v>
      </c>
    </row>
    <row r="38" spans="1:10" x14ac:dyDescent="0.35">
      <c r="A38" s="8"/>
      <c r="B38" t="s">
        <v>46</v>
      </c>
      <c r="C38" s="18">
        <f>BS!C25/IS!C3</f>
        <v>0.18743706378693706</v>
      </c>
      <c r="D38" s="18">
        <f>BS!D25/IS!D3</f>
        <v>0.13059765865680839</v>
      </c>
      <c r="E38" s="18">
        <f>BS!E25/IS!E3</f>
        <v>0.10455328478584293</v>
      </c>
      <c r="F38" s="27">
        <f>E38</f>
        <v>0.10455328478584293</v>
      </c>
      <c r="G38" s="27">
        <f>F38</f>
        <v>0.10455328478584293</v>
      </c>
      <c r="H38" s="27">
        <f t="shared" ref="H38:J38" si="17">G38</f>
        <v>0.10455328478584293</v>
      </c>
      <c r="I38" s="27">
        <f t="shared" si="17"/>
        <v>0.10455328478584293</v>
      </c>
      <c r="J38" s="27">
        <f t="shared" si="17"/>
        <v>0.10455328478584293</v>
      </c>
    </row>
    <row r="39" spans="1:10" x14ac:dyDescent="0.35">
      <c r="A39" s="8"/>
      <c r="B39" t="s">
        <v>47</v>
      </c>
      <c r="C39" s="26">
        <f>BS!C26</f>
        <v>38</v>
      </c>
      <c r="D39" s="26">
        <f>BS!D26</f>
        <v>132</v>
      </c>
      <c r="E39" s="26">
        <f>BS!E26</f>
        <v>100</v>
      </c>
      <c r="F39" s="9">
        <f>AVERAGE(C39:E39)</f>
        <v>90</v>
      </c>
      <c r="G39" s="9">
        <v>90</v>
      </c>
      <c r="H39" s="9">
        <v>90</v>
      </c>
      <c r="I39" s="9">
        <v>90</v>
      </c>
      <c r="J39" s="9">
        <v>90</v>
      </c>
    </row>
    <row r="40" spans="1:10" x14ac:dyDescent="0.35">
      <c r="A40" s="8"/>
      <c r="B40" t="s">
        <v>48</v>
      </c>
      <c r="C40" s="26">
        <f>BS!C27</f>
        <v>82</v>
      </c>
      <c r="D40" s="26">
        <f>BS!D27</f>
        <v>73</v>
      </c>
      <c r="E40" s="26">
        <f>BS!E27</f>
        <v>62</v>
      </c>
      <c r="F40" s="9">
        <f t="shared" si="14"/>
        <v>72.333333333333329</v>
      </c>
      <c r="G40" s="9">
        <v>72.3</v>
      </c>
      <c r="H40" s="9">
        <v>72.3</v>
      </c>
      <c r="I40" s="9">
        <v>72.3</v>
      </c>
      <c r="J40" s="9">
        <v>72.3</v>
      </c>
    </row>
    <row r="41" spans="1:10" x14ac:dyDescent="0.35">
      <c r="B41" t="s">
        <v>49</v>
      </c>
      <c r="C41" s="18">
        <f>BS!C28/IS!C3</f>
        <v>8.7607208583631371E-2</v>
      </c>
      <c r="D41" s="18">
        <f>BS!D28/IS!D3</f>
        <v>8.6678989525569933E-2</v>
      </c>
      <c r="E41" s="18">
        <f>BS!E28/IS!E3</f>
        <v>8.0103359173126609E-2</v>
      </c>
      <c r="F41" s="27">
        <f t="shared" si="14"/>
        <v>8.4796519094109304E-2</v>
      </c>
      <c r="G41" s="27">
        <v>8.48E-2</v>
      </c>
      <c r="H41" s="27">
        <v>8.48E-2</v>
      </c>
      <c r="I41" s="27">
        <v>8.48E-2</v>
      </c>
      <c r="J41" s="27">
        <v>8.48E-2</v>
      </c>
    </row>
    <row r="42" spans="1:10" x14ac:dyDescent="0.35">
      <c r="B42" s="6"/>
    </row>
    <row r="43" spans="1:10" x14ac:dyDescent="0.35">
      <c r="A43" s="6" t="s">
        <v>50</v>
      </c>
      <c r="B43" t="s">
        <v>51</v>
      </c>
      <c r="C43">
        <f>BS!C31</f>
        <v>1144</v>
      </c>
      <c r="D43">
        <f>BS!D31</f>
        <v>1611</v>
      </c>
      <c r="E43">
        <f>BS!E31</f>
        <v>5342</v>
      </c>
      <c r="F43" s="9">
        <f>Debt!F19</f>
        <v>5342</v>
      </c>
      <c r="G43" s="9">
        <f>Debt!G19</f>
        <v>5342</v>
      </c>
      <c r="H43" s="9">
        <f>Debt!H19</f>
        <v>5342</v>
      </c>
      <c r="I43" s="9">
        <f>Debt!I19</f>
        <v>5342</v>
      </c>
      <c r="J43" s="9">
        <f>Debt!J19</f>
        <v>5342</v>
      </c>
    </row>
    <row r="44" spans="1:10" x14ac:dyDescent="0.35">
      <c r="A44" s="6"/>
      <c r="B44" t="s">
        <v>52</v>
      </c>
      <c r="C44" s="19">
        <f>BS!C32/IS!C3</f>
        <v>6.8752387235667903E-3</v>
      </c>
      <c r="D44" s="19">
        <f>BS!D32/IS!D3</f>
        <v>5.9149722735674674E-3</v>
      </c>
      <c r="E44" s="19">
        <f>BS!E32/IS!E3</f>
        <v>5.3637146660402476E-3</v>
      </c>
      <c r="F44" s="21">
        <f>AVERAGE(C44:E44)</f>
        <v>6.0513085543915006E-3</v>
      </c>
      <c r="G44" s="27">
        <v>6.1000000000000004E-3</v>
      </c>
      <c r="H44" s="27">
        <v>6.1000000000000004E-3</v>
      </c>
      <c r="I44" s="27">
        <v>6.1000000000000004E-3</v>
      </c>
      <c r="J44" s="27">
        <v>6.1000000000000004E-3</v>
      </c>
    </row>
    <row r="45" spans="1:10" x14ac:dyDescent="0.35">
      <c r="A45" s="6"/>
      <c r="B45" t="s">
        <v>53</v>
      </c>
      <c r="C45" s="26">
        <f>BS!C33</f>
        <v>6</v>
      </c>
      <c r="D45" s="26">
        <f>BS!D33</f>
        <v>3</v>
      </c>
      <c r="E45" s="26">
        <f>BS!E33</f>
        <v>3</v>
      </c>
      <c r="F45" s="9">
        <v>3</v>
      </c>
      <c r="G45" s="9">
        <v>3</v>
      </c>
      <c r="H45" s="9">
        <v>3</v>
      </c>
      <c r="I45" s="9">
        <v>3</v>
      </c>
      <c r="J45" s="9">
        <v>3</v>
      </c>
    </row>
    <row r="46" spans="1:10" x14ac:dyDescent="0.35">
      <c r="B46" t="s">
        <v>54</v>
      </c>
      <c r="C46" s="25">
        <f>BS!C34/IS!C3</f>
        <v>3.4723427896801975E-5</v>
      </c>
      <c r="D46" s="25">
        <f>BS!D34/IS!D3</f>
        <v>2.4645717806531115E-5</v>
      </c>
      <c r="E46" s="25">
        <f>BS!E34/IS!E3</f>
        <v>1.7618040873854828E-4</v>
      </c>
      <c r="F46" s="27">
        <f>AVERAGE(C46:E46)</f>
        <v>7.8516518147293794E-5</v>
      </c>
      <c r="G46" s="27">
        <v>1E-4</v>
      </c>
      <c r="H46" s="27">
        <v>1E-4</v>
      </c>
      <c r="I46" s="27">
        <v>1E-4</v>
      </c>
      <c r="J46" s="27">
        <v>1E-4</v>
      </c>
    </row>
    <row r="47" spans="1:10" x14ac:dyDescent="0.35">
      <c r="B47" t="s">
        <v>55</v>
      </c>
      <c r="D47" s="11"/>
      <c r="E47" s="43">
        <f>BS!E31-BS!D31</f>
        <v>3731</v>
      </c>
      <c r="F47" s="9">
        <v>0</v>
      </c>
      <c r="G47" s="9">
        <v>0</v>
      </c>
      <c r="H47" s="9">
        <v>0</v>
      </c>
      <c r="I47" s="9">
        <v>0</v>
      </c>
      <c r="J47" s="9">
        <v>0</v>
      </c>
    </row>
    <row r="48" spans="1:10" x14ac:dyDescent="0.35">
      <c r="A48" s="8" t="s">
        <v>56</v>
      </c>
      <c r="B48" t="s">
        <v>57</v>
      </c>
      <c r="F48" s="27">
        <v>0.04</v>
      </c>
      <c r="G48" s="27">
        <v>0.04</v>
      </c>
      <c r="H48" s="27">
        <v>0.04</v>
      </c>
      <c r="I48" s="27">
        <v>0.04</v>
      </c>
      <c r="J48" s="27">
        <v>0.04</v>
      </c>
    </row>
    <row r="49" spans="2:10" x14ac:dyDescent="0.35">
      <c r="B49" t="s">
        <v>58</v>
      </c>
      <c r="F49" s="27">
        <v>4.4999999999999998E-2</v>
      </c>
      <c r="G49" s="27">
        <v>4.4999999999999998E-2</v>
      </c>
      <c r="H49" s="27">
        <v>4.4999999999999998E-2</v>
      </c>
      <c r="I49" s="27">
        <v>4.4999999999999998E-2</v>
      </c>
      <c r="J49" s="27">
        <v>4.4999999999999998E-2</v>
      </c>
    </row>
    <row r="50" spans="2:10" x14ac:dyDescent="0.35">
      <c r="B50" t="s">
        <v>59</v>
      </c>
      <c r="F50" s="27">
        <v>3.5000000000000003E-2</v>
      </c>
      <c r="G50" s="27">
        <v>3.5000000000000003E-2</v>
      </c>
      <c r="H50" s="27">
        <v>3.5000000000000003E-2</v>
      </c>
      <c r="I50" s="27">
        <v>3.5000000000000003E-2</v>
      </c>
      <c r="J50" s="27">
        <v>3.5000000000000003E-2</v>
      </c>
    </row>
    <row r="52" spans="2:10" x14ac:dyDescent="0.35">
      <c r="C52" t="s">
        <v>60</v>
      </c>
    </row>
    <row r="933" spans="39:43" x14ac:dyDescent="0.35">
      <c r="AM933" s="17">
        <v>1.1274299999999999</v>
      </c>
      <c r="AN933">
        <v>1.0403899999999999</v>
      </c>
      <c r="AO933">
        <f>AN933-0.0014</f>
        <v>1.0389899999999999</v>
      </c>
      <c r="AP933">
        <f>AO933-0.00088</f>
        <v>1.0381099999999999</v>
      </c>
      <c r="AQ933">
        <f>AP933-0.00225</f>
        <v>1.0358599999999998</v>
      </c>
    </row>
  </sheetData>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D3331-9531-4EE1-9A62-7D79F8576F26}">
  <dimension ref="A1:J32"/>
  <sheetViews>
    <sheetView zoomScale="60" zoomScaleNormal="85" workbookViewId="0">
      <pane xSplit="2" ySplit="2" topLeftCell="C3" activePane="bottomRight" state="frozen"/>
      <selection activeCell="F51" sqref="F51"/>
      <selection pane="topRight" activeCell="F51" sqref="F51"/>
      <selection pane="bottomLeft" activeCell="F51" sqref="F51"/>
      <selection pane="bottomRight" activeCell="F51" sqref="F51"/>
    </sheetView>
  </sheetViews>
  <sheetFormatPr defaultRowHeight="14.5" x14ac:dyDescent="0.35"/>
  <cols>
    <col min="1" max="1" width="2.58203125" customWidth="1"/>
    <col min="2" max="2" width="44.08203125" customWidth="1"/>
    <col min="3" max="3" width="10.58203125" customWidth="1"/>
    <col min="4" max="4" width="11.5" customWidth="1"/>
    <col min="5" max="5" width="9" bestFit="1" customWidth="1"/>
    <col min="6" max="6" width="11.33203125" customWidth="1"/>
    <col min="7" max="7" width="10.58203125" customWidth="1"/>
    <col min="8" max="8" width="10.5" customWidth="1"/>
    <col min="9" max="9" width="9" bestFit="1" customWidth="1"/>
    <col min="10" max="10" width="11.33203125" customWidth="1"/>
  </cols>
  <sheetData>
    <row r="1" spans="1:10" s="45" customFormat="1" ht="18.5" x14ac:dyDescent="0.45">
      <c r="A1" s="44" t="s">
        <v>0</v>
      </c>
      <c r="C1" s="46" t="s">
        <v>1</v>
      </c>
      <c r="D1" s="46" t="s">
        <v>1</v>
      </c>
      <c r="E1" s="46" t="s">
        <v>1</v>
      </c>
      <c r="F1" s="46" t="s">
        <v>2</v>
      </c>
      <c r="G1" s="46" t="s">
        <v>2</v>
      </c>
      <c r="H1" s="46" t="s">
        <v>2</v>
      </c>
      <c r="I1" s="46" t="s">
        <v>2</v>
      </c>
      <c r="J1" s="46" t="s">
        <v>2</v>
      </c>
    </row>
    <row r="2" spans="1:10" s="45" customFormat="1" x14ac:dyDescent="0.35">
      <c r="A2" s="47" t="s">
        <v>3</v>
      </c>
      <c r="C2" s="48">
        <f>DATE(YEAR(D2)-1,MONTH(D2),DAY(D2))</f>
        <v>44651</v>
      </c>
      <c r="D2" s="48">
        <f>DATE(YEAR(E2)-1,MONTH(E2),DAY(E2))</f>
        <v>45016</v>
      </c>
      <c r="E2" s="48">
        <v>45382</v>
      </c>
      <c r="F2" s="48">
        <f>DATE(YEAR(E2)+1,MONTH(E2),DAY(E2))</f>
        <v>45747</v>
      </c>
      <c r="G2" s="48">
        <f t="shared" ref="G2:J2" si="0">DATE(YEAR(F2)+1,MONTH(F2),DAY(F2))</f>
        <v>46112</v>
      </c>
      <c r="H2" s="48">
        <f t="shared" si="0"/>
        <v>46477</v>
      </c>
      <c r="I2" s="48">
        <f t="shared" si="0"/>
        <v>46843</v>
      </c>
      <c r="J2" s="48">
        <f t="shared" si="0"/>
        <v>47208</v>
      </c>
    </row>
    <row r="3" spans="1:10" x14ac:dyDescent="0.35">
      <c r="B3" s="30" t="s">
        <v>61</v>
      </c>
      <c r="D3">
        <f>CF!D9</f>
        <v>1178</v>
      </c>
      <c r="E3">
        <f>CF!E9</f>
        <v>1564</v>
      </c>
      <c r="F3">
        <f>CF!F9</f>
        <v>6885.8033849890362</v>
      </c>
      <c r="G3">
        <f>CF!G9</f>
        <v>7698.8172200057488</v>
      </c>
      <c r="H3">
        <f>CF!H9</f>
        <v>9244.7529382795565</v>
      </c>
      <c r="I3">
        <f>CF!I9</f>
        <v>10880.162917945856</v>
      </c>
      <c r="J3">
        <f>CF!J9</f>
        <v>12544.768781392717</v>
      </c>
    </row>
    <row r="4" spans="1:10" x14ac:dyDescent="0.35">
      <c r="B4" s="30" t="s">
        <v>62</v>
      </c>
      <c r="D4">
        <f>CF!D14</f>
        <v>-945</v>
      </c>
      <c r="E4">
        <f>CF!E14</f>
        <v>-1472</v>
      </c>
      <c r="F4">
        <f>CF!F14</f>
        <v>-727.16396796056642</v>
      </c>
      <c r="G4">
        <f>CF!G14</f>
        <v>-1342.0450614910656</v>
      </c>
      <c r="H4">
        <f>CF!H14</f>
        <v>-1550.8414379963026</v>
      </c>
      <c r="I4">
        <f>CF!I14</f>
        <v>-1762.8641143157854</v>
      </c>
      <c r="J4">
        <f>CF!J14</f>
        <v>-1970.2467892836801</v>
      </c>
    </row>
    <row r="5" spans="1:10" x14ac:dyDescent="0.35">
      <c r="B5" s="30" t="s">
        <v>63</v>
      </c>
      <c r="D5">
        <f>-Calc!D21</f>
        <v>-666</v>
      </c>
      <c r="E5">
        <f>-Calc!E21</f>
        <v>-888</v>
      </c>
      <c r="F5">
        <f>-Calc!F21</f>
        <v>-1462.1275941625643</v>
      </c>
      <c r="G5">
        <f>-Calc!G21</f>
        <v>-1889.4858694697291</v>
      </c>
      <c r="H5">
        <f>-Calc!H21</f>
        <v>-2407.5459708926969</v>
      </c>
      <c r="I5">
        <f>-Calc!I21</f>
        <v>-3000.9805306306107</v>
      </c>
      <c r="J5">
        <f>-Calc!J21</f>
        <v>-3543.4236427253704</v>
      </c>
    </row>
    <row r="6" spans="1:10" x14ac:dyDescent="0.35">
      <c r="B6" s="31" t="s">
        <v>64</v>
      </c>
      <c r="D6" s="6">
        <f t="shared" ref="D6:J6" si="1">SUM(D3:D5)</f>
        <v>-433</v>
      </c>
      <c r="E6" s="6">
        <f t="shared" si="1"/>
        <v>-796</v>
      </c>
      <c r="F6" s="6">
        <f t="shared" si="1"/>
        <v>4696.5118228659048</v>
      </c>
      <c r="G6" s="6">
        <f t="shared" si="1"/>
        <v>4467.2862890449542</v>
      </c>
      <c r="H6" s="6">
        <f t="shared" si="1"/>
        <v>5286.3655293905576</v>
      </c>
      <c r="I6" s="6">
        <f t="shared" si="1"/>
        <v>6116.3182729994596</v>
      </c>
      <c r="J6" s="6">
        <f t="shared" si="1"/>
        <v>7031.0983493836666</v>
      </c>
    </row>
    <row r="7" spans="1:10" x14ac:dyDescent="0.35">
      <c r="B7" s="30"/>
    </row>
    <row r="8" spans="1:10" x14ac:dyDescent="0.35">
      <c r="B8" s="30" t="s">
        <v>65</v>
      </c>
      <c r="F8">
        <f>BS!E3</f>
        <v>3519</v>
      </c>
      <c r="G8">
        <f>BS!F3</f>
        <v>3251.1784895325718</v>
      </c>
      <c r="H8">
        <f>BS!G3</f>
        <v>7718.464778577526</v>
      </c>
      <c r="I8">
        <f>BS!H3</f>
        <v>13004.830307968085</v>
      </c>
      <c r="J8">
        <f>BS!I3</f>
        <v>19121.148580967543</v>
      </c>
    </row>
    <row r="9" spans="1:10" x14ac:dyDescent="0.35">
      <c r="B9" s="32" t="s">
        <v>66</v>
      </c>
      <c r="F9" s="6">
        <f>F6+F8</f>
        <v>8215.5118228659048</v>
      </c>
      <c r="G9" s="6">
        <f>G6+G8</f>
        <v>7718.464778577526</v>
      </c>
      <c r="H9" s="6">
        <f>H6+H8</f>
        <v>13004.830307968085</v>
      </c>
      <c r="I9" s="6">
        <f>I6+I8</f>
        <v>19121.148580967543</v>
      </c>
      <c r="J9" s="6">
        <f>J6+J8</f>
        <v>26152.246930351212</v>
      </c>
    </row>
    <row r="10" spans="1:10" x14ac:dyDescent="0.35">
      <c r="B10" s="6"/>
    </row>
    <row r="11" spans="1:10" x14ac:dyDescent="0.35">
      <c r="A11" s="6" t="s">
        <v>67</v>
      </c>
      <c r="B11" s="30"/>
    </row>
    <row r="12" spans="1:10" x14ac:dyDescent="0.35">
      <c r="B12" s="30" t="s">
        <v>68</v>
      </c>
      <c r="F12">
        <f>E14</f>
        <v>4853</v>
      </c>
      <c r="G12">
        <f>F14</f>
        <v>0</v>
      </c>
      <c r="H12">
        <f>G14</f>
        <v>0</v>
      </c>
      <c r="I12">
        <f>H14</f>
        <v>0</v>
      </c>
      <c r="J12">
        <f>I14</f>
        <v>0</v>
      </c>
    </row>
    <row r="13" spans="1:10" x14ac:dyDescent="0.35">
      <c r="B13" s="30" t="s">
        <v>69</v>
      </c>
      <c r="F13">
        <f>-MIN(F12,F9)</f>
        <v>-4853</v>
      </c>
      <c r="G13">
        <f>-MIN(G12,G9)</f>
        <v>0</v>
      </c>
      <c r="H13">
        <f>-MIN(H12,H9)</f>
        <v>0</v>
      </c>
      <c r="I13">
        <f>-MIN(I12,I9)</f>
        <v>0</v>
      </c>
      <c r="J13">
        <f>-MIN(J12,J9)</f>
        <v>0</v>
      </c>
    </row>
    <row r="14" spans="1:10" x14ac:dyDescent="0.35">
      <c r="B14" s="30" t="s">
        <v>70</v>
      </c>
      <c r="E14" s="6">
        <f>BS!E22</f>
        <v>4853</v>
      </c>
      <c r="F14" s="6">
        <f>SUM(F12:F13)</f>
        <v>0</v>
      </c>
      <c r="G14" s="6">
        <f>SUM(G12:G13)</f>
        <v>0</v>
      </c>
      <c r="H14" s="6">
        <f>SUM(H12:H13)</f>
        <v>0</v>
      </c>
      <c r="I14" s="6">
        <f>SUM(I12:I13)</f>
        <v>0</v>
      </c>
      <c r="J14" s="6">
        <f>SUM(J12:J13)</f>
        <v>0</v>
      </c>
    </row>
    <row r="15" spans="1:10" x14ac:dyDescent="0.35">
      <c r="B15" s="30"/>
    </row>
    <row r="16" spans="1:10" x14ac:dyDescent="0.35">
      <c r="A16" s="6" t="s">
        <v>71</v>
      </c>
      <c r="B16" s="30"/>
    </row>
    <row r="17" spans="1:10" x14ac:dyDescent="0.35">
      <c r="B17" s="30" t="s">
        <v>68</v>
      </c>
      <c r="F17">
        <f>E19</f>
        <v>5342</v>
      </c>
      <c r="G17">
        <f>F19</f>
        <v>5342</v>
      </c>
      <c r="H17">
        <f>G19</f>
        <v>5342</v>
      </c>
      <c r="I17">
        <f>H19</f>
        <v>5342</v>
      </c>
      <c r="J17">
        <f>I19</f>
        <v>5342</v>
      </c>
    </row>
    <row r="18" spans="1:10" x14ac:dyDescent="0.35">
      <c r="B18" s="30" t="s">
        <v>69</v>
      </c>
      <c r="F18">
        <f>Assump!F47</f>
        <v>0</v>
      </c>
      <c r="G18">
        <f>Assump!G47</f>
        <v>0</v>
      </c>
      <c r="H18">
        <f>Assump!H47</f>
        <v>0</v>
      </c>
      <c r="I18">
        <f>Assump!I47</f>
        <v>0</v>
      </c>
      <c r="J18">
        <f>Assump!J47</f>
        <v>0</v>
      </c>
    </row>
    <row r="19" spans="1:10" x14ac:dyDescent="0.35">
      <c r="B19" s="30" t="s">
        <v>70</v>
      </c>
      <c r="E19" s="6">
        <f>BS!E31</f>
        <v>5342</v>
      </c>
      <c r="F19" s="6">
        <f>SUM(F17:F18)</f>
        <v>5342</v>
      </c>
      <c r="G19" s="6">
        <f>SUM(G17:G18)</f>
        <v>5342</v>
      </c>
      <c r="H19" s="6">
        <f>SUM(H17:H18)</f>
        <v>5342</v>
      </c>
      <c r="I19" s="6">
        <f>SUM(I17:I18)</f>
        <v>5342</v>
      </c>
      <c r="J19" s="6">
        <f>SUM(J17:J18)</f>
        <v>5342</v>
      </c>
    </row>
    <row r="20" spans="1:10" x14ac:dyDescent="0.35">
      <c r="B20" s="30"/>
    </row>
    <row r="21" spans="1:10" x14ac:dyDescent="0.35">
      <c r="A21" s="32"/>
      <c r="B21" s="30"/>
    </row>
    <row r="22" spans="1:10" x14ac:dyDescent="0.35">
      <c r="B22" s="30"/>
    </row>
    <row r="23" spans="1:10" x14ac:dyDescent="0.35">
      <c r="B23" s="30"/>
    </row>
    <row r="24" spans="1:10" x14ac:dyDescent="0.35">
      <c r="B24" s="30"/>
    </row>
    <row r="25" spans="1:10" x14ac:dyDescent="0.35">
      <c r="B25" s="30"/>
    </row>
    <row r="26" spans="1:10" x14ac:dyDescent="0.35">
      <c r="A26" s="31" t="s">
        <v>72</v>
      </c>
      <c r="B26" s="30"/>
    </row>
    <row r="27" spans="1:10" x14ac:dyDescent="0.35">
      <c r="B27" s="30" t="s">
        <v>73</v>
      </c>
      <c r="F27">
        <f>Assump!F48*AVERAGE(Debt!E14:F14)</f>
        <v>97.06</v>
      </c>
      <c r="G27">
        <f>Assump!G48*AVERAGE(Debt!F14:G14)</f>
        <v>0</v>
      </c>
      <c r="H27">
        <f>Assump!H48*AVERAGE(Debt!G14:H14)</f>
        <v>0</v>
      </c>
      <c r="I27">
        <f>Assump!I48*AVERAGE(Debt!H14:I14)</f>
        <v>0</v>
      </c>
      <c r="J27">
        <f>Assump!J48*AVERAGE(Debt!I14:J14)</f>
        <v>0</v>
      </c>
    </row>
    <row r="28" spans="1:10" x14ac:dyDescent="0.35">
      <c r="B28" s="30" t="s">
        <v>74</v>
      </c>
      <c r="F28">
        <f>Assump!F49*AVERAGE(Debt!E19:F19)</f>
        <v>240.39</v>
      </c>
      <c r="G28">
        <f>Assump!G49*AVERAGE(Debt!F19:G19)</f>
        <v>240.39</v>
      </c>
      <c r="H28">
        <f>Assump!H49*AVERAGE(Debt!G19:H19)</f>
        <v>240.39</v>
      </c>
      <c r="I28">
        <f>Assump!I49*AVERAGE(Debt!H19:I19)</f>
        <v>240.39</v>
      </c>
      <c r="J28">
        <f>Assump!J49*AVERAGE(Debt!I19:J19)</f>
        <v>240.39</v>
      </c>
    </row>
    <row r="29" spans="1:10" x14ac:dyDescent="0.35">
      <c r="B29" s="31" t="s">
        <v>75</v>
      </c>
      <c r="F29">
        <f>SUM(F27:F28)</f>
        <v>337.45</v>
      </c>
      <c r="G29">
        <f>SUM(G27:G28)</f>
        <v>240.39</v>
      </c>
      <c r="H29">
        <f>SUM(H27:H28)</f>
        <v>240.39</v>
      </c>
      <c r="I29">
        <f>SUM(I27:I28)</f>
        <v>240.39</v>
      </c>
      <c r="J29">
        <f>SUM(J27:J28)</f>
        <v>240.39</v>
      </c>
    </row>
    <row r="30" spans="1:10" x14ac:dyDescent="0.35">
      <c r="B30" s="31"/>
    </row>
    <row r="31" spans="1:10" x14ac:dyDescent="0.35">
      <c r="A31" s="32" t="s">
        <v>76</v>
      </c>
      <c r="B31" s="30"/>
    </row>
    <row r="32" spans="1:10" x14ac:dyDescent="0.35">
      <c r="B32" s="30" t="s">
        <v>77</v>
      </c>
      <c r="F32">
        <f>Assump!F50*AVERAGE(BS!E3:F3)</f>
        <v>118.47812356682002</v>
      </c>
      <c r="G32">
        <f>Assump!G50*AVERAGE(BS!F3:G3)</f>
        <v>191.96875719192673</v>
      </c>
      <c r="H32">
        <f>Assump!H50*AVERAGE(BS!G3:H3)</f>
        <v>362.65766401454823</v>
      </c>
      <c r="I32">
        <f>Assump!I50*AVERAGE(BS!H3:I3)</f>
        <v>562.20463055637356</v>
      </c>
      <c r="J32">
        <f>Assump!J50*AVERAGE(BS!I3:J3)</f>
        <v>792.28442144807832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88022-0A5F-4B3D-B9BE-F319DCF50630}">
  <dimension ref="A1:K22"/>
  <sheetViews>
    <sheetView zoomScale="68" workbookViewId="0">
      <pane xSplit="2" ySplit="2" topLeftCell="C3" activePane="bottomRight" state="frozen"/>
      <selection sqref="A1:J50"/>
      <selection pane="topRight" sqref="A1:J50"/>
      <selection pane="bottomLeft" sqref="A1:J50"/>
      <selection pane="bottomRight" activeCell="F51" sqref="F51"/>
    </sheetView>
  </sheetViews>
  <sheetFormatPr defaultRowHeight="14.5" x14ac:dyDescent="0.35"/>
  <cols>
    <col min="1" max="1" width="2.58203125" customWidth="1"/>
    <col min="2" max="2" width="44.08203125" customWidth="1"/>
    <col min="3" max="3" width="10.58203125" customWidth="1"/>
    <col min="4" max="4" width="11.5" customWidth="1"/>
    <col min="5" max="5" width="9.33203125" bestFit="1" customWidth="1"/>
    <col min="6" max="6" width="11.33203125" customWidth="1"/>
    <col min="7" max="7" width="10.58203125" customWidth="1"/>
    <col min="8" max="8" width="10.5" customWidth="1"/>
    <col min="9" max="9" width="9" bestFit="1" customWidth="1"/>
    <col min="10" max="10" width="11.33203125" customWidth="1"/>
  </cols>
  <sheetData>
    <row r="1" spans="1:11" s="45" customFormat="1" ht="18.5" x14ac:dyDescent="0.45">
      <c r="A1" s="44" t="s">
        <v>0</v>
      </c>
      <c r="C1" s="46" t="s">
        <v>1</v>
      </c>
      <c r="D1" s="46" t="s">
        <v>1</v>
      </c>
      <c r="E1" s="46" t="s">
        <v>1</v>
      </c>
      <c r="F1" s="46" t="s">
        <v>2</v>
      </c>
      <c r="G1" s="46" t="s">
        <v>2</v>
      </c>
      <c r="H1" s="46" t="s">
        <v>2</v>
      </c>
      <c r="I1" s="46" t="s">
        <v>2</v>
      </c>
      <c r="J1" s="46" t="s">
        <v>2</v>
      </c>
    </row>
    <row r="2" spans="1:11" s="45" customFormat="1" x14ac:dyDescent="0.35">
      <c r="A2" s="47" t="s">
        <v>3</v>
      </c>
      <c r="C2" s="48">
        <f>DATE(YEAR(D2)-1,MONTH(D2),DAY(D2))</f>
        <v>44651</v>
      </c>
      <c r="D2" s="48">
        <f>DATE(YEAR(E2)-1,MONTH(E2),DAY(E2))</f>
        <v>45016</v>
      </c>
      <c r="E2" s="48">
        <v>45382</v>
      </c>
      <c r="F2" s="48">
        <f>DATE(YEAR(E2)+1,MONTH(E2),DAY(E2))</f>
        <v>45747</v>
      </c>
      <c r="G2" s="48">
        <f t="shared" ref="G2:J2" si="0">DATE(YEAR(F2)+1,MONTH(F2),DAY(F2))</f>
        <v>46112</v>
      </c>
      <c r="H2" s="48">
        <f t="shared" si="0"/>
        <v>46477</v>
      </c>
      <c r="I2" s="48">
        <f t="shared" si="0"/>
        <v>46843</v>
      </c>
      <c r="J2" s="48">
        <f t="shared" si="0"/>
        <v>47208</v>
      </c>
    </row>
    <row r="3" spans="1:11" x14ac:dyDescent="0.35">
      <c r="A3" s="8" t="s">
        <v>78</v>
      </c>
    </row>
    <row r="4" spans="1:11" x14ac:dyDescent="0.35">
      <c r="B4" t="s">
        <v>79</v>
      </c>
      <c r="C4" s="24">
        <f>1216+19</f>
        <v>1235</v>
      </c>
      <c r="D4">
        <f t="shared" ref="D4:J4" si="1">C7</f>
        <v>1287</v>
      </c>
      <c r="E4">
        <f t="shared" si="1"/>
        <v>1476</v>
      </c>
      <c r="F4">
        <f t="shared" si="1"/>
        <v>1825</v>
      </c>
      <c r="G4">
        <f t="shared" si="1"/>
        <v>2354.7791156854705</v>
      </c>
      <c r="H4">
        <f t="shared" si="1"/>
        <v>2773.9940168219305</v>
      </c>
      <c r="I4">
        <f t="shared" si="1"/>
        <v>3244.6191626109407</v>
      </c>
      <c r="J4">
        <f t="shared" si="1"/>
        <v>3750.7756809232887</v>
      </c>
    </row>
    <row r="5" spans="1:11" x14ac:dyDescent="0.35">
      <c r="B5" t="s">
        <v>80</v>
      </c>
      <c r="D5" s="52">
        <f>D7+D6-D4</f>
        <v>630</v>
      </c>
      <c r="E5" s="52">
        <f>E7+E6-E4</f>
        <v>933</v>
      </c>
      <c r="F5">
        <f>Assump!F25*IS!F3</f>
        <v>1203.4973012938999</v>
      </c>
      <c r="G5">
        <f>Assump!G25*IS!G3</f>
        <v>1288.1283948243988</v>
      </c>
      <c r="H5">
        <f>Assump!H25*IS!H3</f>
        <v>1494.2289379963026</v>
      </c>
      <c r="I5">
        <f>Assump!I25*IS!I3</f>
        <v>1703.4209893157854</v>
      </c>
      <c r="J5">
        <f>Assump!J25*IS!J3</f>
        <v>1907.8315080336799</v>
      </c>
    </row>
    <row r="6" spans="1:11" x14ac:dyDescent="0.35">
      <c r="B6" t="s">
        <v>81</v>
      </c>
      <c r="D6">
        <f>IS!D11</f>
        <v>441</v>
      </c>
      <c r="E6">
        <f>IS!E11</f>
        <v>584</v>
      </c>
      <c r="F6">
        <f>Assump!F8*Calc!E7</f>
        <v>673.71818560842951</v>
      </c>
      <c r="G6">
        <f>Assump!G8*Calc!F7</f>
        <v>868.91349368793863</v>
      </c>
      <c r="H6">
        <f>Assump!H8*Calc!G7</f>
        <v>1023.6037922072924</v>
      </c>
      <c r="I6">
        <f>Assump!I8*Calc!H7</f>
        <v>1197.2644710034372</v>
      </c>
      <c r="J6">
        <f>Assump!J8*Calc!I7</f>
        <v>1384.0362262606936</v>
      </c>
    </row>
    <row r="7" spans="1:11" x14ac:dyDescent="0.35">
      <c r="B7" t="s">
        <v>82</v>
      </c>
      <c r="C7" s="6">
        <f>BS!C11</f>
        <v>1287</v>
      </c>
      <c r="D7" s="6">
        <f>BS!D11</f>
        <v>1476</v>
      </c>
      <c r="E7" s="6">
        <f>BS!E11</f>
        <v>1825</v>
      </c>
      <c r="F7" s="6">
        <f>F4+F5-F6</f>
        <v>2354.7791156854705</v>
      </c>
      <c r="G7" s="6">
        <f>G4+G5-G6</f>
        <v>2773.9940168219305</v>
      </c>
      <c r="H7" s="6">
        <f>H4+H5-H6</f>
        <v>3244.6191626109407</v>
      </c>
      <c r="I7" s="6">
        <f>I4+I5-I6</f>
        <v>3750.7756809232887</v>
      </c>
      <c r="J7" s="6">
        <f>J4+J5-J6</f>
        <v>4274.5709626962744</v>
      </c>
    </row>
    <row r="9" spans="1:11" x14ac:dyDescent="0.35">
      <c r="B9" t="str">
        <f>BS!B4</f>
        <v>Inventories</v>
      </c>
      <c r="C9">
        <f>BS!C4</f>
        <v>13609</v>
      </c>
      <c r="D9">
        <f>BS!D4</f>
        <v>16584</v>
      </c>
      <c r="E9">
        <f>BS!E4</f>
        <v>19051</v>
      </c>
      <c r="F9">
        <f>BS!F4</f>
        <v>20280.017133839483</v>
      </c>
      <c r="G9">
        <f>BS!G4</f>
        <v>21973.328638753268</v>
      </c>
      <c r="H9">
        <f>BS!H4</f>
        <v>23909.858453066416</v>
      </c>
      <c r="I9">
        <f>BS!I4</f>
        <v>26108.838441331398</v>
      </c>
      <c r="J9">
        <f>BS!J4</f>
        <v>28589.508175733408</v>
      </c>
    </row>
    <row r="10" spans="1:11" x14ac:dyDescent="0.35">
      <c r="B10" t="str">
        <f>BS!B5</f>
        <v>Trade receivables</v>
      </c>
      <c r="C10">
        <f>BS!C5</f>
        <v>565</v>
      </c>
      <c r="D10">
        <f>BS!D5</f>
        <v>674</v>
      </c>
      <c r="E10">
        <f>BS!E5</f>
        <v>1018</v>
      </c>
      <c r="F10">
        <f>BS!F5</f>
        <v>1514.7093953082979</v>
      </c>
      <c r="G10">
        <f>BS!G5</f>
        <v>1787.3570864637916</v>
      </c>
      <c r="H10">
        <f>BS!H5</f>
        <v>2073.3342202979984</v>
      </c>
      <c r="I10">
        <f>BS!I5</f>
        <v>2363.6010111397181</v>
      </c>
      <c r="J10">
        <f>BS!J5</f>
        <v>2647.233132476485</v>
      </c>
    </row>
    <row r="11" spans="1:11" x14ac:dyDescent="0.35">
      <c r="B11" t="str">
        <f>BS!B8</f>
        <v>Other current assets</v>
      </c>
      <c r="C11">
        <f>BS!C8</f>
        <v>978</v>
      </c>
      <c r="D11">
        <f>BS!D8</f>
        <v>1288</v>
      </c>
      <c r="E11">
        <f>BS!E8</f>
        <v>1721</v>
      </c>
      <c r="F11">
        <f>BS!F8</f>
        <v>2030.9528465846424</v>
      </c>
      <c r="G11">
        <f>BS!G8</f>
        <v>2396.524358969878</v>
      </c>
      <c r="H11">
        <f>BS!H8</f>
        <v>2779.9682564050586</v>
      </c>
      <c r="I11">
        <f>BS!I8</f>
        <v>3169.1638123017674</v>
      </c>
      <c r="J11">
        <f>BS!J8</f>
        <v>3549.4634697779798</v>
      </c>
    </row>
    <row r="12" spans="1:11" x14ac:dyDescent="0.35">
      <c r="B12" t="str">
        <f>BS!B24</f>
        <v xml:space="preserve"> Trade payables</v>
      </c>
      <c r="C12">
        <f>BS!C24</f>
        <v>1294</v>
      </c>
      <c r="D12">
        <f>BS!D24</f>
        <v>1214</v>
      </c>
      <c r="E12">
        <f>BS!E24</f>
        <v>1410</v>
      </c>
      <c r="F12">
        <f>BS!F24</f>
        <v>2097.1971310424269</v>
      </c>
      <c r="G12">
        <f>BS!G24</f>
        <v>2458.3515381995953</v>
      </c>
      <c r="H12">
        <f>BS!H24</f>
        <v>2832.7321356521879</v>
      </c>
      <c r="I12">
        <f>BS!I24</f>
        <v>3207.7051951718445</v>
      </c>
      <c r="J12">
        <f>BS!J24</f>
        <v>3568.4272463842176</v>
      </c>
    </row>
    <row r="13" spans="1:11" x14ac:dyDescent="0.35">
      <c r="B13" t="s">
        <v>83</v>
      </c>
      <c r="C13">
        <f>BS!C25</f>
        <v>5398</v>
      </c>
      <c r="D13">
        <f>BS!D25</f>
        <v>5299</v>
      </c>
      <c r="E13">
        <f>BS!E25</f>
        <v>5341</v>
      </c>
      <c r="F13">
        <f>BS!F25</f>
        <v>6409.2</v>
      </c>
      <c r="G13">
        <f>BS!G25</f>
        <v>7562.8559999999989</v>
      </c>
      <c r="H13">
        <f>BS!H25</f>
        <v>8772.9129599999997</v>
      </c>
      <c r="I13">
        <f>BS!I25</f>
        <v>10001.1207744</v>
      </c>
      <c r="J13">
        <f>BS!J25</f>
        <v>11201.255267328002</v>
      </c>
      <c r="K13" t="s">
        <v>84</v>
      </c>
    </row>
    <row r="14" spans="1:11" x14ac:dyDescent="0.35">
      <c r="B14" t="s">
        <v>85</v>
      </c>
      <c r="C14">
        <f>BS!C26</f>
        <v>38</v>
      </c>
      <c r="D14">
        <f>BS!D26</f>
        <v>132</v>
      </c>
      <c r="E14">
        <f>BS!E26</f>
        <v>100</v>
      </c>
      <c r="F14">
        <f>BS!F26</f>
        <v>90</v>
      </c>
      <c r="G14">
        <f>BS!G26</f>
        <v>90</v>
      </c>
      <c r="H14">
        <f>BS!H26</f>
        <v>90</v>
      </c>
      <c r="I14">
        <f>BS!I26</f>
        <v>90</v>
      </c>
      <c r="J14">
        <f>BS!J26</f>
        <v>90</v>
      </c>
    </row>
    <row r="15" spans="1:11" x14ac:dyDescent="0.35">
      <c r="B15" t="str">
        <f>BS!B28</f>
        <v>Other current liabilities</v>
      </c>
      <c r="C15">
        <f>BS!C28</f>
        <v>2523</v>
      </c>
      <c r="D15">
        <f>BS!D28</f>
        <v>3517</v>
      </c>
      <c r="E15">
        <f>BS!E28</f>
        <v>4092</v>
      </c>
      <c r="F15">
        <f>BS!F28</f>
        <v>5198.0944576841757</v>
      </c>
      <c r="G15">
        <f>BS!G28</f>
        <v>6134.0032511999989</v>
      </c>
      <c r="H15">
        <f>BS!H28</f>
        <v>7115.4437713919988</v>
      </c>
      <c r="I15">
        <f>BS!I28</f>
        <v>8111.6058993868801</v>
      </c>
      <c r="J15">
        <f>BS!J28</f>
        <v>9084.9986073133077</v>
      </c>
    </row>
    <row r="16" spans="1:11" x14ac:dyDescent="0.35">
      <c r="B16" s="6" t="s">
        <v>86</v>
      </c>
      <c r="C16" s="6">
        <f>SUM(C9:C11)-SUM(C12:C15)</f>
        <v>5899</v>
      </c>
      <c r="D16" s="6">
        <f t="shared" ref="D16:E16" si="2">SUM(D9:D11)-SUM(D12:D15)</f>
        <v>8384</v>
      </c>
      <c r="E16" s="6">
        <f t="shared" si="2"/>
        <v>10847</v>
      </c>
      <c r="F16" s="6">
        <f>SUM(F9:F11)-SUM(F12:F15)</f>
        <v>10031.18778700582</v>
      </c>
      <c r="G16" s="6">
        <f>SUM(G9:G11)-SUM(G12:G15)</f>
        <v>9911.9992947873434</v>
      </c>
      <c r="H16" s="6">
        <f>SUM(H9:H11)-SUM(H12:H15)</f>
        <v>9952.0720627252886</v>
      </c>
      <c r="I16" s="6">
        <f>SUM(I9:I11)-SUM(I12:I15)</f>
        <v>10231.171395814163</v>
      </c>
      <c r="J16" s="6">
        <f>SUM(J9:J11)-SUM(J12:J15)</f>
        <v>10841.523656962345</v>
      </c>
    </row>
    <row r="18" spans="1:10" x14ac:dyDescent="0.35">
      <c r="A18" s="33" t="s">
        <v>87</v>
      </c>
      <c r="B18" s="33"/>
    </row>
    <row r="19" spans="1:10" x14ac:dyDescent="0.35">
      <c r="A19" s="32"/>
      <c r="B19" s="30" t="s">
        <v>88</v>
      </c>
      <c r="F19">
        <f>E22</f>
        <v>9393</v>
      </c>
      <c r="G19">
        <f>F22</f>
        <v>13346.15979162471</v>
      </c>
      <c r="H19">
        <f>G22</f>
        <v>18204.837741689727</v>
      </c>
      <c r="I19">
        <f>H22</f>
        <v>24099.174429047711</v>
      </c>
      <c r="J19">
        <f>I22</f>
        <v>31101.462333852465</v>
      </c>
    </row>
    <row r="20" spans="1:10" x14ac:dyDescent="0.35">
      <c r="A20" s="32"/>
      <c r="B20" s="30" t="s">
        <v>89</v>
      </c>
      <c r="F20">
        <f>IS!F21</f>
        <v>5415.2873857872746</v>
      </c>
      <c r="G20">
        <f>IS!G21</f>
        <v>6748.1638195347459</v>
      </c>
      <c r="H20">
        <f>IS!H21</f>
        <v>8301.882658250679</v>
      </c>
      <c r="I20">
        <f>IS!I21</f>
        <v>10003.26843543537</v>
      </c>
      <c r="J20">
        <f>IS!J21</f>
        <v>11811.412142417901</v>
      </c>
    </row>
    <row r="21" spans="1:10" x14ac:dyDescent="0.35">
      <c r="A21" s="32"/>
      <c r="B21" s="30" t="s">
        <v>63</v>
      </c>
      <c r="D21" s="24">
        <v>666</v>
      </c>
      <c r="E21">
        <v>888</v>
      </c>
      <c r="F21">
        <f>Assump!F14*IS!F24</f>
        <v>1462.1275941625643</v>
      </c>
      <c r="G21">
        <f>Assump!G14*IS!G24</f>
        <v>1889.4858694697291</v>
      </c>
      <c r="H21">
        <f>Assump!H14*IS!H24</f>
        <v>2407.5459708926969</v>
      </c>
      <c r="I21">
        <f>Assump!I14*IS!I24</f>
        <v>3000.9805306306107</v>
      </c>
      <c r="J21">
        <f>Assump!J14*IS!J24</f>
        <v>3543.4236427253704</v>
      </c>
    </row>
    <row r="22" spans="1:10" x14ac:dyDescent="0.35">
      <c r="A22" s="32"/>
      <c r="B22" s="30" t="s">
        <v>90</v>
      </c>
      <c r="E22" s="6">
        <f>BS!E37</f>
        <v>9393</v>
      </c>
      <c r="F22" s="6">
        <f>F19+F20-F21</f>
        <v>13346.15979162471</v>
      </c>
      <c r="G22" s="6">
        <f>G19+G20-G21</f>
        <v>18204.837741689727</v>
      </c>
      <c r="H22" s="6">
        <f>H19+H20-H21</f>
        <v>24099.174429047711</v>
      </c>
      <c r="I22" s="6">
        <f>I19+I20-I21</f>
        <v>31101.462333852465</v>
      </c>
      <c r="J22" s="6">
        <f>J19+J20-J21</f>
        <v>39369.450833544994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304A2-E32D-4A26-9F64-B0C9535D6C9E}">
  <dimension ref="A1:J36"/>
  <sheetViews>
    <sheetView zoomScale="71" workbookViewId="0">
      <pane xSplit="2" ySplit="2" topLeftCell="C3" activePane="bottomRight" state="frozen"/>
      <selection pane="topRight" activeCell="C1" sqref="C1"/>
      <selection pane="bottomLeft" activeCell="A3" sqref="A3"/>
      <selection pane="bottomRight" activeCell="B39" sqref="B39"/>
    </sheetView>
  </sheetViews>
  <sheetFormatPr defaultRowHeight="14.5" x14ac:dyDescent="0.35"/>
  <cols>
    <col min="1" max="1" width="2.58203125" customWidth="1"/>
    <col min="2" max="2" width="52.83203125" customWidth="1"/>
    <col min="3" max="3" width="13.08203125" customWidth="1"/>
    <col min="4" max="4" width="13.33203125" customWidth="1"/>
    <col min="5" max="5" width="11.08203125" customWidth="1"/>
    <col min="6" max="6" width="11.33203125" customWidth="1"/>
    <col min="7" max="7" width="10.58203125" customWidth="1"/>
    <col min="8" max="8" width="10.5" customWidth="1"/>
    <col min="9" max="9" width="9" bestFit="1" customWidth="1"/>
    <col min="10" max="10" width="11.33203125" customWidth="1"/>
  </cols>
  <sheetData>
    <row r="1" spans="1:10" s="45" customFormat="1" ht="18.5" x14ac:dyDescent="0.45">
      <c r="A1" s="44" t="s">
        <v>0</v>
      </c>
      <c r="C1" s="46" t="s">
        <v>1</v>
      </c>
      <c r="D1" s="46" t="s">
        <v>1</v>
      </c>
      <c r="E1" s="46" t="s">
        <v>1</v>
      </c>
      <c r="F1" s="46" t="s">
        <v>2</v>
      </c>
      <c r="G1" s="46" t="s">
        <v>2</v>
      </c>
      <c r="H1" s="46" t="s">
        <v>2</v>
      </c>
      <c r="I1" s="46" t="s">
        <v>2</v>
      </c>
      <c r="J1" s="46" t="s">
        <v>2</v>
      </c>
    </row>
    <row r="2" spans="1:10" s="45" customFormat="1" x14ac:dyDescent="0.35">
      <c r="A2" s="47" t="s">
        <v>3</v>
      </c>
      <c r="C2" s="48">
        <f>DATE(YEAR(D2)-1,MONTH(D2),DAY(D2))</f>
        <v>44651</v>
      </c>
      <c r="D2" s="48">
        <f>DATE(YEAR(E2)-1,MONTH(E2),DAY(E2))</f>
        <v>45016</v>
      </c>
      <c r="E2" s="48">
        <v>45382</v>
      </c>
      <c r="F2" s="48">
        <f>DATE(YEAR(E2)+1,MONTH(E2),DAY(E2))</f>
        <v>45747</v>
      </c>
      <c r="G2" s="48">
        <f t="shared" ref="G2:J2" si="0">DATE(YEAR(F2)+1,MONTH(F2),DAY(F2))</f>
        <v>46112</v>
      </c>
      <c r="H2" s="48">
        <f t="shared" si="0"/>
        <v>46477</v>
      </c>
      <c r="I2" s="48">
        <f t="shared" si="0"/>
        <v>46843</v>
      </c>
      <c r="J2" s="48">
        <f t="shared" si="0"/>
        <v>47208</v>
      </c>
    </row>
    <row r="3" spans="1:10" x14ac:dyDescent="0.35">
      <c r="B3" t="s">
        <v>91</v>
      </c>
      <c r="C3" s="7">
        <v>28799</v>
      </c>
      <c r="D3" s="7">
        <v>40575</v>
      </c>
      <c r="E3" s="7">
        <v>51084</v>
      </c>
      <c r="F3">
        <f>(1+Assump!F4)*E3</f>
        <v>61300.799999999996</v>
      </c>
      <c r="G3">
        <f>(1+Assump!G4)*F3</f>
        <v>72334.943999999989</v>
      </c>
      <c r="H3">
        <f>(1+Assump!H4)*G3</f>
        <v>83908.535039999988</v>
      </c>
      <c r="I3">
        <f>(1+Assump!I4)*H3</f>
        <v>95655.729945600004</v>
      </c>
      <c r="J3">
        <f>(1+Assump!J4)*I3</f>
        <v>107134.41753907202</v>
      </c>
    </row>
    <row r="4" spans="1:10" x14ac:dyDescent="0.35">
      <c r="B4" t="s">
        <v>92</v>
      </c>
      <c r="C4" s="7">
        <f>22108+4328-4795</f>
        <v>21641</v>
      </c>
      <c r="D4" s="7">
        <f>26891+5698-2234</f>
        <v>30355</v>
      </c>
      <c r="E4" s="7">
        <f>36104+5999-2671</f>
        <v>39432</v>
      </c>
      <c r="F4">
        <f>F3*Assump!F5</f>
        <v>46416.965759999999</v>
      </c>
      <c r="G4">
        <f>G3*Assump!G5</f>
        <v>54410.344876799987</v>
      </c>
      <c r="H4">
        <f>H3*Assump!H5</f>
        <v>62696.457381887987</v>
      </c>
      <c r="I4">
        <f>I3*Assump!I5</f>
        <v>70995.682765624326</v>
      </c>
      <c r="J4">
        <f>J3*Assump!J5</f>
        <v>78979.492609803885</v>
      </c>
    </row>
    <row r="5" spans="1:10" x14ac:dyDescent="0.35">
      <c r="B5" s="6" t="s">
        <v>93</v>
      </c>
      <c r="C5" s="6">
        <f t="shared" ref="C5:J5" si="1">C3-C4</f>
        <v>7158</v>
      </c>
      <c r="D5" s="6">
        <f t="shared" si="1"/>
        <v>10220</v>
      </c>
      <c r="E5" s="6">
        <f t="shared" si="1"/>
        <v>11652</v>
      </c>
      <c r="F5" s="6">
        <f t="shared" si="1"/>
        <v>14883.834239999996</v>
      </c>
      <c r="G5" s="6">
        <f t="shared" si="1"/>
        <v>17924.599123200001</v>
      </c>
      <c r="H5" s="6">
        <f t="shared" si="1"/>
        <v>21212.077658112001</v>
      </c>
      <c r="I5" s="6">
        <f t="shared" si="1"/>
        <v>24660.047179975678</v>
      </c>
      <c r="J5" s="6">
        <f t="shared" si="1"/>
        <v>28154.924929268134</v>
      </c>
    </row>
    <row r="7" spans="1:10" x14ac:dyDescent="0.35">
      <c r="B7" t="s">
        <v>94</v>
      </c>
      <c r="C7" s="7">
        <v>1349</v>
      </c>
      <c r="D7" s="7">
        <v>1647</v>
      </c>
      <c r="E7" s="7">
        <v>1864</v>
      </c>
      <c r="F7">
        <f>F3*Assump!F6</f>
        <v>2114.8775999999998</v>
      </c>
      <c r="G7">
        <f>G3*Assump!G6</f>
        <v>2350.8856799999999</v>
      </c>
      <c r="H7">
        <f>H3*Assump!H6</f>
        <v>2559.2103187199996</v>
      </c>
      <c r="I7">
        <f>I3*Assump!I6</f>
        <v>2726.1883034496</v>
      </c>
      <c r="J7">
        <f>J3*Assump!J6</f>
        <v>2839.062064785408</v>
      </c>
    </row>
    <row r="8" spans="1:10" x14ac:dyDescent="0.35">
      <c r="B8" t="s">
        <v>95</v>
      </c>
      <c r="C8" s="7">
        <f>2468-3-1-18</f>
        <v>2446</v>
      </c>
      <c r="D8" s="7">
        <f>3694-3</f>
        <v>3691</v>
      </c>
      <c r="E8" s="7">
        <f>4496-6-1</f>
        <v>4489</v>
      </c>
      <c r="F8">
        <f>F3*Assump!F7</f>
        <v>5210.5680000000002</v>
      </c>
      <c r="G8">
        <f>G3*Assump!G7</f>
        <v>6112.3027679999996</v>
      </c>
      <c r="H8">
        <f>H3*Assump!H7</f>
        <v>7048.3169433599996</v>
      </c>
      <c r="I8">
        <f>I3*Assump!I7</f>
        <v>7987.2534504576006</v>
      </c>
      <c r="J8">
        <f>J3*Assump!J7</f>
        <v>8892.1566557429778</v>
      </c>
    </row>
    <row r="9" spans="1:10" x14ac:dyDescent="0.35">
      <c r="B9" s="6" t="s">
        <v>96</v>
      </c>
      <c r="C9" s="6">
        <f t="shared" ref="C9:J9" si="2">C5-SUM(C7:C8)</f>
        <v>3363</v>
      </c>
      <c r="D9" s="6">
        <f t="shared" si="2"/>
        <v>4882</v>
      </c>
      <c r="E9" s="6">
        <f t="shared" si="2"/>
        <v>5299</v>
      </c>
      <c r="F9" s="6">
        <f t="shared" si="2"/>
        <v>7558.3886399999965</v>
      </c>
      <c r="G9" s="6">
        <f t="shared" si="2"/>
        <v>9461.4106752000025</v>
      </c>
      <c r="H9" s="6">
        <f t="shared" si="2"/>
        <v>11604.550396032002</v>
      </c>
      <c r="I9" s="6">
        <f t="shared" si="2"/>
        <v>13946.605426068478</v>
      </c>
      <c r="J9" s="6">
        <f t="shared" si="2"/>
        <v>16423.70620873975</v>
      </c>
    </row>
    <row r="11" spans="1:10" x14ac:dyDescent="0.35">
      <c r="B11" t="s">
        <v>97</v>
      </c>
      <c r="C11" s="7">
        <v>399</v>
      </c>
      <c r="D11" s="7">
        <v>441</v>
      </c>
      <c r="E11" s="7">
        <v>584</v>
      </c>
      <c r="F11">
        <f>Calc!F6</f>
        <v>673.71818560842951</v>
      </c>
      <c r="G11">
        <f>Calc!G6</f>
        <v>868.91349368793863</v>
      </c>
      <c r="H11">
        <f>Calc!H6</f>
        <v>1023.6037922072924</v>
      </c>
      <c r="I11">
        <f>Calc!I6</f>
        <v>1197.2644710034372</v>
      </c>
      <c r="J11">
        <f>Calc!J6</f>
        <v>1384.0362262606936</v>
      </c>
    </row>
    <row r="12" spans="1:10" x14ac:dyDescent="0.35">
      <c r="B12" s="6" t="s">
        <v>98</v>
      </c>
      <c r="C12" s="6">
        <f>C9-C11</f>
        <v>2964</v>
      </c>
      <c r="D12" s="6">
        <f t="shared" ref="D12" si="3">D9-D11</f>
        <v>4441</v>
      </c>
      <c r="E12" s="6">
        <f t="shared" ref="E12:J12" si="4">E9-E11</f>
        <v>4715</v>
      </c>
      <c r="F12" s="6">
        <f t="shared" si="4"/>
        <v>6884.6704543915666</v>
      </c>
      <c r="G12" s="6">
        <f t="shared" si="4"/>
        <v>8592.4971815120643</v>
      </c>
      <c r="H12" s="6">
        <f t="shared" si="4"/>
        <v>10580.94660382471</v>
      </c>
      <c r="I12" s="6">
        <f t="shared" si="4"/>
        <v>12749.340955065041</v>
      </c>
      <c r="J12" s="6">
        <f t="shared" si="4"/>
        <v>15039.669982479056</v>
      </c>
    </row>
    <row r="13" spans="1:10" x14ac:dyDescent="0.35">
      <c r="D13" s="6"/>
      <c r="E13" s="6"/>
      <c r="F13" s="6"/>
      <c r="G13" s="6"/>
      <c r="H13" s="6"/>
      <c r="I13" s="6"/>
      <c r="J13" s="6"/>
    </row>
    <row r="14" spans="1:10" x14ac:dyDescent="0.35">
      <c r="B14" t="s">
        <v>99</v>
      </c>
      <c r="C14" s="7">
        <f>234-C16</f>
        <v>138</v>
      </c>
      <c r="D14" s="7">
        <f>308+1-D16</f>
        <v>166</v>
      </c>
      <c r="E14" s="7">
        <f>533+1-E16</f>
        <v>285</v>
      </c>
      <c r="F14">
        <f>E14*(1+Assump!F9)</f>
        <v>342.85500000000002</v>
      </c>
      <c r="G14">
        <f>F14*(1+Assump!G9)</f>
        <v>412.45456500000006</v>
      </c>
      <c r="H14">
        <f>G14*(1+Assump!H9)</f>
        <v>496.18284169500009</v>
      </c>
      <c r="I14">
        <f>H14*(1+Assump!I9)</f>
        <v>596.90795855908516</v>
      </c>
      <c r="J14">
        <f>I14*(1+Assump!J9)</f>
        <v>718.08027414657954</v>
      </c>
    </row>
    <row r="15" spans="1:10" x14ac:dyDescent="0.35">
      <c r="B15" t="s">
        <v>100</v>
      </c>
      <c r="C15" s="7">
        <f>-3-1-18-54</f>
        <v>-76</v>
      </c>
      <c r="D15" s="7">
        <f>-3</f>
        <v>-3</v>
      </c>
      <c r="E15" s="7">
        <f>-6-1</f>
        <v>-7</v>
      </c>
      <c r="F15">
        <f>Assump!F10</f>
        <v>-5</v>
      </c>
      <c r="G15">
        <f>Assump!G10</f>
        <v>-5</v>
      </c>
      <c r="H15">
        <f>Assump!H10</f>
        <v>-5</v>
      </c>
      <c r="I15">
        <f>Assump!I10</f>
        <v>-5</v>
      </c>
      <c r="J15">
        <f>Assump!J10</f>
        <v>-5</v>
      </c>
    </row>
    <row r="16" spans="1:10" x14ac:dyDescent="0.35">
      <c r="B16" t="s">
        <v>101</v>
      </c>
      <c r="C16" s="7">
        <f xml:space="preserve"> 77+19</f>
        <v>96</v>
      </c>
      <c r="D16" s="7">
        <f>117+26</f>
        <v>143</v>
      </c>
      <c r="E16" s="7">
        <f>197+52</f>
        <v>249</v>
      </c>
      <c r="F16">
        <f>IF(Cover!C8=1,Debt!F32,0)</f>
        <v>0</v>
      </c>
      <c r="G16">
        <f>IF(Cover!C8=1,Debt!G32,0)</f>
        <v>0</v>
      </c>
      <c r="H16">
        <f>IF(Cover!C8=1,Debt!H32,0)</f>
        <v>0</v>
      </c>
      <c r="I16">
        <f>IF(Cover!C8=1,Debt!I32,0)</f>
        <v>0</v>
      </c>
      <c r="J16">
        <f>IF(Cover!C8=1,Debt!J32,0)</f>
        <v>0</v>
      </c>
    </row>
    <row r="17" spans="1:10" x14ac:dyDescent="0.35">
      <c r="B17" t="s">
        <v>102</v>
      </c>
      <c r="C17" s="7">
        <v>218</v>
      </c>
      <c r="D17" s="7">
        <v>300</v>
      </c>
      <c r="E17" s="7">
        <v>619</v>
      </c>
      <c r="F17">
        <f>IF(Cover!C8=1,Debt!F29,0)</f>
        <v>0</v>
      </c>
      <c r="G17">
        <f>IF(Cover!C8=1,Debt!G29,0)</f>
        <v>0</v>
      </c>
      <c r="H17">
        <f>IF(Cover!C8=1,Debt!H29,0)</f>
        <v>0</v>
      </c>
      <c r="I17">
        <f>IF(Cover!C8=1,Debt!I29,0)</f>
        <v>0</v>
      </c>
      <c r="J17">
        <f>IF(Cover!C8=1,Debt!J29,0)</f>
        <v>0</v>
      </c>
    </row>
    <row r="18" spans="1:10" x14ac:dyDescent="0.35">
      <c r="B18" s="6" t="s">
        <v>103</v>
      </c>
      <c r="C18" s="53">
        <f t="shared" ref="C18:F18" si="5">C12+C14+C15+C16-C17</f>
        <v>2904</v>
      </c>
      <c r="D18" s="53">
        <f t="shared" si="5"/>
        <v>4447</v>
      </c>
      <c r="E18" s="53">
        <f t="shared" si="5"/>
        <v>4623</v>
      </c>
      <c r="F18" s="6">
        <f t="shared" si="5"/>
        <v>7222.5254543915671</v>
      </c>
      <c r="G18" s="6">
        <f>G12+G14+G15+G16-G17</f>
        <v>8999.9517465120643</v>
      </c>
      <c r="H18" s="6">
        <f>H12+H14+H15+H16-H17</f>
        <v>11072.129445519709</v>
      </c>
      <c r="I18" s="6">
        <f>I12+I14+I15+I16-I17</f>
        <v>13341.248913624126</v>
      </c>
      <c r="J18" s="6">
        <f>J12+J14+J15+J16-J17</f>
        <v>15752.750256625635</v>
      </c>
    </row>
    <row r="19" spans="1:10" x14ac:dyDescent="0.35">
      <c r="D19" s="6"/>
      <c r="E19" s="6"/>
      <c r="F19" s="6"/>
    </row>
    <row r="20" spans="1:10" x14ac:dyDescent="0.35">
      <c r="B20" t="s">
        <v>104</v>
      </c>
      <c r="C20" s="7">
        <v>706</v>
      </c>
      <c r="D20" s="7">
        <v>1173</v>
      </c>
      <c r="E20" s="7">
        <v>1127</v>
      </c>
      <c r="F20">
        <f>F18*Assump!F12</f>
        <v>1807.2380686042927</v>
      </c>
      <c r="G20">
        <f>G18*Assump!G12</f>
        <v>2251.7879269773184</v>
      </c>
      <c r="H20">
        <f>H18*Assump!H12</f>
        <v>2770.2467872690308</v>
      </c>
      <c r="I20">
        <f>I18*Assump!I12</f>
        <v>3337.980478188756</v>
      </c>
      <c r="J20">
        <f>J18*Assump!J12</f>
        <v>3941.3381142077337</v>
      </c>
    </row>
    <row r="21" spans="1:10" x14ac:dyDescent="0.35">
      <c r="B21" s="6" t="s">
        <v>105</v>
      </c>
      <c r="C21" s="6">
        <f t="shared" ref="C21:J21" si="6">C18-C20</f>
        <v>2198</v>
      </c>
      <c r="D21" s="53">
        <f t="shared" si="6"/>
        <v>3274</v>
      </c>
      <c r="E21" s="53">
        <f t="shared" si="6"/>
        <v>3496</v>
      </c>
      <c r="F21" s="6">
        <f t="shared" si="6"/>
        <v>5415.2873857872746</v>
      </c>
      <c r="G21" s="6">
        <f t="shared" si="6"/>
        <v>6748.1638195347459</v>
      </c>
      <c r="H21" s="6">
        <f t="shared" si="6"/>
        <v>8301.882658250679</v>
      </c>
      <c r="I21" s="6">
        <f t="shared" si="6"/>
        <v>10003.26843543537</v>
      </c>
      <c r="J21" s="6">
        <f t="shared" si="6"/>
        <v>11811.412142417901</v>
      </c>
    </row>
    <row r="22" spans="1:10" x14ac:dyDescent="0.35">
      <c r="D22" s="6"/>
      <c r="E22" s="6"/>
      <c r="F22" s="6"/>
    </row>
    <row r="23" spans="1:10" x14ac:dyDescent="0.35">
      <c r="B23" t="s">
        <v>106</v>
      </c>
      <c r="C23" s="7">
        <v>25</v>
      </c>
      <c r="D23" s="7">
        <v>24</v>
      </c>
      <c r="E23" s="7">
        <v>0</v>
      </c>
      <c r="F23">
        <f>(1+Assump!F13)*IS!E23</f>
        <v>0</v>
      </c>
      <c r="G23">
        <f>(1+Assump!G13)*IS!F23</f>
        <v>0</v>
      </c>
      <c r="H23">
        <f>(1+Assump!H13)*IS!G23</f>
        <v>0</v>
      </c>
      <c r="I23">
        <f>(1+Assump!I13)*IS!H23</f>
        <v>0</v>
      </c>
      <c r="J23">
        <f>(1+Assump!J13)*IS!I23</f>
        <v>0</v>
      </c>
    </row>
    <row r="24" spans="1:10" x14ac:dyDescent="0.35">
      <c r="B24" s="6" t="s">
        <v>107</v>
      </c>
      <c r="C24" s="6">
        <f>C21-C23</f>
        <v>2173</v>
      </c>
      <c r="D24" s="6">
        <f t="shared" ref="D24:E24" si="7">D21-D23</f>
        <v>3250</v>
      </c>
      <c r="E24" s="6">
        <f t="shared" si="7"/>
        <v>3496</v>
      </c>
      <c r="F24" s="6">
        <f>F21-F23</f>
        <v>5415.2873857872746</v>
      </c>
      <c r="G24" s="6">
        <f>G21-G23</f>
        <v>6748.1638195347459</v>
      </c>
      <c r="H24" s="6">
        <f>H21-H23</f>
        <v>8301.882658250679</v>
      </c>
      <c r="I24" s="6">
        <f>I21-I23</f>
        <v>10003.26843543537</v>
      </c>
      <c r="J24" s="6">
        <f>J21-J23</f>
        <v>11811.412142417901</v>
      </c>
    </row>
    <row r="25" spans="1:10" x14ac:dyDescent="0.35">
      <c r="D25" s="6"/>
      <c r="E25" s="6"/>
      <c r="F25" s="6"/>
    </row>
    <row r="26" spans="1:10" x14ac:dyDescent="0.35">
      <c r="B26" t="s">
        <v>108</v>
      </c>
      <c r="C26" s="7">
        <f t="shared" ref="C26:J26" si="8">-(1-0.2517)*C15</f>
        <v>56.870799999999996</v>
      </c>
      <c r="D26" s="7">
        <f t="shared" si="8"/>
        <v>2.2448999999999999</v>
      </c>
      <c r="E26" s="7">
        <f t="shared" si="8"/>
        <v>5.2380999999999993</v>
      </c>
      <c r="F26">
        <f t="shared" si="8"/>
        <v>3.7414999999999998</v>
      </c>
      <c r="G26">
        <f t="shared" si="8"/>
        <v>3.7414999999999998</v>
      </c>
      <c r="H26">
        <f t="shared" si="8"/>
        <v>3.7414999999999998</v>
      </c>
      <c r="I26">
        <f t="shared" si="8"/>
        <v>3.7414999999999998</v>
      </c>
      <c r="J26">
        <f t="shared" si="8"/>
        <v>3.7414999999999998</v>
      </c>
    </row>
    <row r="27" spans="1:10" x14ac:dyDescent="0.35">
      <c r="B27" s="6" t="s">
        <v>109</v>
      </c>
      <c r="C27" s="6">
        <f>C24+C26</f>
        <v>2229.8708000000001</v>
      </c>
      <c r="D27" s="6">
        <f t="shared" ref="D27:E27" si="9">D24+D26</f>
        <v>3252.2449000000001</v>
      </c>
      <c r="E27" s="6">
        <f t="shared" si="9"/>
        <v>3501.2381</v>
      </c>
      <c r="F27" s="6">
        <f>F24+F26</f>
        <v>5419.0288857872747</v>
      </c>
      <c r="G27" s="6">
        <f>G24+G26</f>
        <v>6751.905319534746</v>
      </c>
      <c r="H27" s="6">
        <f>H24+H26</f>
        <v>8305.6241582506791</v>
      </c>
      <c r="I27" s="6">
        <f>I24+I26</f>
        <v>10007.00993543537</v>
      </c>
      <c r="J27" s="6">
        <f>J24+J26</f>
        <v>11815.153642417901</v>
      </c>
    </row>
    <row r="29" spans="1:10" x14ac:dyDescent="0.35">
      <c r="B29" t="s">
        <v>110</v>
      </c>
      <c r="C29" s="7">
        <v>355</v>
      </c>
      <c r="D29" s="7">
        <v>666</v>
      </c>
      <c r="E29" s="7">
        <v>888</v>
      </c>
      <c r="F29">
        <f>Calc!F21</f>
        <v>1462.1275941625643</v>
      </c>
      <c r="G29">
        <f>Calc!G21</f>
        <v>1889.4858694697291</v>
      </c>
      <c r="H29">
        <f>Calc!H21</f>
        <v>2407.5459708926969</v>
      </c>
      <c r="I29">
        <f>Calc!I21</f>
        <v>3000.9805306306107</v>
      </c>
      <c r="J29">
        <f>Calc!J21</f>
        <v>3543.4236427253704</v>
      </c>
    </row>
    <row r="32" spans="1:10" x14ac:dyDescent="0.35">
      <c r="A32" s="6" t="s">
        <v>111</v>
      </c>
      <c r="B32" t="s">
        <v>23</v>
      </c>
      <c r="C32" s="7">
        <f>887786160/10000000</f>
        <v>88.778616</v>
      </c>
      <c r="D32" s="7">
        <f>887786160/10000000</f>
        <v>88.778616</v>
      </c>
      <c r="E32" s="7">
        <f>887395949/10000000</f>
        <v>88.7395949</v>
      </c>
      <c r="F32">
        <f>Assump!F15</f>
        <v>88.8</v>
      </c>
      <c r="G32">
        <f>Assump!G15</f>
        <v>88.8</v>
      </c>
      <c r="H32">
        <f>Assump!H15</f>
        <v>88.8</v>
      </c>
      <c r="I32">
        <f>Assump!I15</f>
        <v>88.8</v>
      </c>
      <c r="J32">
        <f>Assump!J15</f>
        <v>88.8</v>
      </c>
    </row>
    <row r="33" spans="2:10" x14ac:dyDescent="0.35">
      <c r="B33" t="s">
        <v>24</v>
      </c>
      <c r="C33" s="7">
        <f>887786160/10000000</f>
        <v>88.778616</v>
      </c>
      <c r="D33" s="7">
        <f>887786160/10000000</f>
        <v>88.778616</v>
      </c>
      <c r="E33" s="7">
        <f>887653172/10000000</f>
        <v>88.765317199999998</v>
      </c>
      <c r="F33">
        <f>Assump!F16</f>
        <v>88.8</v>
      </c>
      <c r="G33">
        <f>Assump!G16</f>
        <v>88.8</v>
      </c>
      <c r="H33">
        <f>Assump!H16</f>
        <v>88.8</v>
      </c>
      <c r="I33">
        <f>Assump!I16</f>
        <v>88.8</v>
      </c>
      <c r="J33">
        <f>Assump!J16</f>
        <v>88.8</v>
      </c>
    </row>
    <row r="34" spans="2:10" x14ac:dyDescent="0.35">
      <c r="B34" t="s">
        <v>112</v>
      </c>
      <c r="C34" s="15">
        <f t="shared" ref="C34:E34" si="10">C27/C32</f>
        <v>25.11720615243653</v>
      </c>
      <c r="D34" s="15">
        <f t="shared" si="10"/>
        <v>36.633201175382148</v>
      </c>
      <c r="E34" s="17">
        <f t="shared" si="10"/>
        <v>39.455195890239523</v>
      </c>
      <c r="F34" s="17">
        <f>F27/F32</f>
        <v>61.025100065172012</v>
      </c>
      <c r="G34" s="17">
        <f>G27/G32</f>
        <v>76.034969814580478</v>
      </c>
      <c r="H34" s="17">
        <f>H27/H32</f>
        <v>93.53180358390405</v>
      </c>
      <c r="I34" s="17">
        <f>I27/I32</f>
        <v>112.69155332697488</v>
      </c>
      <c r="J34" s="17">
        <f>J27/J32</f>
        <v>133.05353200921061</v>
      </c>
    </row>
    <row r="35" spans="2:10" x14ac:dyDescent="0.35">
      <c r="B35" t="s">
        <v>113</v>
      </c>
      <c r="C35" s="15">
        <f t="shared" ref="C35:E35" si="11">C27/C33</f>
        <v>25.11720615243653</v>
      </c>
      <c r="D35" s="15">
        <f t="shared" si="11"/>
        <v>36.633201175382148</v>
      </c>
      <c r="E35" s="17">
        <f t="shared" si="11"/>
        <v>39.443762614076483</v>
      </c>
      <c r="F35" s="17">
        <f>F27/F33</f>
        <v>61.025100065172012</v>
      </c>
      <c r="G35" s="17">
        <f>G27/G33</f>
        <v>76.034969814580478</v>
      </c>
      <c r="H35" s="17">
        <f>H27/H33</f>
        <v>93.53180358390405</v>
      </c>
      <c r="I35" s="17">
        <f>I27/I33</f>
        <v>112.69155332697488</v>
      </c>
      <c r="J35" s="17">
        <f>J27/J33</f>
        <v>133.05353200921061</v>
      </c>
    </row>
    <row r="36" spans="2:10" x14ac:dyDescent="0.35">
      <c r="B36" t="s">
        <v>114</v>
      </c>
      <c r="C36">
        <f>C29/C32</f>
        <v>3.998710680508919</v>
      </c>
      <c r="D36">
        <f t="shared" ref="D36:E36" si="12">D29/D32</f>
        <v>7.5018065161096903</v>
      </c>
      <c r="E36">
        <f t="shared" si="12"/>
        <v>10.006807006507982</v>
      </c>
      <c r="F36">
        <f>F29/F32</f>
        <v>16.465400835164012</v>
      </c>
      <c r="G36">
        <f>G29/G32</f>
        <v>21.277994025560012</v>
      </c>
      <c r="H36">
        <f>H29/H32</f>
        <v>27.112004176719562</v>
      </c>
      <c r="I36">
        <f>I29/I32</f>
        <v>33.794825795389762</v>
      </c>
      <c r="J36">
        <f>J29/J32</f>
        <v>39.903419400060478</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DB12-2798-438E-B118-A4F0C5EA4D3C}">
  <dimension ref="A1:N40"/>
  <sheetViews>
    <sheetView zoomScale="67" zoomScaleNormal="64" workbookViewId="0">
      <pane xSplit="2" ySplit="2" topLeftCell="C3" activePane="bottomRight" state="frozen"/>
      <selection pane="topRight" activeCell="C1" sqref="C1"/>
      <selection pane="bottomLeft" activeCell="A3" sqref="A3"/>
      <selection pane="bottomRight" activeCell="B13" sqref="B13"/>
    </sheetView>
  </sheetViews>
  <sheetFormatPr defaultRowHeight="14.5" x14ac:dyDescent="0.35"/>
  <cols>
    <col min="1" max="1" width="17.33203125" customWidth="1"/>
    <col min="2" max="2" width="54" customWidth="1"/>
    <col min="3" max="3" width="13.08203125" customWidth="1"/>
    <col min="4" max="4" width="11.5" customWidth="1"/>
    <col min="5" max="5" width="11.58203125" customWidth="1"/>
    <col min="6" max="6" width="13.58203125" bestFit="1" customWidth="1"/>
    <col min="7" max="7" width="10.58203125" customWidth="1"/>
    <col min="8" max="8" width="10.5" customWidth="1"/>
    <col min="9" max="9" width="9" bestFit="1" customWidth="1"/>
    <col min="10" max="10" width="11.33203125" customWidth="1"/>
  </cols>
  <sheetData>
    <row r="1" spans="1:14" s="45" customFormat="1" ht="18.5" x14ac:dyDescent="0.45">
      <c r="A1" s="44" t="s">
        <v>0</v>
      </c>
      <c r="C1" s="46" t="s">
        <v>1</v>
      </c>
      <c r="D1" s="46" t="s">
        <v>1</v>
      </c>
      <c r="E1" s="46" t="s">
        <v>1</v>
      </c>
      <c r="F1" s="46" t="s">
        <v>2</v>
      </c>
      <c r="G1" s="46" t="s">
        <v>2</v>
      </c>
      <c r="H1" s="46" t="s">
        <v>2</v>
      </c>
      <c r="I1" s="46" t="s">
        <v>2</v>
      </c>
      <c r="J1" s="46" t="s">
        <v>2</v>
      </c>
    </row>
    <row r="2" spans="1:14" s="45" customFormat="1" x14ac:dyDescent="0.35">
      <c r="A2" s="47" t="s">
        <v>3</v>
      </c>
      <c r="C2" s="48">
        <f>DATE(YEAR(D2)-1,MONTH(D2),DAY(D2))</f>
        <v>44651</v>
      </c>
      <c r="D2" s="48">
        <f>DATE(YEAR(E2)-1,MONTH(E2),DAY(E2))</f>
        <v>45016</v>
      </c>
      <c r="E2" s="48">
        <v>45382</v>
      </c>
      <c r="F2" s="48">
        <f>DATE(YEAR(E2)+1,MONTH(E2),DAY(E2))</f>
        <v>45747</v>
      </c>
      <c r="G2" s="48">
        <f t="shared" ref="G2:J2" si="0">DATE(YEAR(F2)+1,MONTH(F2),DAY(F2))</f>
        <v>46112</v>
      </c>
      <c r="H2" s="48">
        <f t="shared" si="0"/>
        <v>46477</v>
      </c>
      <c r="I2" s="48">
        <f t="shared" si="0"/>
        <v>46843</v>
      </c>
      <c r="J2" s="48">
        <f t="shared" si="0"/>
        <v>47208</v>
      </c>
    </row>
    <row r="3" spans="1:14" x14ac:dyDescent="0.35">
      <c r="A3" s="6" t="s">
        <v>115</v>
      </c>
      <c r="B3" t="s">
        <v>116</v>
      </c>
      <c r="C3" s="7">
        <f>291+15+1354+219</f>
        <v>1879</v>
      </c>
      <c r="D3" s="7">
        <f>2164+232+1111+201</f>
        <v>3708</v>
      </c>
      <c r="E3" s="7">
        <f>409+1117+327+1666</f>
        <v>3519</v>
      </c>
      <c r="F3">
        <f>CF!F24</f>
        <v>3251.1784895325718</v>
      </c>
      <c r="G3">
        <f>CF!G24</f>
        <v>7718.464778577526</v>
      </c>
      <c r="H3">
        <f>CF!H24</f>
        <v>13004.830307968085</v>
      </c>
      <c r="I3">
        <f>CF!I24</f>
        <v>19121.148580967543</v>
      </c>
      <c r="J3">
        <f>CF!J24</f>
        <v>26152.246930351212</v>
      </c>
    </row>
    <row r="4" spans="1:14" x14ac:dyDescent="0.35">
      <c r="A4" s="13" t="s">
        <v>117</v>
      </c>
      <c r="B4" t="s">
        <v>118</v>
      </c>
      <c r="C4" s="7">
        <v>13609</v>
      </c>
      <c r="D4" s="7">
        <v>16584</v>
      </c>
      <c r="E4" s="7">
        <f>19051</f>
        <v>19051</v>
      </c>
      <c r="F4">
        <f>Assump!F19*IS!F4/365</f>
        <v>20280.017133839483</v>
      </c>
      <c r="G4">
        <f>Assump!G19*IS!G4/365</f>
        <v>21973.328638753268</v>
      </c>
      <c r="H4">
        <f>Assump!H19*IS!H4/365</f>
        <v>23909.858453066416</v>
      </c>
      <c r="I4">
        <f>Assump!I19*IS!I4/365</f>
        <v>26108.838441331398</v>
      </c>
      <c r="J4">
        <f>Assump!J19*IS!J4/365</f>
        <v>28589.508175733408</v>
      </c>
    </row>
    <row r="5" spans="1:14" x14ac:dyDescent="0.35">
      <c r="A5" s="13" t="s">
        <v>117</v>
      </c>
      <c r="B5" t="s">
        <v>119</v>
      </c>
      <c r="C5" s="7">
        <v>565</v>
      </c>
      <c r="D5" s="7">
        <v>674</v>
      </c>
      <c r="E5" s="7">
        <f>1018</f>
        <v>1018</v>
      </c>
      <c r="F5">
        <f>IS!F3*Assump!F20/365</f>
        <v>1514.7093953082979</v>
      </c>
      <c r="G5">
        <f>IS!G3*Assump!G20/365</f>
        <v>1787.3570864637916</v>
      </c>
      <c r="H5">
        <f>IS!H3*Assump!H20/365</f>
        <v>2073.3342202979984</v>
      </c>
      <c r="I5">
        <f>IS!I3*Assump!I20/365</f>
        <v>2363.6010111397181</v>
      </c>
      <c r="J5">
        <f>IS!J3*Assump!J20/365</f>
        <v>2647.233132476485</v>
      </c>
      <c r="N5" t="s">
        <v>120</v>
      </c>
    </row>
    <row r="6" spans="1:14" x14ac:dyDescent="0.35">
      <c r="A6" s="6" t="s">
        <v>115</v>
      </c>
      <c r="B6" t="s">
        <v>29</v>
      </c>
      <c r="C6" s="7">
        <v>423</v>
      </c>
      <c r="D6" s="7">
        <v>135</v>
      </c>
      <c r="E6" s="7">
        <v>281</v>
      </c>
      <c r="F6">
        <f>Assump!F21</f>
        <v>279.66666666666669</v>
      </c>
      <c r="G6">
        <f>Assump!G21</f>
        <v>279.7</v>
      </c>
      <c r="H6">
        <f>Assump!H21</f>
        <v>279.7</v>
      </c>
      <c r="I6">
        <f>Assump!I21</f>
        <v>279.7</v>
      </c>
      <c r="J6">
        <f>Assump!J21</f>
        <v>279.7</v>
      </c>
    </row>
    <row r="7" spans="1:14" x14ac:dyDescent="0.35">
      <c r="A7" t="s">
        <v>115</v>
      </c>
      <c r="B7" t="s">
        <v>121</v>
      </c>
      <c r="C7" s="7">
        <v>0</v>
      </c>
      <c r="D7" s="7">
        <v>18</v>
      </c>
      <c r="E7" s="7">
        <f>18</f>
        <v>18</v>
      </c>
      <c r="F7">
        <f>Assump!F22</f>
        <v>0</v>
      </c>
      <c r="G7">
        <f>Assump!G22</f>
        <v>0</v>
      </c>
      <c r="H7">
        <f>Assump!H22</f>
        <v>0</v>
      </c>
      <c r="I7">
        <f>Assump!I22</f>
        <v>0</v>
      </c>
      <c r="J7">
        <f>Assump!J22</f>
        <v>0</v>
      </c>
    </row>
    <row r="8" spans="1:14" x14ac:dyDescent="0.35">
      <c r="A8" s="13" t="s">
        <v>117</v>
      </c>
      <c r="B8" t="s">
        <v>122</v>
      </c>
      <c r="C8" s="7">
        <v>978</v>
      </c>
      <c r="D8" s="7">
        <v>1288</v>
      </c>
      <c r="E8" s="7">
        <f>1721</f>
        <v>1721</v>
      </c>
      <c r="F8">
        <f>Assump!F23*IS!F3</f>
        <v>2030.9528465846424</v>
      </c>
      <c r="G8">
        <f>Assump!G23*IS!G3</f>
        <v>2396.524358969878</v>
      </c>
      <c r="H8">
        <f>Assump!H23*IS!H3</f>
        <v>2779.9682564050586</v>
      </c>
      <c r="I8">
        <f>Assump!I23*IS!I3</f>
        <v>3169.1638123017674</v>
      </c>
      <c r="J8">
        <f>Assump!J23*IS!J3</f>
        <v>3549.4634697779798</v>
      </c>
    </row>
    <row r="9" spans="1:14" x14ac:dyDescent="0.35">
      <c r="B9" s="6" t="s">
        <v>123</v>
      </c>
      <c r="C9" s="6">
        <f t="shared" ref="C9:E9" si="1">SUM(C3:C8)</f>
        <v>17454</v>
      </c>
      <c r="D9" s="6">
        <f t="shared" si="1"/>
        <v>22407</v>
      </c>
      <c r="E9" s="6">
        <f t="shared" si="1"/>
        <v>25608</v>
      </c>
      <c r="F9" s="6">
        <f>SUM(F3:F8)</f>
        <v>27356.524531931664</v>
      </c>
      <c r="G9" s="6">
        <f>SUM(G3:G8)</f>
        <v>34155.374862764467</v>
      </c>
      <c r="H9" s="6">
        <f>SUM(H3:H8)</f>
        <v>42047.691237737556</v>
      </c>
      <c r="I9" s="6">
        <f>SUM(I3:I8)</f>
        <v>51042.451845740427</v>
      </c>
      <c r="J9" s="6">
        <f>SUM(J3:J8)</f>
        <v>61218.151708339072</v>
      </c>
      <c r="N9" t="s">
        <v>124</v>
      </c>
    </row>
    <row r="11" spans="1:14" x14ac:dyDescent="0.35">
      <c r="A11" s="13" t="s">
        <v>117</v>
      </c>
      <c r="B11" t="s">
        <v>125</v>
      </c>
      <c r="C11" s="7">
        <f>1218+69</f>
        <v>1287</v>
      </c>
      <c r="D11" s="7">
        <f>1343+133</f>
        <v>1476</v>
      </c>
      <c r="E11" s="7">
        <f>1737+88</f>
        <v>1825</v>
      </c>
      <c r="F11">
        <f>Calc!F7</f>
        <v>2354.7791156854705</v>
      </c>
      <c r="G11">
        <f>Calc!G7</f>
        <v>2773.9940168219305</v>
      </c>
      <c r="H11">
        <f>Calc!H7</f>
        <v>3244.6191626109407</v>
      </c>
      <c r="I11">
        <f>Calc!I7</f>
        <v>3750.7756809232887</v>
      </c>
      <c r="J11">
        <f>Calc!J7</f>
        <v>4274.5709626962744</v>
      </c>
      <c r="N11" t="s">
        <v>126</v>
      </c>
    </row>
    <row r="12" spans="1:14" x14ac:dyDescent="0.35">
      <c r="A12" s="13" t="s">
        <v>117</v>
      </c>
      <c r="B12" t="s">
        <v>127</v>
      </c>
      <c r="C12" s="7">
        <v>973</v>
      </c>
      <c r="D12" s="7">
        <v>1285</v>
      </c>
      <c r="E12" s="7">
        <f>1543</f>
        <v>1543</v>
      </c>
      <c r="F12">
        <f>Assump!F26*IS!F3</f>
        <v>1739.6244899999999</v>
      </c>
      <c r="G12">
        <f>Assump!G26*IS!G3</f>
        <v>1809.8879231511</v>
      </c>
      <c r="H12">
        <f>Assump!H26*IS!H3</f>
        <v>1880.45545327476</v>
      </c>
      <c r="I12">
        <f>Assump!I26*IS!I3</f>
        <v>1952.11961059906</v>
      </c>
      <c r="J12">
        <f>Assump!J26*IS!J3</f>
        <v>2022.1226198351401</v>
      </c>
    </row>
    <row r="13" spans="1:14" x14ac:dyDescent="0.35">
      <c r="A13" t="s">
        <v>115</v>
      </c>
      <c r="B13" t="s">
        <v>128</v>
      </c>
      <c r="C13" s="7">
        <f>1+382+42+276</f>
        <v>701</v>
      </c>
      <c r="D13" s="7">
        <f>1+54+348+595</f>
        <v>998</v>
      </c>
      <c r="E13" s="7">
        <f>1+675+72+788</f>
        <v>1536</v>
      </c>
      <c r="F13">
        <f>Assump!F27</f>
        <v>1078.3333333333333</v>
      </c>
      <c r="G13">
        <f>Assump!G27</f>
        <v>1132.25</v>
      </c>
      <c r="H13">
        <f>Assump!H27</f>
        <v>1188.8625</v>
      </c>
      <c r="I13">
        <f>Assump!I27</f>
        <v>1248.305625</v>
      </c>
      <c r="J13">
        <f>Assump!J27</f>
        <v>1310.7209062500001</v>
      </c>
    </row>
    <row r="14" spans="1:14" x14ac:dyDescent="0.35">
      <c r="A14" s="13" t="s">
        <v>117</v>
      </c>
      <c r="B14" t="s">
        <v>129</v>
      </c>
      <c r="C14" s="7">
        <v>123</v>
      </c>
      <c r="D14" s="7">
        <v>123</v>
      </c>
      <c r="E14" s="7">
        <f>123</f>
        <v>123</v>
      </c>
      <c r="F14">
        <f>Assump!F28</f>
        <v>123</v>
      </c>
      <c r="G14">
        <f>Assump!G28</f>
        <v>123</v>
      </c>
      <c r="H14">
        <f>Assump!H28</f>
        <v>123</v>
      </c>
      <c r="I14">
        <f>Assump!I28</f>
        <v>123</v>
      </c>
      <c r="J14">
        <f>Assump!J28</f>
        <v>123</v>
      </c>
      <c r="N14" t="s">
        <v>130</v>
      </c>
    </row>
    <row r="15" spans="1:14" x14ac:dyDescent="0.35">
      <c r="A15" s="13" t="s">
        <v>117</v>
      </c>
      <c r="B15" t="s">
        <v>131</v>
      </c>
      <c r="C15" s="7">
        <f>229+16</f>
        <v>245</v>
      </c>
      <c r="D15" s="7">
        <f>246+11</f>
        <v>257</v>
      </c>
      <c r="E15" s="7">
        <f>305+9</f>
        <v>314</v>
      </c>
      <c r="F15">
        <f>Assump!F29</f>
        <v>272</v>
      </c>
      <c r="G15">
        <f>Assump!G29</f>
        <v>272</v>
      </c>
      <c r="H15">
        <f>Assump!H29</f>
        <v>272</v>
      </c>
      <c r="I15">
        <f>Assump!I29</f>
        <v>272</v>
      </c>
      <c r="J15">
        <f>Assump!J29</f>
        <v>272</v>
      </c>
    </row>
    <row r="16" spans="1:14" x14ac:dyDescent="0.35">
      <c r="A16" t="s">
        <v>115</v>
      </c>
      <c r="B16" t="s">
        <v>132</v>
      </c>
      <c r="C16" s="7">
        <v>3</v>
      </c>
      <c r="D16" s="7">
        <v>3</v>
      </c>
      <c r="E16" s="7">
        <f>4</f>
        <v>4</v>
      </c>
      <c r="F16">
        <f>Assump!F30</f>
        <v>3.3333333333333335</v>
      </c>
      <c r="G16">
        <f>Assump!G30</f>
        <v>3.3333333333333335</v>
      </c>
      <c r="H16">
        <f>Assump!H30</f>
        <v>3.3333333333333335</v>
      </c>
      <c r="I16">
        <f>Assump!I30</f>
        <v>3.3333333333333335</v>
      </c>
      <c r="J16">
        <f>Assump!J30</f>
        <v>3.3333333333333335</v>
      </c>
    </row>
    <row r="17" spans="1:10" x14ac:dyDescent="0.35">
      <c r="A17" s="13" t="s">
        <v>117</v>
      </c>
      <c r="B17" t="s">
        <v>133</v>
      </c>
      <c r="C17" s="7">
        <v>84</v>
      </c>
      <c r="D17" s="7">
        <v>165</v>
      </c>
      <c r="E17" s="7">
        <f>197</f>
        <v>197</v>
      </c>
      <c r="F17">
        <f>Assump!F33*IS!F3</f>
        <v>221.49419144315891</v>
      </c>
      <c r="G17">
        <f>Assump!G33*IS!G3</f>
        <v>261.3631459029275</v>
      </c>
      <c r="H17">
        <f>Assump!H33*IS!H3</f>
        <v>303.1812492473959</v>
      </c>
      <c r="I17">
        <f>Assump!I33*IS!I3</f>
        <v>345.6266241420314</v>
      </c>
      <c r="J17">
        <f>Assump!J33*IS!J3</f>
        <v>387.10181903907522</v>
      </c>
    </row>
    <row r="18" spans="1:10" x14ac:dyDescent="0.35">
      <c r="A18" t="s">
        <v>115</v>
      </c>
      <c r="B18" t="s">
        <v>39</v>
      </c>
      <c r="C18" s="7">
        <f>187</f>
        <v>187</v>
      </c>
      <c r="D18" s="7">
        <f>158</f>
        <v>158</v>
      </c>
      <c r="E18" s="7">
        <f>187</f>
        <v>187</v>
      </c>
      <c r="F18">
        <f>Assump!F31</f>
        <v>177.33333333333334</v>
      </c>
      <c r="G18">
        <f>Assump!G31</f>
        <v>177.33333333333334</v>
      </c>
      <c r="H18">
        <f>Assump!H31</f>
        <v>177.33333333333334</v>
      </c>
      <c r="I18">
        <f>Assump!I31</f>
        <v>177.33333333333334</v>
      </c>
      <c r="J18">
        <f>Assump!J31</f>
        <v>177.33333333333334</v>
      </c>
    </row>
    <row r="19" spans="1:10" x14ac:dyDescent="0.35">
      <c r="A19" t="s">
        <v>115</v>
      </c>
      <c r="B19" t="s">
        <v>40</v>
      </c>
      <c r="C19" s="7">
        <v>137</v>
      </c>
      <c r="D19" s="7">
        <v>151</v>
      </c>
      <c r="E19" s="7">
        <v>213</v>
      </c>
      <c r="F19">
        <f>Assump!F32</f>
        <v>167</v>
      </c>
      <c r="G19">
        <f>Assump!G32</f>
        <v>167</v>
      </c>
      <c r="H19">
        <f>Assump!H32</f>
        <v>167</v>
      </c>
      <c r="I19">
        <f>Assump!I32</f>
        <v>167</v>
      </c>
      <c r="J19">
        <f>Assump!J32</f>
        <v>167</v>
      </c>
    </row>
    <row r="20" spans="1:10" x14ac:dyDescent="0.35">
      <c r="B20" s="6" t="s">
        <v>134</v>
      </c>
      <c r="C20" s="6">
        <f>SUM(C11:C19)+C9</f>
        <v>21194</v>
      </c>
      <c r="D20" s="6">
        <f t="shared" ref="D20:E20" si="2">SUM(D11:D19)+D9</f>
        <v>27023</v>
      </c>
      <c r="E20" s="6">
        <f t="shared" si="2"/>
        <v>31550</v>
      </c>
      <c r="F20" s="6">
        <f>SUM(F11:F19)+F9</f>
        <v>33493.422329060289</v>
      </c>
      <c r="G20" s="6">
        <f t="shared" ref="G20:J20" si="3">SUM(G11:G19)+G9</f>
        <v>40875.536615307094</v>
      </c>
      <c r="H20" s="6">
        <f t="shared" si="3"/>
        <v>49407.476269537321</v>
      </c>
      <c r="I20" s="6">
        <f t="shared" si="3"/>
        <v>59081.946053071471</v>
      </c>
      <c r="J20" s="6">
        <f t="shared" si="3"/>
        <v>69955.334682826229</v>
      </c>
    </row>
    <row r="22" spans="1:10" x14ac:dyDescent="0.35">
      <c r="A22" t="s">
        <v>115</v>
      </c>
      <c r="B22" t="s">
        <v>135</v>
      </c>
      <c r="C22" s="7">
        <f>516+221</f>
        <v>737</v>
      </c>
      <c r="D22" s="7">
        <f>2195+266</f>
        <v>2461</v>
      </c>
      <c r="E22" s="7">
        <f>4536+317</f>
        <v>4853</v>
      </c>
      <c r="F22">
        <f>Assump!F35</f>
        <v>0</v>
      </c>
      <c r="G22">
        <f>Assump!G35</f>
        <v>0</v>
      </c>
      <c r="H22">
        <f>Assump!H35</f>
        <v>0</v>
      </c>
      <c r="I22">
        <f>Assump!I35</f>
        <v>0</v>
      </c>
      <c r="J22">
        <f>Assump!J35</f>
        <v>0</v>
      </c>
    </row>
    <row r="23" spans="1:10" x14ac:dyDescent="0.35">
      <c r="A23" t="s">
        <v>115</v>
      </c>
      <c r="B23" t="s">
        <v>136</v>
      </c>
      <c r="C23" s="7">
        <f>440</f>
        <v>440</v>
      </c>
      <c r="D23" s="7">
        <f>568</f>
        <v>568</v>
      </c>
      <c r="E23" s="7">
        <f>670+1</f>
        <v>671</v>
      </c>
      <c r="F23">
        <f>Assump!F36</f>
        <v>559.66666666666663</v>
      </c>
      <c r="G23">
        <f>Assump!G36</f>
        <v>559.66666666666663</v>
      </c>
      <c r="H23">
        <f>Assump!H36</f>
        <v>559.66666666666663</v>
      </c>
      <c r="I23">
        <f>Assump!I36</f>
        <v>559.66666666666663</v>
      </c>
      <c r="J23">
        <f>Assump!J36</f>
        <v>559.66666666666663</v>
      </c>
    </row>
    <row r="24" spans="1:10" x14ac:dyDescent="0.35">
      <c r="A24" s="13" t="s">
        <v>117</v>
      </c>
      <c r="B24" t="s">
        <v>137</v>
      </c>
      <c r="C24" s="7">
        <f>242+1052</f>
        <v>1294</v>
      </c>
      <c r="D24" s="7">
        <f>181+1033</f>
        <v>1214</v>
      </c>
      <c r="E24" s="7">
        <f>207+1203</f>
        <v>1410</v>
      </c>
      <c r="F24">
        <f>Assump!F37*IS!F4/365</f>
        <v>2097.1971310424269</v>
      </c>
      <c r="G24">
        <f>Assump!G37*IS!G4/365</f>
        <v>2458.3515381995953</v>
      </c>
      <c r="H24">
        <f>Assump!H37*IS!H4/365</f>
        <v>2832.7321356521879</v>
      </c>
      <c r="I24">
        <f>Assump!I37*IS!I4/365</f>
        <v>3207.7051951718445</v>
      </c>
      <c r="J24">
        <f>Assump!J37*IS!J4/365</f>
        <v>3568.4272463842176</v>
      </c>
    </row>
    <row r="25" spans="1:10" x14ac:dyDescent="0.35">
      <c r="A25" s="13" t="s">
        <v>117</v>
      </c>
      <c r="B25" t="s">
        <v>138</v>
      </c>
      <c r="C25" s="7">
        <v>5398</v>
      </c>
      <c r="D25" s="7">
        <v>5299</v>
      </c>
      <c r="E25" s="7">
        <f>5341</f>
        <v>5341</v>
      </c>
      <c r="F25">
        <f>Assump!F38*IS!F3</f>
        <v>6409.2</v>
      </c>
      <c r="G25">
        <f>Assump!G38*IS!G3</f>
        <v>7562.8559999999989</v>
      </c>
      <c r="H25">
        <f>Assump!H38*IS!H3</f>
        <v>8772.9129599999997</v>
      </c>
      <c r="I25">
        <f>Assump!I38*IS!I3</f>
        <v>10001.1207744</v>
      </c>
      <c r="J25">
        <f>Assump!J38*IS!J3</f>
        <v>11201.255267328002</v>
      </c>
    </row>
    <row r="26" spans="1:10" x14ac:dyDescent="0.35">
      <c r="A26" s="13" t="s">
        <v>117</v>
      </c>
      <c r="B26" t="s">
        <v>85</v>
      </c>
      <c r="C26" s="7">
        <v>38</v>
      </c>
      <c r="D26" s="7">
        <v>132</v>
      </c>
      <c r="E26" s="7">
        <v>100</v>
      </c>
      <c r="F26">
        <f>Assump!F39</f>
        <v>90</v>
      </c>
      <c r="G26">
        <f>Assump!G39</f>
        <v>90</v>
      </c>
      <c r="H26">
        <f>Assump!H39</f>
        <v>90</v>
      </c>
      <c r="I26">
        <f>Assump!I39</f>
        <v>90</v>
      </c>
      <c r="J26">
        <f>Assump!J39</f>
        <v>90</v>
      </c>
    </row>
    <row r="27" spans="1:10" x14ac:dyDescent="0.35">
      <c r="A27" t="s">
        <v>115</v>
      </c>
      <c r="B27" t="s">
        <v>48</v>
      </c>
      <c r="C27" s="7">
        <v>82</v>
      </c>
      <c r="D27" s="7">
        <v>73</v>
      </c>
      <c r="E27" s="7">
        <v>62</v>
      </c>
      <c r="F27">
        <f>Assump!F40</f>
        <v>72.333333333333329</v>
      </c>
      <c r="G27">
        <f>Assump!G40</f>
        <v>72.3</v>
      </c>
      <c r="H27">
        <f>Assump!H40</f>
        <v>72.3</v>
      </c>
      <c r="I27">
        <f>Assump!I40</f>
        <v>72.3</v>
      </c>
      <c r="J27">
        <f>Assump!J40</f>
        <v>72.3</v>
      </c>
    </row>
    <row r="28" spans="1:10" x14ac:dyDescent="0.35">
      <c r="A28" s="13" t="s">
        <v>117</v>
      </c>
      <c r="B28" t="s">
        <v>139</v>
      </c>
      <c r="C28" s="7">
        <f>2523</f>
        <v>2523</v>
      </c>
      <c r="D28" s="7">
        <f>3517</f>
        <v>3517</v>
      </c>
      <c r="E28" s="7">
        <f>4092</f>
        <v>4092</v>
      </c>
      <c r="F28">
        <f>Assump!F41*IS!F3</f>
        <v>5198.0944576841757</v>
      </c>
      <c r="G28">
        <f>Assump!G41*IS!G3</f>
        <v>6134.0032511999989</v>
      </c>
      <c r="H28">
        <f>Assump!H41*IS!H3</f>
        <v>7115.4437713919988</v>
      </c>
      <c r="I28">
        <f>Assump!I41*IS!I3</f>
        <v>8111.6058993868801</v>
      </c>
      <c r="J28">
        <f>Assump!J41*IS!J3</f>
        <v>9084.9986073133077</v>
      </c>
    </row>
    <row r="29" spans="1:10" x14ac:dyDescent="0.35">
      <c r="B29" s="6" t="s">
        <v>140</v>
      </c>
      <c r="C29" s="6">
        <f t="shared" ref="C29:F29" si="4">SUM(C22:C28)</f>
        <v>10512</v>
      </c>
      <c r="D29" s="6">
        <f t="shared" si="4"/>
        <v>13264</v>
      </c>
      <c r="E29" s="6">
        <f t="shared" si="4"/>
        <v>16529</v>
      </c>
      <c r="F29" s="6">
        <f t="shared" si="4"/>
        <v>14426.491588726603</v>
      </c>
      <c r="G29" s="6">
        <f>SUM(G22:G28)</f>
        <v>16877.17745606626</v>
      </c>
      <c r="H29" s="6">
        <f>SUM(H22:H28)</f>
        <v>19443.055533710853</v>
      </c>
      <c r="I29" s="6">
        <f>SUM(I22:I28)</f>
        <v>22042.398535625391</v>
      </c>
      <c r="J29" s="6">
        <f>SUM(J22:J28)</f>
        <v>24576.647787692193</v>
      </c>
    </row>
    <row r="31" spans="1:10" x14ac:dyDescent="0.35">
      <c r="A31" t="s">
        <v>141</v>
      </c>
      <c r="B31" t="s">
        <v>142</v>
      </c>
      <c r="C31" s="7">
        <f>2+1138+4</f>
        <v>1144</v>
      </c>
      <c r="D31" s="7">
        <f>1607+4</f>
        <v>1611</v>
      </c>
      <c r="E31" s="7">
        <f>3302+8+2032</f>
        <v>5342</v>
      </c>
      <c r="F31">
        <f>Debt!F19</f>
        <v>5342</v>
      </c>
      <c r="G31">
        <f>Debt!G19</f>
        <v>5342</v>
      </c>
      <c r="H31">
        <f>Debt!H19</f>
        <v>5342</v>
      </c>
      <c r="I31">
        <f>Debt!I19</f>
        <v>5342</v>
      </c>
      <c r="J31">
        <f>Debt!J19</f>
        <v>5342</v>
      </c>
    </row>
    <row r="32" spans="1:10" x14ac:dyDescent="0.35">
      <c r="A32" s="13" t="s">
        <v>117</v>
      </c>
      <c r="B32" t="s">
        <v>85</v>
      </c>
      <c r="C32" s="7">
        <v>198</v>
      </c>
      <c r="D32" s="7">
        <v>240</v>
      </c>
      <c r="E32" s="7">
        <v>274</v>
      </c>
      <c r="F32">
        <f>Assump!F44*IS!F3</f>
        <v>370.95005543104247</v>
      </c>
      <c r="G32">
        <f>Assump!G44*IS!G3</f>
        <v>441.24315839999997</v>
      </c>
      <c r="H32">
        <f>Assump!H44*IS!H3</f>
        <v>511.84206374399997</v>
      </c>
      <c r="I32">
        <f>Assump!I44*IS!I3</f>
        <v>583.49995266816006</v>
      </c>
      <c r="J32">
        <f>Assump!J44*IS!J3</f>
        <v>653.51994698833937</v>
      </c>
    </row>
    <row r="33" spans="1:10" x14ac:dyDescent="0.35">
      <c r="A33" t="s">
        <v>115</v>
      </c>
      <c r="B33" t="s">
        <v>143</v>
      </c>
      <c r="C33" s="7">
        <v>6</v>
      </c>
      <c r="D33" s="7">
        <v>3</v>
      </c>
      <c r="E33" s="7">
        <v>3</v>
      </c>
      <c r="F33">
        <f>Assump!F45</f>
        <v>3</v>
      </c>
      <c r="G33">
        <f>Assump!G45</f>
        <v>3</v>
      </c>
      <c r="H33">
        <f>Assump!H45</f>
        <v>3</v>
      </c>
      <c r="I33">
        <f>Assump!I45</f>
        <v>3</v>
      </c>
      <c r="J33">
        <f>Assump!J45</f>
        <v>3</v>
      </c>
    </row>
    <row r="34" spans="1:10" x14ac:dyDescent="0.35">
      <c r="A34" s="13" t="s">
        <v>117</v>
      </c>
      <c r="B34" t="s">
        <v>144</v>
      </c>
      <c r="C34" s="7">
        <f>1</f>
        <v>1</v>
      </c>
      <c r="D34" s="7">
        <f>1</f>
        <v>1</v>
      </c>
      <c r="E34" s="7">
        <f>9</f>
        <v>9</v>
      </c>
      <c r="F34">
        <f>Assump!F46*IS!F3</f>
        <v>4.8131253756436267</v>
      </c>
      <c r="G34">
        <f>Assump!G46*IS!G3</f>
        <v>7.2334943999999988</v>
      </c>
      <c r="H34">
        <f>Assump!H46*IS!H3</f>
        <v>8.390853503999999</v>
      </c>
      <c r="I34">
        <f>Assump!I46*IS!I3</f>
        <v>9.5655729945600001</v>
      </c>
      <c r="J34">
        <f>Assump!J46*IS!J3</f>
        <v>10.713441753907203</v>
      </c>
    </row>
    <row r="35" spans="1:10" x14ac:dyDescent="0.35">
      <c r="B35" s="6" t="s">
        <v>145</v>
      </c>
      <c r="C35" s="6">
        <f>C29+SUM(C31:C34)</f>
        <v>11861</v>
      </c>
      <c r="D35" s="6">
        <f t="shared" ref="D35:E35" si="5">D29+SUM(D31:D34)</f>
        <v>15119</v>
      </c>
      <c r="E35" s="6">
        <f t="shared" si="5"/>
        <v>22157</v>
      </c>
      <c r="F35" s="6">
        <f>F29+SUM(F31:F34)</f>
        <v>20147.254769533291</v>
      </c>
      <c r="G35" s="6">
        <f>G29+SUM(G31:G34)</f>
        <v>22670.65410886626</v>
      </c>
      <c r="H35" s="6">
        <f>H29+SUM(H31:H34)</f>
        <v>25308.288450958855</v>
      </c>
      <c r="I35" s="6">
        <f>I29+SUM(I31:I34)</f>
        <v>27980.464061288112</v>
      </c>
      <c r="J35" s="6">
        <f>J29+SUM(J31:J34)</f>
        <v>30585.881176434439</v>
      </c>
    </row>
    <row r="37" spans="1:10" x14ac:dyDescent="0.35">
      <c r="A37" t="s">
        <v>141</v>
      </c>
      <c r="B37" s="6" t="s">
        <v>146</v>
      </c>
      <c r="C37" s="7">
        <f>9333</f>
        <v>9333</v>
      </c>
      <c r="D37" s="7">
        <f>11904</f>
        <v>11904</v>
      </c>
      <c r="E37" s="7">
        <f>9393</f>
        <v>9393</v>
      </c>
      <c r="F37">
        <f>Calc!F22</f>
        <v>13346.15979162471</v>
      </c>
      <c r="G37">
        <f>Calc!G22</f>
        <v>18204.837741689727</v>
      </c>
      <c r="H37">
        <f>Calc!H22</f>
        <v>24099.174429047711</v>
      </c>
      <c r="I37">
        <f>Calc!I22</f>
        <v>31101.462333852465</v>
      </c>
      <c r="J37">
        <f>Calc!J22</f>
        <v>39369.450833544994</v>
      </c>
    </row>
    <row r="38" spans="1:10" x14ac:dyDescent="0.35">
      <c r="B38" s="6" t="s">
        <v>147</v>
      </c>
      <c r="C38" s="6">
        <f t="shared" ref="C38:E38" si="6">C37+C35</f>
        <v>21194</v>
      </c>
      <c r="D38" s="6">
        <f t="shared" si="6"/>
        <v>27023</v>
      </c>
      <c r="E38" s="6">
        <f t="shared" si="6"/>
        <v>31550</v>
      </c>
      <c r="F38" s="6">
        <f>F37+F35</f>
        <v>33493.414561158002</v>
      </c>
      <c r="G38" s="6">
        <f>G37+G35</f>
        <v>40875.491850555991</v>
      </c>
      <c r="H38" s="6">
        <f>H37+H35</f>
        <v>49407.462880006569</v>
      </c>
      <c r="I38" s="6">
        <f>I37+I35</f>
        <v>59081.926395140574</v>
      </c>
      <c r="J38" s="6">
        <f>J37+J35</f>
        <v>69955.332009979436</v>
      </c>
    </row>
    <row r="40" spans="1:10" x14ac:dyDescent="0.35">
      <c r="B40" t="s">
        <v>148</v>
      </c>
      <c r="C40">
        <f>C20-C38</f>
        <v>0</v>
      </c>
      <c r="D40">
        <f t="shared" ref="D40:J40" si="7">D20-D38</f>
        <v>0</v>
      </c>
      <c r="E40">
        <f t="shared" si="7"/>
        <v>0</v>
      </c>
      <c r="F40">
        <f t="shared" si="7"/>
        <v>7.7679022870142944E-3</v>
      </c>
      <c r="G40">
        <f t="shared" si="7"/>
        <v>4.4764751102775335E-2</v>
      </c>
      <c r="H40">
        <f t="shared" si="7"/>
        <v>1.3389530751737766E-2</v>
      </c>
      <c r="I40">
        <f t="shared" si="7"/>
        <v>1.965793089766521E-2</v>
      </c>
      <c r="J40">
        <f t="shared" si="7"/>
        <v>2.6728467928478494E-3</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6BEF3-ED5F-4B0C-9C56-01E337B3C38D}">
  <dimension ref="A1:J24"/>
  <sheetViews>
    <sheetView zoomScale="71" workbookViewId="0">
      <pane xSplit="2" ySplit="2" topLeftCell="H3" activePane="bottomRight" state="frozen"/>
      <selection pane="topRight" activeCell="C1" sqref="C1"/>
      <selection pane="bottomLeft" activeCell="A3" sqref="A3"/>
      <selection pane="bottomRight" activeCell="H3" sqref="H3"/>
    </sheetView>
  </sheetViews>
  <sheetFormatPr defaultRowHeight="14.5" x14ac:dyDescent="0.35"/>
  <cols>
    <col min="1" max="1" width="2.58203125" customWidth="1"/>
    <col min="2" max="2" width="44.08203125" customWidth="1"/>
    <col min="3" max="3" width="10.58203125" customWidth="1"/>
    <col min="4" max="4" width="11.5" customWidth="1"/>
    <col min="5" max="5" width="9.58203125" bestFit="1" customWidth="1"/>
    <col min="6" max="6" width="11.33203125" customWidth="1"/>
    <col min="7" max="7" width="10.58203125" customWidth="1"/>
    <col min="8" max="8" width="10.5" customWidth="1"/>
    <col min="9" max="9" width="9" bestFit="1" customWidth="1"/>
    <col min="10" max="10" width="11.33203125" customWidth="1"/>
  </cols>
  <sheetData>
    <row r="1" spans="1:10" s="45" customFormat="1" ht="18.5" x14ac:dyDescent="0.45">
      <c r="A1" s="44" t="s">
        <v>0</v>
      </c>
      <c r="C1" s="46" t="s">
        <v>1</v>
      </c>
      <c r="D1" s="46" t="s">
        <v>1</v>
      </c>
      <c r="E1" s="46" t="s">
        <v>1</v>
      </c>
      <c r="F1" s="46" t="s">
        <v>2</v>
      </c>
      <c r="G1" s="46" t="s">
        <v>2</v>
      </c>
      <c r="H1" s="46" t="s">
        <v>2</v>
      </c>
      <c r="I1" s="46" t="s">
        <v>2</v>
      </c>
      <c r="J1" s="46" t="s">
        <v>2</v>
      </c>
    </row>
    <row r="2" spans="1:10" s="45" customFormat="1" x14ac:dyDescent="0.35">
      <c r="A2" s="47" t="s">
        <v>3</v>
      </c>
      <c r="C2" s="48">
        <f>DATE(YEAR(D2)-1,MONTH(D2),DAY(D2))</f>
        <v>44651</v>
      </c>
      <c r="D2" s="48">
        <f>DATE(YEAR(E2)-1,MONTH(E2),DAY(E2))</f>
        <v>45016</v>
      </c>
      <c r="E2" s="48">
        <v>45382</v>
      </c>
      <c r="F2" s="48">
        <f>DATE(YEAR(E2)+1,MONTH(E2),DAY(E2))</f>
        <v>45747</v>
      </c>
      <c r="G2" s="48">
        <f t="shared" ref="G2:J2" si="0">DATE(YEAR(F2)+1,MONTH(F2),DAY(F2))</f>
        <v>46112</v>
      </c>
      <c r="H2" s="48">
        <f t="shared" si="0"/>
        <v>46477</v>
      </c>
      <c r="I2" s="48">
        <f t="shared" si="0"/>
        <v>46843</v>
      </c>
      <c r="J2" s="48">
        <f t="shared" si="0"/>
        <v>47208</v>
      </c>
    </row>
    <row r="3" spans="1:10" x14ac:dyDescent="0.35">
      <c r="B3" s="30" t="s">
        <v>149</v>
      </c>
      <c r="C3" s="7">
        <f>IS!C21</f>
        <v>2198</v>
      </c>
      <c r="D3" s="7">
        <f>IS!D21</f>
        <v>3274</v>
      </c>
      <c r="E3" s="7">
        <f>IS!E21</f>
        <v>3496</v>
      </c>
      <c r="F3">
        <f>IS!F21</f>
        <v>5415.2873857872746</v>
      </c>
      <c r="G3">
        <f>IS!G21</f>
        <v>6748.1638195347459</v>
      </c>
      <c r="H3">
        <f>IS!H21</f>
        <v>8301.882658250679</v>
      </c>
      <c r="I3">
        <f>IS!I21</f>
        <v>10003.26843543537</v>
      </c>
      <c r="J3">
        <f>IS!J21</f>
        <v>11811.412142417901</v>
      </c>
    </row>
    <row r="4" spans="1:10" x14ac:dyDescent="0.35">
      <c r="B4" s="30" t="s">
        <v>150</v>
      </c>
      <c r="C4" s="7">
        <f>IS!C11</f>
        <v>399</v>
      </c>
      <c r="D4" s="7">
        <f>IS!D11</f>
        <v>441</v>
      </c>
      <c r="E4" s="7">
        <f>IS!E11</f>
        <v>584</v>
      </c>
      <c r="F4">
        <f>IS!F11</f>
        <v>673.71818560842951</v>
      </c>
      <c r="G4">
        <f>IS!G11</f>
        <v>868.91349368793863</v>
      </c>
      <c r="H4">
        <f>IS!H11</f>
        <v>1023.6037922072924</v>
      </c>
      <c r="I4">
        <f>IS!I11</f>
        <v>1197.2644710034372</v>
      </c>
      <c r="J4">
        <f>IS!J11</f>
        <v>1384.0362262606936</v>
      </c>
    </row>
    <row r="5" spans="1:10" x14ac:dyDescent="0.35">
      <c r="B5" s="30" t="s">
        <v>151</v>
      </c>
      <c r="C5" s="7"/>
      <c r="D5" s="7">
        <f>Calc!C16-Calc!D16</f>
        <v>-2485</v>
      </c>
      <c r="E5" s="7">
        <f>Calc!D16-Calc!E16</f>
        <v>-2463</v>
      </c>
      <c r="F5">
        <f>Calc!E16-Calc!F16</f>
        <v>815.8122129941803</v>
      </c>
      <c r="G5">
        <f>Calc!F16-Calc!G16</f>
        <v>119.18849221847631</v>
      </c>
      <c r="H5">
        <f>Calc!G16-Calc!H16</f>
        <v>-40.072767937945173</v>
      </c>
      <c r="I5">
        <f>Calc!H16-Calc!I16</f>
        <v>-279.09933308887412</v>
      </c>
      <c r="J5">
        <f>Calc!I16-Calc!J16</f>
        <v>-610.35226114818215</v>
      </c>
    </row>
    <row r="6" spans="1:10" x14ac:dyDescent="0.35">
      <c r="B6" s="30" t="s">
        <v>152</v>
      </c>
      <c r="C6" s="7"/>
      <c r="D6" s="7">
        <f>BS!C17-BS!D17</f>
        <v>-81</v>
      </c>
      <c r="E6" s="7">
        <f>BS!D17-BS!E17</f>
        <v>-32</v>
      </c>
      <c r="F6">
        <f>BS!E17-BS!F17</f>
        <v>-24.494191443158911</v>
      </c>
      <c r="G6">
        <f>BS!F17-BS!G17</f>
        <v>-39.868954459768588</v>
      </c>
      <c r="H6">
        <f>BS!G17-BS!H17</f>
        <v>-41.818103344468398</v>
      </c>
      <c r="I6">
        <f>BS!H17-BS!I17</f>
        <v>-42.445374894635506</v>
      </c>
      <c r="J6">
        <f>BS!I17-BS!J17</f>
        <v>-41.475194897043821</v>
      </c>
    </row>
    <row r="7" spans="1:10" x14ac:dyDescent="0.35">
      <c r="B7" s="30" t="s">
        <v>153</v>
      </c>
      <c r="C7" s="7"/>
      <c r="D7" s="7">
        <f>BS!D34-BS!C34</f>
        <v>0</v>
      </c>
      <c r="E7" s="7">
        <f>BS!E34-BS!D34</f>
        <v>8</v>
      </c>
      <c r="F7">
        <f>BS!F34-BS!E34</f>
        <v>-4.1868746243563733</v>
      </c>
      <c r="G7">
        <f>BS!G34-BS!F34</f>
        <v>2.420369024356372</v>
      </c>
      <c r="H7">
        <f>BS!H34-BS!G34</f>
        <v>1.1573591040000002</v>
      </c>
      <c r="I7">
        <f>BS!I34-BS!H34</f>
        <v>1.1747194905600011</v>
      </c>
      <c r="J7">
        <f>BS!J34-BS!I34</f>
        <v>1.1478687593472028</v>
      </c>
    </row>
    <row r="8" spans="1:10" x14ac:dyDescent="0.35">
      <c r="B8" s="30" t="s">
        <v>154</v>
      </c>
      <c r="C8" s="7"/>
      <c r="D8" s="7">
        <f>BS!C18-BS!D18</f>
        <v>29</v>
      </c>
      <c r="E8" s="7">
        <f>BS!D18-BS!E18</f>
        <v>-29</v>
      </c>
      <c r="F8">
        <f>BS!E18-BS!F18</f>
        <v>9.6666666666666572</v>
      </c>
      <c r="G8">
        <f>BS!F18-BS!G18</f>
        <v>0</v>
      </c>
      <c r="H8">
        <f>BS!G18-BS!H18</f>
        <v>0</v>
      </c>
      <c r="I8">
        <f>BS!H18-BS!I18</f>
        <v>0</v>
      </c>
      <c r="J8">
        <f>BS!I18-BS!J18</f>
        <v>0</v>
      </c>
    </row>
    <row r="9" spans="1:10" x14ac:dyDescent="0.35">
      <c r="B9" s="32" t="s">
        <v>61</v>
      </c>
      <c r="D9" s="6">
        <f t="shared" ref="D9:E9" si="1">SUM(D3:D8)</f>
        <v>1178</v>
      </c>
      <c r="E9" s="6">
        <f t="shared" si="1"/>
        <v>1564</v>
      </c>
      <c r="F9" s="6">
        <f>SUM(F3:F8)</f>
        <v>6885.8033849890362</v>
      </c>
      <c r="G9" s="6">
        <f>SUM(G3:G8)</f>
        <v>7698.8172200057488</v>
      </c>
      <c r="H9" s="6">
        <f>SUM(H3:H8)</f>
        <v>9244.7529382795565</v>
      </c>
      <c r="I9" s="6">
        <f>SUM(I3:I8)</f>
        <v>10880.162917945856</v>
      </c>
      <c r="J9" s="6">
        <f>SUM(J3:J8)</f>
        <v>12544.768781392717</v>
      </c>
    </row>
    <row r="10" spans="1:10" x14ac:dyDescent="0.35">
      <c r="B10" s="30"/>
    </row>
    <row r="11" spans="1:10" x14ac:dyDescent="0.35">
      <c r="B11" s="30" t="s">
        <v>155</v>
      </c>
      <c r="D11" s="7">
        <f>-Calc!D5</f>
        <v>-630</v>
      </c>
      <c r="E11" s="7">
        <f>-Calc!E5</f>
        <v>-933</v>
      </c>
      <c r="F11">
        <f>-Calc!F5</f>
        <v>-1203.4973012938999</v>
      </c>
      <c r="G11">
        <f>-Calc!G5</f>
        <v>-1288.1283948243988</v>
      </c>
      <c r="H11">
        <f>-Calc!H5</f>
        <v>-1494.2289379963026</v>
      </c>
      <c r="I11">
        <f>-Calc!I5</f>
        <v>-1703.4209893157854</v>
      </c>
      <c r="J11">
        <f>-Calc!J5</f>
        <v>-1907.8315080336799</v>
      </c>
    </row>
    <row r="12" spans="1:10" x14ac:dyDescent="0.35">
      <c r="B12" s="30" t="s">
        <v>156</v>
      </c>
      <c r="D12" s="7">
        <f>BS!C7-BS!D7</f>
        <v>-18</v>
      </c>
      <c r="E12" s="7">
        <f>BS!D7-BS!E7</f>
        <v>0</v>
      </c>
      <c r="F12">
        <f>BS!E7-BS!F7</f>
        <v>18</v>
      </c>
      <c r="G12">
        <f>BS!F7-BS!G7</f>
        <v>0</v>
      </c>
      <c r="H12">
        <f>BS!G7-BS!H7</f>
        <v>0</v>
      </c>
      <c r="I12">
        <f>BS!H7-BS!I7</f>
        <v>0</v>
      </c>
      <c r="J12">
        <f>BS!I7-BS!J7</f>
        <v>0</v>
      </c>
    </row>
    <row r="13" spans="1:10" x14ac:dyDescent="0.35">
      <c r="B13" s="30" t="s">
        <v>157</v>
      </c>
      <c r="D13" s="7">
        <f>-((BS!D13+BS!D16)-(BS!C13+BS!C16))</f>
        <v>-297</v>
      </c>
      <c r="E13" s="7">
        <f>-((BS!E13+BS!E16)-(BS!D13+BS!D16))</f>
        <v>-539</v>
      </c>
      <c r="F13">
        <f>-((BS!F13+BS!F16)-(BS!E13+BS!E16))</f>
        <v>458.33333333333348</v>
      </c>
      <c r="G13">
        <f>-((BS!G13+BS!G16)-(BS!F13+BS!F16))</f>
        <v>-53.916666666666742</v>
      </c>
      <c r="H13">
        <f>-((BS!H13+BS!H16)-(BS!G13+BS!G16))</f>
        <v>-56.612499999999955</v>
      </c>
      <c r="I13">
        <f>-((BS!I13+BS!I16)-(BS!H13+BS!H16))</f>
        <v>-59.443125000000009</v>
      </c>
      <c r="J13">
        <f>-((BS!J13+BS!J16)-(BS!I13+BS!I16))</f>
        <v>-62.415281250000135</v>
      </c>
    </row>
    <row r="14" spans="1:10" x14ac:dyDescent="0.35">
      <c r="B14" s="32" t="s">
        <v>62</v>
      </c>
      <c r="D14" s="6">
        <f t="shared" ref="D14:E14" si="2">SUM(D11:D13)</f>
        <v>-945</v>
      </c>
      <c r="E14" s="6">
        <f t="shared" si="2"/>
        <v>-1472</v>
      </c>
      <c r="F14" s="6">
        <f>SUM(F11:F13)</f>
        <v>-727.16396796056642</v>
      </c>
      <c r="G14" s="6">
        <f>SUM(G11:G13)</f>
        <v>-1342.0450614910656</v>
      </c>
      <c r="H14" s="6">
        <f>SUM(H11:H13)</f>
        <v>-1550.8414379963026</v>
      </c>
      <c r="I14" s="6">
        <f>SUM(I11:I13)</f>
        <v>-1762.8641143157854</v>
      </c>
      <c r="J14" s="6">
        <f>SUM(J11:J13)</f>
        <v>-1970.2467892836801</v>
      </c>
    </row>
    <row r="15" spans="1:10" x14ac:dyDescent="0.35">
      <c r="B15" s="30"/>
    </row>
    <row r="16" spans="1:10" x14ac:dyDescent="0.35">
      <c r="B16" s="30" t="s">
        <v>158</v>
      </c>
      <c r="D16" s="7">
        <f>BS!D22-BS!C22</f>
        <v>1724</v>
      </c>
      <c r="E16" s="7">
        <f>BS!E22-BS!D22</f>
        <v>2392</v>
      </c>
      <c r="F16">
        <f>BS!F22-BS!E22</f>
        <v>-4853</v>
      </c>
      <c r="G16">
        <f>BS!G22-BS!F22</f>
        <v>0</v>
      </c>
      <c r="H16">
        <f>BS!H22-BS!G22</f>
        <v>0</v>
      </c>
      <c r="I16">
        <f>BS!I22-BS!H22</f>
        <v>0</v>
      </c>
      <c r="J16">
        <f>BS!J22-BS!I22</f>
        <v>0</v>
      </c>
    </row>
    <row r="17" spans="2:10" x14ac:dyDescent="0.35">
      <c r="B17" s="30" t="s">
        <v>159</v>
      </c>
      <c r="D17" s="7">
        <f>BS!D31-BS!C31</f>
        <v>467</v>
      </c>
      <c r="E17" s="7">
        <f>BS!E31-BS!D31</f>
        <v>3731</v>
      </c>
      <c r="F17">
        <f>BS!F31-BS!E31</f>
        <v>0</v>
      </c>
      <c r="G17">
        <f>BS!G31-BS!F31</f>
        <v>0</v>
      </c>
      <c r="H17">
        <f>BS!H31-BS!G31</f>
        <v>0</v>
      </c>
      <c r="I17">
        <f>BS!I31-BS!H31</f>
        <v>0</v>
      </c>
      <c r="J17">
        <f>BS!J31-BS!I31</f>
        <v>0</v>
      </c>
    </row>
    <row r="18" spans="2:10" x14ac:dyDescent="0.35">
      <c r="B18" s="30" t="s">
        <v>160</v>
      </c>
      <c r="D18" s="7">
        <f>BS!D23-BS!C23</f>
        <v>128</v>
      </c>
      <c r="E18" s="7">
        <f>BS!E23-BS!D23</f>
        <v>103</v>
      </c>
      <c r="F18">
        <f>BS!F23-BS!E23</f>
        <v>-111.33333333333337</v>
      </c>
      <c r="G18">
        <f>BS!G23-BS!F23</f>
        <v>0</v>
      </c>
      <c r="H18">
        <f>BS!H23-BS!G23</f>
        <v>0</v>
      </c>
      <c r="I18">
        <f>BS!I23-BS!H23</f>
        <v>0</v>
      </c>
      <c r="J18">
        <f>BS!J23-BS!I23</f>
        <v>0</v>
      </c>
    </row>
    <row r="19" spans="2:10" x14ac:dyDescent="0.35">
      <c r="B19" s="30" t="s">
        <v>63</v>
      </c>
      <c r="D19" s="7">
        <f>-IS!D29</f>
        <v>-666</v>
      </c>
      <c r="E19" s="7">
        <f>-IS!E29</f>
        <v>-888</v>
      </c>
      <c r="F19">
        <f>-IS!F29</f>
        <v>-1462.1275941625643</v>
      </c>
      <c r="G19">
        <f>-IS!G29</f>
        <v>-1889.4858694697291</v>
      </c>
      <c r="H19">
        <f>-IS!H29</f>
        <v>-2407.5459708926969</v>
      </c>
      <c r="I19">
        <f>-IS!I29</f>
        <v>-3000.9805306306107</v>
      </c>
      <c r="J19">
        <f>-IS!J29</f>
        <v>-3543.4236427253704</v>
      </c>
    </row>
    <row r="20" spans="2:10" x14ac:dyDescent="0.35">
      <c r="B20" s="32" t="s">
        <v>161</v>
      </c>
      <c r="D20" s="6">
        <f t="shared" ref="D20:E20" si="3">SUM(D16:D19)</f>
        <v>1653</v>
      </c>
      <c r="E20" s="6">
        <f t="shared" si="3"/>
        <v>5338</v>
      </c>
      <c r="F20" s="6">
        <f>SUM(F16:F19)</f>
        <v>-6426.4609274958975</v>
      </c>
      <c r="G20" s="6">
        <f>SUM(G16:G19)</f>
        <v>-1889.4858694697291</v>
      </c>
      <c r="H20" s="6">
        <f>SUM(H16:H19)</f>
        <v>-2407.5459708926969</v>
      </c>
      <c r="I20" s="6">
        <f>SUM(I16:I19)</f>
        <v>-3000.9805306306107</v>
      </c>
      <c r="J20" s="6">
        <f>SUM(J16:J19)</f>
        <v>-3543.4236427253704</v>
      </c>
    </row>
    <row r="22" spans="2:10" x14ac:dyDescent="0.35">
      <c r="B22" s="30" t="s">
        <v>162</v>
      </c>
      <c r="F22">
        <f>F9+F14+F20</f>
        <v>-267.8215104674282</v>
      </c>
      <c r="G22">
        <f>G9+G14+G20</f>
        <v>4467.2862890449542</v>
      </c>
      <c r="H22">
        <f>H9+H14+H20</f>
        <v>5286.3655293905576</v>
      </c>
      <c r="I22">
        <f>I9+I14+I20</f>
        <v>6116.3182729994596</v>
      </c>
      <c r="J22">
        <f>J9+J14+J20</f>
        <v>7031.0983493836666</v>
      </c>
    </row>
    <row r="23" spans="2:10" x14ac:dyDescent="0.35">
      <c r="B23" s="30" t="s">
        <v>65</v>
      </c>
      <c r="F23">
        <f>E24</f>
        <v>3519</v>
      </c>
      <c r="G23">
        <f>F24</f>
        <v>3251.1784895325718</v>
      </c>
      <c r="H23">
        <f>G24</f>
        <v>7718.464778577526</v>
      </c>
      <c r="I23">
        <f>H24</f>
        <v>13004.830307968085</v>
      </c>
      <c r="J23">
        <f>I24</f>
        <v>19121.148580967543</v>
      </c>
    </row>
    <row r="24" spans="2:10" x14ac:dyDescent="0.35">
      <c r="B24" s="32" t="s">
        <v>163</v>
      </c>
      <c r="C24" s="6"/>
      <c r="D24" s="6"/>
      <c r="E24" s="6">
        <f>BS!E3</f>
        <v>3519</v>
      </c>
      <c r="F24" s="6">
        <f>SUM(F22:F23)</f>
        <v>3251.1784895325718</v>
      </c>
      <c r="G24" s="6">
        <f>SUM(G22:G23)</f>
        <v>7718.464778577526</v>
      </c>
      <c r="H24" s="6">
        <f>SUM(H22:H23)</f>
        <v>13004.830307968085</v>
      </c>
      <c r="I24" s="6">
        <f>SUM(I22:I23)</f>
        <v>19121.148580967543</v>
      </c>
      <c r="J24" s="6">
        <f>SUM(J22:J23)</f>
        <v>26152.246930351212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D9A63-4BCB-40A2-B512-AE777C02D3AA}">
  <dimension ref="A1:K74"/>
  <sheetViews>
    <sheetView zoomScale="48" workbookViewId="0">
      <pane xSplit="2" ySplit="2" topLeftCell="C3" activePane="bottomRight" state="frozen"/>
      <selection pane="topRight" activeCell="C1" sqref="C1"/>
      <selection pane="bottomLeft" activeCell="A3" sqref="A3"/>
      <selection pane="bottomRight" activeCell="C74" sqref="C74"/>
    </sheetView>
  </sheetViews>
  <sheetFormatPr defaultRowHeight="14.5" x14ac:dyDescent="0.35"/>
  <cols>
    <col min="1" max="1" width="2.58203125" customWidth="1"/>
    <col min="2" max="2" width="44.08203125" customWidth="1"/>
    <col min="3" max="3" width="10.58203125" customWidth="1"/>
    <col min="4" max="4" width="11.5" customWidth="1"/>
    <col min="5" max="5" width="9" bestFit="1" customWidth="1"/>
    <col min="6" max="6" width="11.33203125" customWidth="1"/>
    <col min="7" max="7" width="10.58203125" customWidth="1"/>
    <col min="8" max="8" width="10.5" customWidth="1"/>
    <col min="9" max="9" width="11.25" customWidth="1"/>
    <col min="10" max="10" width="11.33203125" customWidth="1"/>
    <col min="11" max="11" width="19.08203125" bestFit="1" customWidth="1"/>
  </cols>
  <sheetData>
    <row r="1" spans="1:10" s="45" customFormat="1" ht="18.5" x14ac:dyDescent="0.45">
      <c r="A1" s="44" t="s">
        <v>0</v>
      </c>
      <c r="C1" s="46" t="s">
        <v>1</v>
      </c>
      <c r="D1" s="46" t="s">
        <v>1</v>
      </c>
      <c r="E1" s="46" t="s">
        <v>1</v>
      </c>
      <c r="F1" s="46" t="s">
        <v>2</v>
      </c>
      <c r="G1" s="46" t="s">
        <v>2</v>
      </c>
      <c r="H1" s="46" t="s">
        <v>2</v>
      </c>
      <c r="I1" s="46" t="s">
        <v>2</v>
      </c>
      <c r="J1" s="46" t="s">
        <v>2</v>
      </c>
    </row>
    <row r="2" spans="1:10" s="45" customFormat="1" x14ac:dyDescent="0.35">
      <c r="A2" s="47" t="s">
        <v>3</v>
      </c>
      <c r="C2" s="48">
        <f>DATE(YEAR(D2)-1,MONTH(D2),DAY(D2))</f>
        <v>44651</v>
      </c>
      <c r="D2" s="48">
        <f>DATE(YEAR(E2)-1,MONTH(E2),DAY(E2))</f>
        <v>45016</v>
      </c>
      <c r="E2" s="48">
        <v>45382</v>
      </c>
      <c r="F2" s="48">
        <f>DATE(YEAR(E2)+1,MONTH(E2),DAY(E2))</f>
        <v>45747</v>
      </c>
      <c r="G2" s="48">
        <f t="shared" ref="G2:J2" si="0">DATE(YEAR(F2)+1,MONTH(F2),DAY(F2))</f>
        <v>46112</v>
      </c>
      <c r="H2" s="48">
        <f t="shared" si="0"/>
        <v>46477</v>
      </c>
      <c r="I2" s="48">
        <f t="shared" si="0"/>
        <v>46843</v>
      </c>
      <c r="J2" s="48">
        <f t="shared" si="0"/>
        <v>47208</v>
      </c>
    </row>
    <row r="3" spans="1:10" x14ac:dyDescent="0.35">
      <c r="A3" s="8" t="s">
        <v>164</v>
      </c>
    </row>
    <row r="4" spans="1:10" x14ac:dyDescent="0.35">
      <c r="B4" t="s">
        <v>98</v>
      </c>
      <c r="C4">
        <f>IS!C12</f>
        <v>2964</v>
      </c>
      <c r="D4">
        <f>IS!D12</f>
        <v>4441</v>
      </c>
      <c r="E4">
        <f>IS!E12</f>
        <v>4715</v>
      </c>
      <c r="F4">
        <f>IS!F12</f>
        <v>6884.6704543915666</v>
      </c>
      <c r="G4">
        <f>IS!G12</f>
        <v>8592.4971815120643</v>
      </c>
      <c r="H4">
        <f>IS!H12</f>
        <v>10580.94660382471</v>
      </c>
      <c r="I4">
        <f>IS!I12</f>
        <v>12749.340955065041</v>
      </c>
      <c r="J4">
        <f>IS!J12</f>
        <v>15039.669982479056</v>
      </c>
    </row>
    <row r="5" spans="1:10" x14ac:dyDescent="0.35">
      <c r="B5" t="s">
        <v>165</v>
      </c>
      <c r="C5">
        <f>-C4*Assump!C12</f>
        <v>-720.5867768595042</v>
      </c>
      <c r="D5">
        <f>-D4*Assump!D12</f>
        <v>-1171.4173600179897</v>
      </c>
      <c r="E5">
        <f>-E4*Assump!E12</f>
        <v>-1149.4278606965174</v>
      </c>
      <c r="F5">
        <f>-F4*Assump!F12</f>
        <v>-1722.6991602232852</v>
      </c>
      <c r="G5">
        <f>-G4*Assump!G12</f>
        <v>-2149.8427948143185</v>
      </c>
      <c r="H5">
        <f>-H4*Assump!H12</f>
        <v>-2647.3528402769421</v>
      </c>
      <c r="I5">
        <f>-I4*Assump!I12</f>
        <v>-3189.8851069572729</v>
      </c>
      <c r="J5">
        <f>-J4*Assump!J12</f>
        <v>-3762.9254296162594</v>
      </c>
    </row>
    <row r="7" spans="1:10" x14ac:dyDescent="0.35">
      <c r="B7" t="s">
        <v>166</v>
      </c>
      <c r="C7">
        <f t="shared" ref="C7:J7" si="1">SUM(C4:C5)</f>
        <v>2243.4132231404956</v>
      </c>
      <c r="D7">
        <f t="shared" si="1"/>
        <v>3269.5826399820103</v>
      </c>
      <c r="E7">
        <f>SUM(E4:E5)</f>
        <v>3565.5721393034828</v>
      </c>
      <c r="F7">
        <f t="shared" si="1"/>
        <v>5161.971294168281</v>
      </c>
      <c r="G7">
        <f t="shared" si="1"/>
        <v>6442.6543866977463</v>
      </c>
      <c r="H7">
        <f t="shared" si="1"/>
        <v>7933.5937635477676</v>
      </c>
      <c r="I7">
        <f t="shared" si="1"/>
        <v>9559.4558481077693</v>
      </c>
      <c r="J7">
        <f t="shared" si="1"/>
        <v>11276.744552862796</v>
      </c>
    </row>
    <row r="8" spans="1:10" x14ac:dyDescent="0.35">
      <c r="B8" s="10" t="s">
        <v>167</v>
      </c>
      <c r="D8">
        <f>Calc!D6</f>
        <v>441</v>
      </c>
      <c r="E8">
        <f>Calc!E6</f>
        <v>584</v>
      </c>
      <c r="F8">
        <f>Calc!F6</f>
        <v>673.71818560842951</v>
      </c>
      <c r="G8">
        <f>Calc!G6</f>
        <v>868.91349368793863</v>
      </c>
      <c r="H8">
        <f>Calc!H6</f>
        <v>1023.6037922072924</v>
      </c>
      <c r="I8">
        <f>Calc!I6</f>
        <v>1197.2644710034372</v>
      </c>
      <c r="J8">
        <f>Calc!J6</f>
        <v>1384.0362262606936</v>
      </c>
    </row>
    <row r="9" spans="1:10" x14ac:dyDescent="0.35">
      <c r="B9" s="10" t="s">
        <v>168</v>
      </c>
      <c r="D9">
        <f>-Calc!D5</f>
        <v>-630</v>
      </c>
      <c r="E9">
        <f>-Calc!E5</f>
        <v>-933</v>
      </c>
      <c r="F9">
        <f>-Calc!F5</f>
        <v>-1203.4973012938999</v>
      </c>
      <c r="G9">
        <f>-Calc!G5</f>
        <v>-1288.1283948243988</v>
      </c>
      <c r="H9">
        <f>-Calc!H5</f>
        <v>-1494.2289379963026</v>
      </c>
      <c r="I9">
        <f>-Calc!I5</f>
        <v>-1703.4209893157854</v>
      </c>
      <c r="J9">
        <f>-Calc!J5</f>
        <v>-1907.8315080336799</v>
      </c>
    </row>
    <row r="10" spans="1:10" x14ac:dyDescent="0.35">
      <c r="B10" t="s">
        <v>169</v>
      </c>
      <c r="D10">
        <f>Calc!C16-Calc!D16</f>
        <v>-2485</v>
      </c>
      <c r="E10">
        <f>Calc!D16-Calc!E16</f>
        <v>-2463</v>
      </c>
      <c r="F10">
        <f>Calc!E16-Calc!F16</f>
        <v>815.8122129941803</v>
      </c>
      <c r="G10">
        <f>Calc!F16-Calc!G16</f>
        <v>119.18849221847631</v>
      </c>
      <c r="H10">
        <f>Calc!G16-Calc!H16</f>
        <v>-40.072767937945173</v>
      </c>
      <c r="I10">
        <f>Calc!H16-Calc!I16</f>
        <v>-279.09933308887412</v>
      </c>
      <c r="J10">
        <f>Calc!I16-Calc!J16</f>
        <v>-610.35226114818215</v>
      </c>
    </row>
    <row r="11" spans="1:10" x14ac:dyDescent="0.35">
      <c r="B11" t="s">
        <v>170</v>
      </c>
      <c r="D11">
        <f>BS!C17-BS!D17</f>
        <v>-81</v>
      </c>
      <c r="E11">
        <f>BS!D17-BS!E17</f>
        <v>-32</v>
      </c>
      <c r="F11">
        <f>BS!E17-BS!F17</f>
        <v>-24.494191443158911</v>
      </c>
      <c r="G11">
        <f>BS!F17-BS!G17</f>
        <v>-39.868954459768588</v>
      </c>
      <c r="H11">
        <f>BS!G17-BS!H17</f>
        <v>-41.818103344468398</v>
      </c>
      <c r="I11">
        <f>BS!H17-BS!I17</f>
        <v>-42.445374894635506</v>
      </c>
      <c r="J11">
        <f>BS!I17-BS!J17</f>
        <v>-41.475194897043821</v>
      </c>
    </row>
    <row r="12" spans="1:10" x14ac:dyDescent="0.35">
      <c r="B12" t="s">
        <v>171</v>
      </c>
      <c r="D12">
        <f>BS!D34-BS!C34</f>
        <v>0</v>
      </c>
      <c r="E12">
        <f>BS!E34-BS!D34</f>
        <v>8</v>
      </c>
      <c r="F12">
        <f>BS!F34-BS!E34</f>
        <v>-4.1868746243563733</v>
      </c>
      <c r="G12">
        <f>BS!G34-BS!F34</f>
        <v>2.420369024356372</v>
      </c>
      <c r="H12">
        <f>BS!H34-BS!G34</f>
        <v>1.1573591040000002</v>
      </c>
      <c r="I12">
        <f>BS!I34-BS!H34</f>
        <v>1.1747194905600011</v>
      </c>
      <c r="J12">
        <f>BS!J34-BS!I34</f>
        <v>1.1478687593472028</v>
      </c>
    </row>
    <row r="13" spans="1:10" x14ac:dyDescent="0.35">
      <c r="B13" s="6" t="s">
        <v>172</v>
      </c>
      <c r="D13" s="6">
        <f t="shared" ref="D13:I13" si="2">SUM(D7:D12)</f>
        <v>514.58263998201028</v>
      </c>
      <c r="E13" s="6">
        <f t="shared" si="2"/>
        <v>729.5721393034828</v>
      </c>
      <c r="F13" s="6">
        <f t="shared" si="2"/>
        <v>5419.3233254094757</v>
      </c>
      <c r="G13" s="6">
        <f t="shared" si="2"/>
        <v>6105.1793923443502</v>
      </c>
      <c r="H13" s="6">
        <f t="shared" si="2"/>
        <v>7382.2351055803438</v>
      </c>
      <c r="I13" s="6">
        <f t="shared" si="2"/>
        <v>8732.9293413024698</v>
      </c>
      <c r="J13" s="6">
        <f>SUM(J7:J12)</f>
        <v>10102.269683803932</v>
      </c>
    </row>
    <row r="15" spans="1:10" x14ac:dyDescent="0.35">
      <c r="A15" s="8" t="s">
        <v>173</v>
      </c>
    </row>
    <row r="16" spans="1:10" x14ac:dyDescent="0.35">
      <c r="B16" t="s">
        <v>174</v>
      </c>
      <c r="D16" s="42">
        <f t="shared" ref="D16:J16" si="3">D7/C7-1</f>
        <v>0.45741435695248644</v>
      </c>
      <c r="E16" s="42">
        <f>E7/D7-1</f>
        <v>9.0528220850567331E-2</v>
      </c>
      <c r="F16" s="42">
        <f t="shared" si="3"/>
        <v>0.44772594481194461</v>
      </c>
      <c r="G16" s="42">
        <f t="shared" si="3"/>
        <v>0.24809961534972347</v>
      </c>
      <c r="H16" s="42">
        <f t="shared" si="3"/>
        <v>0.23141694204928775</v>
      </c>
      <c r="I16" s="42">
        <f t="shared" si="3"/>
        <v>0.20493387146066122</v>
      </c>
      <c r="J16" s="42">
        <f t="shared" si="3"/>
        <v>0.1796429349161075</v>
      </c>
    </row>
    <row r="17" spans="1:11" x14ac:dyDescent="0.35">
      <c r="B17" t="s">
        <v>175</v>
      </c>
      <c r="D17">
        <f>BS!D37+BS!D31+BS!D23+BS!D22-BS!D3-BS!D13-BS!D16</f>
        <v>11835</v>
      </c>
      <c r="E17">
        <f>BS!E37+BS!E31+BS!E23+BS!E22-BS!E3-BS!E13-BS!E16</f>
        <v>15200</v>
      </c>
      <c r="F17">
        <f>BS!F37+BS!F31+BS!F23+BS!F22-BS!F3-BS!F13-BS!F16</f>
        <v>14914.981302092139</v>
      </c>
      <c r="G17">
        <f>BS!G37+BS!G31+BS!G23+BS!G22-BS!G3-BS!G13-BS!G16</f>
        <v>15252.456296445534</v>
      </c>
      <c r="H17">
        <f>BS!H37+BS!H31+BS!H23+BS!H22-BS!H3-BS!H13-BS!H16</f>
        <v>15803.814954412961</v>
      </c>
      <c r="I17">
        <f>BS!I37+BS!I31+BS!I23+BS!I22-BS!I3-BS!I13-BS!I16</f>
        <v>16630.341461218257</v>
      </c>
      <c r="J17">
        <f>BS!J37+BS!J31+BS!J23+BS!J22-BS!J3-BS!J13-BS!J16</f>
        <v>17804.816330277114</v>
      </c>
    </row>
    <row r="18" spans="1:11" x14ac:dyDescent="0.35">
      <c r="B18" t="s">
        <v>176</v>
      </c>
      <c r="E18" s="14">
        <f t="shared" ref="E18:J18" si="4">E7/D17</f>
        <v>0.30127352254359802</v>
      </c>
      <c r="F18" s="14">
        <f t="shared" si="4"/>
        <v>0.33960337461633427</v>
      </c>
      <c r="G18" s="14">
        <f t="shared" si="4"/>
        <v>0.43195859627353533</v>
      </c>
      <c r="H18" s="14">
        <f t="shared" si="4"/>
        <v>0.52015187648147065</v>
      </c>
      <c r="I18" s="14">
        <f t="shared" si="4"/>
        <v>0.60488280049358878</v>
      </c>
      <c r="J18" s="14">
        <f t="shared" si="4"/>
        <v>0.67808256247534182</v>
      </c>
    </row>
    <row r="19" spans="1:11" x14ac:dyDescent="0.35">
      <c r="B19" t="s">
        <v>177</v>
      </c>
      <c r="E19" s="28">
        <f t="shared" ref="E19:J19" si="5">1-E13/E7</f>
        <v>0.79538427192052241</v>
      </c>
      <c r="F19" s="28">
        <f>1-F13/F7</f>
        <v>-4.9855378221869806E-2</v>
      </c>
      <c r="G19" s="28">
        <f t="shared" si="5"/>
        <v>5.2381359312116182E-2</v>
      </c>
      <c r="H19" s="28">
        <f t="shared" si="5"/>
        <v>6.9496709108138877E-2</v>
      </c>
      <c r="I19" s="28">
        <f t="shared" si="5"/>
        <v>8.6461668942056424E-2</v>
      </c>
      <c r="J19" s="28">
        <f t="shared" si="5"/>
        <v>0.10415017060581577</v>
      </c>
    </row>
    <row r="20" spans="1:11" x14ac:dyDescent="0.35">
      <c r="B20" t="s">
        <v>178</v>
      </c>
      <c r="E20" s="28">
        <f t="shared" ref="E20:J20" si="6">1-E19</f>
        <v>0.20461572807947759</v>
      </c>
      <c r="F20" s="28">
        <f t="shared" si="6"/>
        <v>1.0498553782218698</v>
      </c>
      <c r="G20" s="28">
        <f t="shared" si="6"/>
        <v>0.94761864068788382</v>
      </c>
      <c r="H20" s="28">
        <f t="shared" si="6"/>
        <v>0.93050329089186112</v>
      </c>
      <c r="I20" s="28">
        <f t="shared" si="6"/>
        <v>0.91353833105794358</v>
      </c>
      <c r="J20" s="28">
        <f t="shared" si="6"/>
        <v>0.89584982939418423</v>
      </c>
    </row>
    <row r="21" spans="1:11" x14ac:dyDescent="0.35">
      <c r="B21" t="s">
        <v>179</v>
      </c>
      <c r="F21" s="14"/>
      <c r="G21" s="14"/>
      <c r="H21" s="14"/>
      <c r="I21" s="14"/>
      <c r="J21" s="14"/>
    </row>
    <row r="23" spans="1:11" x14ac:dyDescent="0.35">
      <c r="A23" s="49" t="s">
        <v>180</v>
      </c>
    </row>
    <row r="24" spans="1:11" x14ac:dyDescent="0.35">
      <c r="A24" s="30" t="s">
        <v>181</v>
      </c>
      <c r="D24" s="28" cm="1">
        <f t="array" ref="D24:J24">Assump!D4:J4</f>
        <v>0.40890308691274002</v>
      </c>
      <c r="E24" s="28">
        <v>0.2590018484288355</v>
      </c>
      <c r="F24" s="28">
        <v>0.2</v>
      </c>
      <c r="G24" s="28">
        <v>0.18</v>
      </c>
      <c r="H24" s="28">
        <v>0.16</v>
      </c>
      <c r="I24" s="28">
        <v>0.14000000000000001</v>
      </c>
      <c r="J24" s="28">
        <v>0.12</v>
      </c>
    </row>
    <row r="25" spans="1:11" x14ac:dyDescent="0.35">
      <c r="A25" s="30" t="s">
        <v>182</v>
      </c>
      <c r="D25" s="28">
        <f>D4/IS!D3</f>
        <v>0.10945163277880468</v>
      </c>
      <c r="E25" s="28">
        <f>E4/IS!E3</f>
        <v>9.2298958578028348E-2</v>
      </c>
      <c r="F25" s="28">
        <f>F4/IS!F3</f>
        <v>0.11230963469304751</v>
      </c>
      <c r="G25" s="28">
        <f>G4/IS!G3</f>
        <v>0.11878763853763495</v>
      </c>
      <c r="H25" s="28">
        <f>H4/IS!H3</f>
        <v>0.12610095741488841</v>
      </c>
      <c r="I25" s="28">
        <f>I4/IS!I3</f>
        <v>0.13328360948492754</v>
      </c>
      <c r="J25" s="28">
        <f>J4/IS!J3</f>
        <v>0.14038131095447526</v>
      </c>
    </row>
    <row r="26" spans="1:11" x14ac:dyDescent="0.35">
      <c r="A26" s="30" t="s">
        <v>183</v>
      </c>
      <c r="D26" s="28">
        <f>IS!D9/IS!D3</f>
        <v>0.12032039433148491</v>
      </c>
      <c r="E26" s="28">
        <f>IS!E9/IS!E3</f>
        <v>0.10373110954506304</v>
      </c>
      <c r="F26" s="28">
        <f>IS!F9/IS!F3</f>
        <v>0.12329999999999995</v>
      </c>
      <c r="G26" s="28">
        <f>IS!G9/IS!G3</f>
        <v>0.13080000000000006</v>
      </c>
      <c r="H26" s="28">
        <f>IS!H9/IS!H3</f>
        <v>0.13830000000000003</v>
      </c>
      <c r="I26" s="28">
        <f>IS!I9/IS!I3</f>
        <v>0.14579999999999996</v>
      </c>
      <c r="J26" s="28">
        <f>IS!J9/IS!J3</f>
        <v>0.15330000000000008</v>
      </c>
    </row>
    <row r="27" spans="1:11" x14ac:dyDescent="0.35">
      <c r="A27" s="30" t="s">
        <v>184</v>
      </c>
      <c r="D27" s="28">
        <f>D16</f>
        <v>0.45741435695248644</v>
      </c>
      <c r="E27" s="28">
        <f t="shared" ref="E27:I27" si="7">E16</f>
        <v>9.0528220850567331E-2</v>
      </c>
      <c r="F27" s="28">
        <f t="shared" si="7"/>
        <v>0.44772594481194461</v>
      </c>
      <c r="G27" s="28">
        <f t="shared" si="7"/>
        <v>0.24809961534972347</v>
      </c>
      <c r="H27" s="28">
        <f t="shared" si="7"/>
        <v>0.23141694204928775</v>
      </c>
      <c r="I27" s="28">
        <f t="shared" si="7"/>
        <v>0.20493387146066122</v>
      </c>
      <c r="J27" s="28">
        <f t="shared" ref="J27" si="8">J16</f>
        <v>0.1796429349161075</v>
      </c>
    </row>
    <row r="28" spans="1:11" x14ac:dyDescent="0.35">
      <c r="A28" s="30" t="s">
        <v>185</v>
      </c>
      <c r="D28">
        <f>D17</f>
        <v>11835</v>
      </c>
      <c r="E28">
        <f t="shared" ref="E28:I28" si="9">E17</f>
        <v>15200</v>
      </c>
      <c r="F28">
        <f t="shared" si="9"/>
        <v>14914.981302092139</v>
      </c>
      <c r="G28">
        <f t="shared" si="9"/>
        <v>15252.456296445534</v>
      </c>
      <c r="H28">
        <f t="shared" si="9"/>
        <v>15803.814954412961</v>
      </c>
      <c r="I28">
        <f t="shared" si="9"/>
        <v>16630.341461218257</v>
      </c>
      <c r="J28">
        <f t="shared" ref="J28" si="10">J17</f>
        <v>17804.816330277114</v>
      </c>
    </row>
    <row r="29" spans="1:11" x14ac:dyDescent="0.35">
      <c r="A29" s="30" t="s">
        <v>186</v>
      </c>
      <c r="E29" s="28">
        <f>E18</f>
        <v>0.30127352254359802</v>
      </c>
      <c r="F29" s="28">
        <f t="shared" ref="F29:I29" si="11">F18</f>
        <v>0.33960337461633427</v>
      </c>
      <c r="G29" s="28">
        <f t="shared" si="11"/>
        <v>0.43195859627353533</v>
      </c>
      <c r="H29" s="28">
        <f t="shared" si="11"/>
        <v>0.52015187648147065</v>
      </c>
      <c r="I29" s="28">
        <f t="shared" si="11"/>
        <v>0.60488280049358878</v>
      </c>
      <c r="J29" s="28">
        <f t="shared" ref="J29" si="12">J18</f>
        <v>0.67808256247534182</v>
      </c>
      <c r="K29" s="28">
        <f>J29</f>
        <v>0.67808256247534182</v>
      </c>
    </row>
    <row r="30" spans="1:11" x14ac:dyDescent="0.35">
      <c r="A30" s="30" t="s">
        <v>187</v>
      </c>
      <c r="E30" s="28">
        <f>E19</f>
        <v>0.79538427192052241</v>
      </c>
      <c r="F30" s="28">
        <f t="shared" ref="F30:I30" si="13">F19</f>
        <v>-4.9855378221869806E-2</v>
      </c>
      <c r="G30" s="28">
        <f t="shared" si="13"/>
        <v>5.2381359312116182E-2</v>
      </c>
      <c r="H30" s="28">
        <f t="shared" si="13"/>
        <v>6.9496709108138877E-2</v>
      </c>
      <c r="I30" s="28">
        <f t="shared" si="13"/>
        <v>8.6461668942056424E-2</v>
      </c>
      <c r="J30" s="28">
        <f t="shared" ref="J30" si="14">J19</f>
        <v>0.10415017060581577</v>
      </c>
    </row>
    <row r="31" spans="1:11" x14ac:dyDescent="0.35">
      <c r="A31" s="30" t="s">
        <v>188</v>
      </c>
      <c r="G31" s="28">
        <f>(G29-F29)/F29+G29*G30</f>
        <v>0.29457682558145487</v>
      </c>
      <c r="H31" s="28">
        <f t="shared" ref="H31:J31" si="15">(H29-G29)/G29+H29*H30</f>
        <v>0.24031952336232554</v>
      </c>
      <c r="I31" s="28">
        <f t="shared" si="15"/>
        <v>0.21519568387526247</v>
      </c>
      <c r="J31" s="28">
        <f t="shared" si="15"/>
        <v>0.19163719945061891</v>
      </c>
      <c r="K31" s="28">
        <f>K29*J30</f>
        <v>7.062241456663558E-2</v>
      </c>
    </row>
    <row r="32" spans="1:11" x14ac:dyDescent="0.35">
      <c r="A32" s="30"/>
    </row>
    <row r="33" spans="1:6" x14ac:dyDescent="0.35">
      <c r="A33" s="30"/>
    </row>
    <row r="34" spans="1:6" x14ac:dyDescent="0.35">
      <c r="A34" s="30" t="s">
        <v>189</v>
      </c>
      <c r="D34" s="54">
        <v>6.7500000000000004E-2</v>
      </c>
    </row>
    <row r="35" spans="1:6" x14ac:dyDescent="0.35">
      <c r="A35" s="30" t="s">
        <v>190</v>
      </c>
      <c r="D35" s="54">
        <v>4.0599999999999997E-2</v>
      </c>
    </row>
    <row r="36" spans="1:6" x14ac:dyDescent="0.35">
      <c r="A36" s="30" t="s">
        <v>191</v>
      </c>
      <c r="D36">
        <v>0.76</v>
      </c>
    </row>
    <row r="37" spans="1:6" x14ac:dyDescent="0.35">
      <c r="A37" s="30" t="s">
        <v>192</v>
      </c>
      <c r="D37" s="28">
        <f>D34+D35*D36</f>
        <v>9.8355999999999999E-2</v>
      </c>
    </row>
    <row r="38" spans="1:6" x14ac:dyDescent="0.35">
      <c r="A38" s="30"/>
    </row>
    <row r="39" spans="1:6" x14ac:dyDescent="0.35">
      <c r="A39" s="30" t="s">
        <v>193</v>
      </c>
      <c r="D39" s="28">
        <f>D34-D40</f>
        <v>2.5800000000000003E-2</v>
      </c>
    </row>
    <row r="40" spans="1:6" x14ac:dyDescent="0.35">
      <c r="A40" s="30" t="s">
        <v>194</v>
      </c>
      <c r="D40" s="28">
        <v>4.1700000000000001E-2</v>
      </c>
      <c r="F40" s="28"/>
    </row>
    <row r="41" spans="1:6" x14ac:dyDescent="0.35">
      <c r="A41" s="30" t="s">
        <v>195</v>
      </c>
      <c r="D41" s="28">
        <v>0.25169999999999998</v>
      </c>
    </row>
    <row r="42" spans="1:6" x14ac:dyDescent="0.35">
      <c r="A42" s="30" t="s">
        <v>196</v>
      </c>
      <c r="D42" s="28">
        <f>D40*(1-D41)</f>
        <v>3.120411E-2</v>
      </c>
    </row>
    <row r="43" spans="1:6" x14ac:dyDescent="0.35">
      <c r="A43" s="30"/>
    </row>
    <row r="44" spans="1:6" x14ac:dyDescent="0.35">
      <c r="A44" s="30" t="s">
        <v>197</v>
      </c>
      <c r="D44">
        <f>BS!E35</f>
        <v>22157</v>
      </c>
    </row>
    <row r="45" spans="1:6" x14ac:dyDescent="0.35">
      <c r="A45" s="30" t="s">
        <v>198</v>
      </c>
      <c r="D45" s="7">
        <v>3017.35</v>
      </c>
    </row>
    <row r="46" spans="1:6" x14ac:dyDescent="0.35">
      <c r="A46" s="30" t="s">
        <v>199</v>
      </c>
      <c r="D46" s="7">
        <v>88.8</v>
      </c>
    </row>
    <row r="47" spans="1:6" x14ac:dyDescent="0.35">
      <c r="A47" s="30" t="s">
        <v>200</v>
      </c>
      <c r="D47">
        <f>D45*D46</f>
        <v>267940.68</v>
      </c>
    </row>
    <row r="48" spans="1:6" x14ac:dyDescent="0.35">
      <c r="A48" s="30" t="s">
        <v>201</v>
      </c>
      <c r="D48">
        <f>D44+D47</f>
        <v>290097.68</v>
      </c>
    </row>
    <row r="49" spans="1:10" x14ac:dyDescent="0.35">
      <c r="A49" s="30" t="s">
        <v>202</v>
      </c>
      <c r="D49" s="28">
        <f>D44/D48</f>
        <v>7.6377722152069602E-2</v>
      </c>
    </row>
    <row r="50" spans="1:10" x14ac:dyDescent="0.35">
      <c r="A50" s="30" t="s">
        <v>203</v>
      </c>
      <c r="D50" s="28">
        <f>D47/D48</f>
        <v>0.92362227784793038</v>
      </c>
    </row>
    <row r="51" spans="1:10" x14ac:dyDescent="0.35">
      <c r="A51" s="50" t="s">
        <v>204</v>
      </c>
      <c r="D51" s="28">
        <f>D49*D42+D50*D37</f>
        <v>9.3227091603593659E-2</v>
      </c>
    </row>
    <row r="52" spans="1:10" x14ac:dyDescent="0.35">
      <c r="A52" s="30"/>
    </row>
    <row r="53" spans="1:10" x14ac:dyDescent="0.35">
      <c r="A53" s="30"/>
    </row>
    <row r="54" spans="1:10" x14ac:dyDescent="0.35">
      <c r="A54" s="30" t="s">
        <v>205</v>
      </c>
      <c r="D54" s="55">
        <v>7.0599999999999996E-2</v>
      </c>
    </row>
    <row r="55" spans="1:10" x14ac:dyDescent="0.35">
      <c r="A55" s="30"/>
    </row>
    <row r="56" spans="1:10" x14ac:dyDescent="0.35">
      <c r="A56" s="30"/>
    </row>
    <row r="57" spans="1:10" x14ac:dyDescent="0.35">
      <c r="A57" s="30" t="s">
        <v>206</v>
      </c>
      <c r="I57">
        <f>J13*(1+D54)/(D51-D54)</f>
        <v>477988.51540260523</v>
      </c>
    </row>
    <row r="58" spans="1:10" x14ac:dyDescent="0.35">
      <c r="A58" s="30" t="s">
        <v>207</v>
      </c>
      <c r="I58">
        <f>I57/(I4+I8)</f>
        <v>34.272749590317282</v>
      </c>
    </row>
    <row r="59" spans="1:10" x14ac:dyDescent="0.35">
      <c r="A59" s="30"/>
    </row>
    <row r="60" spans="1:10" x14ac:dyDescent="0.35">
      <c r="A60" s="30" t="s">
        <v>208</v>
      </c>
      <c r="F60" s="7">
        <v>1</v>
      </c>
      <c r="G60" s="7">
        <v>1</v>
      </c>
      <c r="H60" s="7">
        <v>1</v>
      </c>
      <c r="I60" s="7">
        <v>1</v>
      </c>
      <c r="J60" s="7">
        <v>1</v>
      </c>
    </row>
    <row r="61" spans="1:10" x14ac:dyDescent="0.35">
      <c r="A61" s="30" t="s">
        <v>209</v>
      </c>
      <c r="F61" s="28">
        <f>1/(1+$D$51)^F60</f>
        <v>0.91472303209496564</v>
      </c>
      <c r="G61" s="28">
        <f>1/(1+$D$51)^G60</f>
        <v>0.91472303209496564</v>
      </c>
      <c r="H61" s="28">
        <f>1/(1+$D$51)^H60</f>
        <v>0.91472303209496564</v>
      </c>
      <c r="I61" s="28">
        <f>1/(1+$D$51)^I60</f>
        <v>0.91472303209496564</v>
      </c>
      <c r="J61" s="28">
        <f>1/(1+$D$51)^J60</f>
        <v>0.91472303209496564</v>
      </c>
    </row>
    <row r="62" spans="1:10" x14ac:dyDescent="0.35">
      <c r="A62" s="30" t="s">
        <v>210</v>
      </c>
      <c r="F62">
        <f>F61*F13</f>
        <v>4957.1798641215282</v>
      </c>
      <c r="G62">
        <f>G61*G13</f>
        <v>5584.5482052489242</v>
      </c>
      <c r="H62">
        <f>H61*H13</f>
        <v>6752.7004794143504</v>
      </c>
      <c r="I62">
        <f>I61*I13</f>
        <v>7988.2116061472861</v>
      </c>
      <c r="J62">
        <f>J61*J13</f>
        <v>9240.7787562101821</v>
      </c>
    </row>
    <row r="63" spans="1:10" x14ac:dyDescent="0.35">
      <c r="A63" s="30"/>
    </row>
    <row r="64" spans="1:10" x14ac:dyDescent="0.35">
      <c r="A64" s="30"/>
    </row>
    <row r="65" spans="1:3" x14ac:dyDescent="0.35">
      <c r="A65" s="30" t="s">
        <v>211</v>
      </c>
      <c r="C65">
        <f>SUM(F62:J62)</f>
        <v>34523.418911142267</v>
      </c>
    </row>
    <row r="66" spans="1:3" x14ac:dyDescent="0.35">
      <c r="A66" s="30" t="s">
        <v>212</v>
      </c>
      <c r="C66">
        <f>I57*J61</f>
        <v>437227.10411564226</v>
      </c>
    </row>
    <row r="67" spans="1:3" x14ac:dyDescent="0.35">
      <c r="A67" s="32" t="s">
        <v>213</v>
      </c>
      <c r="C67">
        <f>C66+C65</f>
        <v>471750.52302678453</v>
      </c>
    </row>
    <row r="68" spans="1:3" x14ac:dyDescent="0.35">
      <c r="A68" s="30"/>
    </row>
    <row r="69" spans="1:3" x14ac:dyDescent="0.35">
      <c r="A69" s="30" t="s">
        <v>214</v>
      </c>
      <c r="C69">
        <f>BS!E3</f>
        <v>3519</v>
      </c>
    </row>
    <row r="70" spans="1:3" x14ac:dyDescent="0.35">
      <c r="A70" s="30" t="s">
        <v>215</v>
      </c>
      <c r="C70">
        <f>BS!E13</f>
        <v>1536</v>
      </c>
    </row>
    <row r="71" spans="1:3" x14ac:dyDescent="0.35">
      <c r="A71" s="30" t="s">
        <v>216</v>
      </c>
      <c r="C71">
        <f>-(BS!E35)</f>
        <v>-22157</v>
      </c>
    </row>
    <row r="72" spans="1:3" x14ac:dyDescent="0.35">
      <c r="A72" s="32" t="s">
        <v>217</v>
      </c>
      <c r="C72">
        <f>C67+C69+C70+C71</f>
        <v>454648.52302678453</v>
      </c>
    </row>
    <row r="73" spans="1:3" x14ac:dyDescent="0.35">
      <c r="A73" s="30"/>
    </row>
    <row r="74" spans="1:3" x14ac:dyDescent="0.35">
      <c r="A74" s="32" t="s">
        <v>218</v>
      </c>
      <c r="C74" s="51">
        <f>C72/D46</f>
        <v>5119.9157998511773</v>
      </c>
    </row>
  </sheetData>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5F6A9DC683384C816D61CAB80CE24E" ma:contentTypeVersion="6" ma:contentTypeDescription="Create a new document." ma:contentTypeScope="" ma:versionID="c9626cc619014b00c70bd9d0d5fd4560">
  <xsd:schema xmlns:xsd="http://www.w3.org/2001/XMLSchema" xmlns:xs="http://www.w3.org/2001/XMLSchema" xmlns:p="http://schemas.microsoft.com/office/2006/metadata/properties" xmlns:ns3="25f653be-0d88-4a6c-b276-27ceef56934e" targetNamespace="http://schemas.microsoft.com/office/2006/metadata/properties" ma:root="true" ma:fieldsID="3207eb7770128c3f0576e3ed65148c1c" ns3:_="">
    <xsd:import namespace="25f653be-0d88-4a6c-b276-27ceef56934e"/>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f653be-0d88-4a6c-b276-27ceef56934e"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25f653be-0d88-4a6c-b276-27ceef56934e" xsi:nil="true"/>
  </documentManagement>
</p:properties>
</file>

<file path=customXml/itemProps1.xml><?xml version="1.0" encoding="utf-8"?>
<ds:datastoreItem xmlns:ds="http://schemas.openxmlformats.org/officeDocument/2006/customXml" ds:itemID="{1F144A50-4198-42F9-95F8-E09A5FB0E3A6}">
  <ds:schemaRefs>
    <ds:schemaRef ds:uri="http://schemas.microsoft.com/sharepoint/v3/contenttype/forms"/>
  </ds:schemaRefs>
</ds:datastoreItem>
</file>

<file path=customXml/itemProps2.xml><?xml version="1.0" encoding="utf-8"?>
<ds:datastoreItem xmlns:ds="http://schemas.openxmlformats.org/officeDocument/2006/customXml" ds:itemID="{ED2D73DE-157B-4FFE-8678-BF623EE84E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f653be-0d88-4a6c-b276-27ceef5693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474B4C-71F4-4551-879F-5C6367B8AC65}">
  <ds:schemaRef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25f653be-0d88-4a6c-b276-27ceef56934e"/>
    <ds:schemaRef ds:uri="http://purl.org/dc/term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vt:lpstr>
      <vt:lpstr>Assump</vt:lpstr>
      <vt:lpstr>Debt</vt:lpstr>
      <vt:lpstr>Calc</vt:lpstr>
      <vt:lpstr>IS</vt:lpstr>
      <vt:lpstr>BS</vt:lpstr>
      <vt:lpstr>CF</vt:lpstr>
      <vt:lpstr>DCF</vt:lpstr>
      <vt:lpstr>circ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Eswar Anguru</dc:creator>
  <cp:keywords/>
  <dc:description/>
  <cp:lastModifiedBy>Eswar Anguru</cp:lastModifiedBy>
  <cp:revision/>
  <cp:lastPrinted>2025-08-30T17:19:21Z</cp:lastPrinted>
  <dcterms:created xsi:type="dcterms:W3CDTF">2025-01-27T11:11:30Z</dcterms:created>
  <dcterms:modified xsi:type="dcterms:W3CDTF">2025-08-30T17:20:30Z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0x010100545F6A9DC683384C816D61CAB80CE24E</vt:lpwstr>
  </property>
</Properties>
</file>