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igh Throughput Screening\HiPrBind\"/>
    </mc:Choice>
  </mc:AlternateContent>
  <xr:revisionPtr revIDLastSave="0" documentId="13_ncr:1_{8F2C3392-2205-4700-8091-EFA634B84B95}" xr6:coauthVersionLast="47" xr6:coauthVersionMax="47" xr10:uidLastSave="{00000000-0000-0000-0000-000000000000}"/>
  <bookViews>
    <workbookView xWindow="38280" yWindow="-120" windowWidth="38640" windowHeight="21240" activeTab="2" xr2:uid="{084096F6-D040-4FD9-9CC8-3F0EBD38B6FC}"/>
  </bookViews>
  <sheets>
    <sheet name="Inventory Tracking" sheetId="1" r:id="rId1"/>
    <sheet name="Edit Tracking" sheetId="2" r:id="rId2"/>
    <sheet name="Project Specific Reagents" sheetId="3" r:id="rId3"/>
    <sheet name="Minimum Probe Volumes" sheetId="5" r:id="rId4"/>
    <sheet name="Backup Plates For Ferm Run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" l="1"/>
  <c r="F150" i="1"/>
  <c r="F156" i="1"/>
  <c r="H33" i="1"/>
  <c r="E25" i="1"/>
  <c r="E19" i="1"/>
  <c r="E27" i="1"/>
  <c r="E68" i="1"/>
  <c r="G76" i="1"/>
  <c r="H94" i="1" l="1"/>
  <c r="I94" i="1" s="1"/>
  <c r="H93" i="1"/>
  <c r="I93" i="1" s="1"/>
  <c r="H89" i="1"/>
  <c r="I89" i="1" s="1"/>
  <c r="G64" i="1"/>
  <c r="H64" i="1"/>
  <c r="G72" i="1"/>
  <c r="H72" i="1" s="1"/>
  <c r="I72" i="1" s="1"/>
  <c r="H76" i="1"/>
  <c r="I76" i="1" s="1"/>
  <c r="G75" i="1"/>
  <c r="H75" i="1" s="1"/>
  <c r="E67" i="1"/>
  <c r="G130" i="1"/>
  <c r="E24" i="1" l="1"/>
  <c r="G131" i="1"/>
  <c r="H90" i="1"/>
  <c r="E72" i="1"/>
  <c r="E69" i="1" s="1"/>
  <c r="E26" i="1"/>
  <c r="H71" i="1"/>
  <c r="H65" i="1"/>
  <c r="H40" i="1"/>
  <c r="I40" i="1" s="1"/>
  <c r="G126" i="1"/>
  <c r="F168" i="1"/>
  <c r="F167" i="1"/>
  <c r="G167" i="1" s="1"/>
  <c r="G169" i="1" l="1"/>
  <c r="G168" i="1"/>
  <c r="G158" i="1"/>
  <c r="G157" i="1"/>
  <c r="G156" i="1"/>
  <c r="G151" i="1"/>
  <c r="G150" i="1"/>
  <c r="F148" i="1"/>
  <c r="G148" i="1" s="1"/>
  <c r="F146" i="1"/>
  <c r="G146" i="1" s="1"/>
  <c r="G145" i="1" l="1"/>
  <c r="F144" i="1"/>
  <c r="G144" i="1" s="1"/>
  <c r="G143" i="1"/>
  <c r="F142" i="1"/>
  <c r="G142" i="1" s="1"/>
  <c r="F141" i="1"/>
  <c r="G141" i="1" s="1"/>
  <c r="F139" i="1"/>
  <c r="G139" i="1" s="1"/>
  <c r="F138" i="1"/>
  <c r="G138" i="1" s="1"/>
  <c r="G137" i="1" l="1"/>
  <c r="G136" i="1"/>
  <c r="G129" i="1"/>
  <c r="G124" i="1"/>
  <c r="H32" i="1" l="1"/>
  <c r="I32" i="1" s="1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E22" i="1" l="1"/>
  <c r="E23" i="1"/>
  <c r="E21" i="1"/>
  <c r="E20" i="1"/>
  <c r="H109" i="1"/>
  <c r="H110" i="1"/>
  <c r="H113" i="1" l="1"/>
  <c r="I113" i="1" s="1"/>
  <c r="H81" i="1"/>
  <c r="H56" i="1" l="1"/>
  <c r="H41" i="1"/>
  <c r="I41" i="1" s="1"/>
  <c r="I61" i="3"/>
  <c r="K61" i="3" s="1"/>
  <c r="L61" i="3" s="1"/>
  <c r="M61" i="3" s="1"/>
  <c r="I60" i="3"/>
  <c r="K60" i="3" s="1"/>
  <c r="L60" i="3" s="1"/>
  <c r="M60" i="3" s="1"/>
  <c r="H57" i="1" l="1"/>
  <c r="H84" i="1"/>
  <c r="I16" i="3" l="1"/>
  <c r="K16" i="3" s="1"/>
  <c r="L16" i="3" s="1"/>
  <c r="M16" i="3" s="1"/>
  <c r="I15" i="3"/>
  <c r="K15" i="3" s="1"/>
  <c r="L15" i="3" s="1"/>
  <c r="M15" i="3" s="1"/>
  <c r="K14" i="3" l="1"/>
  <c r="L14" i="3" s="1"/>
  <c r="M14" i="3" s="1"/>
  <c r="K13" i="3"/>
  <c r="L13" i="3" s="1"/>
  <c r="M13" i="3" s="1"/>
  <c r="M18" i="3"/>
  <c r="I18" i="3"/>
  <c r="K18" i="3" s="1"/>
  <c r="K50" i="3" l="1"/>
  <c r="L50" i="3" s="1"/>
  <c r="M50" i="3" s="1"/>
  <c r="N76" i="3" l="1"/>
  <c r="I76" i="3"/>
  <c r="K76" i="3" s="1"/>
  <c r="L76" i="3" s="1"/>
  <c r="M76" i="3" s="1"/>
  <c r="N52" i="3" l="1"/>
  <c r="I52" i="3"/>
  <c r="K52" i="3" s="1"/>
  <c r="L52" i="3" s="1"/>
  <c r="M52" i="3" s="1"/>
  <c r="H85" i="1" l="1"/>
  <c r="I65" i="1"/>
  <c r="I64" i="1"/>
  <c r="H35" i="1"/>
  <c r="I35" i="1" s="1"/>
  <c r="H36" i="1"/>
  <c r="H80" i="1"/>
  <c r="H114" i="1"/>
  <c r="I114" i="1" s="1"/>
  <c r="I7" i="3"/>
  <c r="K7" i="3" s="1"/>
  <c r="L7" i="3" s="1"/>
  <c r="M7" i="3" s="1"/>
  <c r="K29" i="3" l="1"/>
  <c r="L29" i="3" s="1"/>
  <c r="M29" i="3" s="1"/>
  <c r="N28" i="3"/>
  <c r="I28" i="3"/>
  <c r="K28" i="3" s="1"/>
  <c r="L28" i="3" s="1"/>
  <c r="M28" i="3" s="1"/>
  <c r="I27" i="3"/>
  <c r="K27" i="3" s="1"/>
  <c r="L27" i="3" s="1"/>
  <c r="M27" i="3" s="1"/>
  <c r="N36" i="3" l="1"/>
  <c r="I36" i="3"/>
  <c r="K36" i="3" s="1"/>
  <c r="L36" i="3" s="1"/>
  <c r="M36" i="3" s="1"/>
  <c r="N35" i="3"/>
  <c r="I35" i="3"/>
  <c r="K35" i="3" s="1"/>
  <c r="L35" i="3" s="1"/>
  <c r="M35" i="3" s="1"/>
  <c r="N34" i="3"/>
  <c r="I34" i="3"/>
  <c r="K34" i="3" s="1"/>
  <c r="L34" i="3" s="1"/>
  <c r="M34" i="3" s="1"/>
  <c r="N33" i="3"/>
  <c r="I33" i="3"/>
  <c r="K33" i="3" s="1"/>
  <c r="L33" i="3" s="1"/>
  <c r="M33" i="3" s="1"/>
  <c r="N80" i="3" l="1"/>
  <c r="I80" i="3"/>
  <c r="K80" i="3" s="1"/>
  <c r="L80" i="3" s="1"/>
  <c r="M80" i="3" s="1"/>
  <c r="I79" i="3"/>
  <c r="K79" i="3" s="1"/>
  <c r="L79" i="3" s="1"/>
  <c r="M79" i="3" s="1"/>
  <c r="I75" i="3"/>
  <c r="K75" i="3" s="1"/>
  <c r="L75" i="3" s="1"/>
  <c r="M75" i="3" s="1"/>
  <c r="I51" i="3"/>
  <c r="K51" i="3" s="1"/>
  <c r="L51" i="3" s="1"/>
  <c r="M51" i="3" s="1"/>
  <c r="I47" i="3"/>
  <c r="K47" i="3" s="1"/>
  <c r="L47" i="3" s="1"/>
  <c r="M47" i="3" s="1"/>
  <c r="I46" i="3"/>
  <c r="K46" i="3" s="1"/>
  <c r="L46" i="3" s="1"/>
  <c r="M46" i="3" s="1"/>
  <c r="I43" i="3"/>
  <c r="K43" i="3" s="1"/>
  <c r="L43" i="3" s="1"/>
  <c r="M43" i="3" s="1"/>
  <c r="I42" i="3"/>
  <c r="K42" i="3" s="1"/>
  <c r="L42" i="3" s="1"/>
  <c r="M42" i="3" s="1"/>
  <c r="I23" i="3"/>
  <c r="K23" i="3" s="1"/>
  <c r="L23" i="3" s="1"/>
  <c r="M23" i="3" s="1"/>
  <c r="M22" i="3"/>
  <c r="I22" i="3"/>
  <c r="K22" i="3" s="1"/>
  <c r="I3" i="3"/>
  <c r="K3" i="3" s="1"/>
  <c r="L3" i="3" s="1"/>
  <c r="M3" i="3" s="1"/>
  <c r="I56" i="1" l="1"/>
  <c r="I81" i="1"/>
  <c r="I84" i="1"/>
  <c r="I85" i="1"/>
  <c r="I57" i="1"/>
  <c r="I36" i="1"/>
  <c r="I71" i="1"/>
  <c r="I75" i="1"/>
  <c r="I80" i="1"/>
  <c r="I90" i="1"/>
  <c r="I109" i="1"/>
  <c r="I110" i="1"/>
</calcChain>
</file>

<file path=xl/sharedStrings.xml><?xml version="1.0" encoding="utf-8"?>
<sst xmlns="http://schemas.openxmlformats.org/spreadsheetml/2006/main" count="1805" uniqueCount="710">
  <si>
    <t>Consumables</t>
  </si>
  <si>
    <t>Item</t>
  </si>
  <si>
    <t>On hand</t>
  </si>
  <si>
    <t>8 well trough reservoirs</t>
  </si>
  <si>
    <t>50 mL dark conicals</t>
  </si>
  <si>
    <t>384w Proxiplates</t>
  </si>
  <si>
    <t>384w dilution plates (Clear)</t>
  </si>
  <si>
    <t>384w dilution plates (black)</t>
  </si>
  <si>
    <t>Reagents (not project specific)</t>
  </si>
  <si>
    <t>Plate seals (clear)</t>
  </si>
  <si>
    <t>Immunoassay Buffer</t>
  </si>
  <si>
    <t>Reagents (project specific)</t>
  </si>
  <si>
    <t>Vendor</t>
  </si>
  <si>
    <t>Cat. No.</t>
  </si>
  <si>
    <t>Project Name</t>
  </si>
  <si>
    <t>Akita</t>
  </si>
  <si>
    <t>Bead</t>
  </si>
  <si>
    <t>Probe</t>
  </si>
  <si>
    <t>Bernese</t>
  </si>
  <si>
    <t>Elkhound</t>
  </si>
  <si>
    <t>Frenchie</t>
  </si>
  <si>
    <t>Sheepdog</t>
  </si>
  <si>
    <t>Spaniel</t>
  </si>
  <si>
    <t>Xolo/Xochaso</t>
  </si>
  <si>
    <t>Reagent</t>
  </si>
  <si>
    <t>Anti ULBP2, Rabbit, mAB</t>
  </si>
  <si>
    <t>Anti ULBP2, Mouse, mAb</t>
  </si>
  <si>
    <t>Sinobiological</t>
  </si>
  <si>
    <t>RnD systems</t>
  </si>
  <si>
    <t>12143-R003</t>
  </si>
  <si>
    <t>MAB1298</t>
  </si>
  <si>
    <t>Anti Rabbit Donor beads</t>
  </si>
  <si>
    <t>Anti mouse acceptor beads</t>
  </si>
  <si>
    <t>Perkin Elmer</t>
  </si>
  <si>
    <t>AS105R</t>
  </si>
  <si>
    <t>AL105R</t>
  </si>
  <si>
    <t>CD-19 His tag, Biotin Avitag</t>
  </si>
  <si>
    <t>AcroBiosystems</t>
  </si>
  <si>
    <t>CD9-H82E9</t>
  </si>
  <si>
    <t>anti-IgG antibody :: Mouse anti-Human IgG Fc Monoclonal Antibody</t>
  </si>
  <si>
    <t>MyBioSource</t>
  </si>
  <si>
    <t>MBS460749</t>
  </si>
  <si>
    <t>Streptavidin Donor beads</t>
  </si>
  <si>
    <t>Streptavidin Acceptor beads</t>
  </si>
  <si>
    <t>AL125R</t>
  </si>
  <si>
    <t>Lysozyme (10000x)</t>
  </si>
  <si>
    <t>Millipore-Sigma</t>
  </si>
  <si>
    <t>71110-5</t>
  </si>
  <si>
    <t>Picogreen (200x)</t>
  </si>
  <si>
    <t>Invitrogen</t>
  </si>
  <si>
    <t>P11496</t>
  </si>
  <si>
    <t>Biotinylated Human 4-1BB / TNFRSF9 Protein, His,Avitag™(MALS verified)</t>
  </si>
  <si>
    <t>Acrobiosystems</t>
  </si>
  <si>
    <t>41B-H82E6</t>
  </si>
  <si>
    <t>Human VSIG8 Antibody</t>
  </si>
  <si>
    <t>R&amp;D systems</t>
  </si>
  <si>
    <t>MAB94182</t>
  </si>
  <si>
    <t>Mouse IgG Acceptor beads</t>
  </si>
  <si>
    <t>Human 4-1BB Ligand/TNFSF9 Antibody</t>
  </si>
  <si>
    <t>R&amp;D Systems</t>
  </si>
  <si>
    <t>MAB22952</t>
  </si>
  <si>
    <t>Mouse IgG Donor beads</t>
  </si>
  <si>
    <t>AS104R</t>
  </si>
  <si>
    <t>Anti rabbit acceptor beads</t>
  </si>
  <si>
    <t>AL104R</t>
  </si>
  <si>
    <t>Antibody-Antibody</t>
  </si>
  <si>
    <t>Receptor-Antibody</t>
  </si>
  <si>
    <t>ULBP2</t>
  </si>
  <si>
    <t>CD19</t>
  </si>
  <si>
    <t>Biotinylated Human CD47 Protein, His,Avitag™</t>
  </si>
  <si>
    <t>CD7-H82E9</t>
  </si>
  <si>
    <t>Recombinant Anti-CD40 Ligand Antibody, Rabbit Monoclonal</t>
  </si>
  <si>
    <t>SinoBiological</t>
  </si>
  <si>
    <t>10239-R202</t>
  </si>
  <si>
    <t>Ticagrelor-Biotin</t>
  </si>
  <si>
    <t>Phase Bio</t>
  </si>
  <si>
    <t>anti-lambda mAb</t>
  </si>
  <si>
    <t>abcam</t>
  </si>
  <si>
    <t>ab124719</t>
  </si>
  <si>
    <t>Streptavidin Donor</t>
  </si>
  <si>
    <t>Protein A Acceptor bead</t>
  </si>
  <si>
    <t>AL101R</t>
  </si>
  <si>
    <t>VEGF</t>
  </si>
  <si>
    <t>Sino biological</t>
  </si>
  <si>
    <t>11066-H27G-B</t>
  </si>
  <si>
    <t>Protein L Acceptor bead</t>
  </si>
  <si>
    <t>AL126C</t>
  </si>
  <si>
    <t>TGF-beta1 biotin</t>
  </si>
  <si>
    <t>Akita Standard</t>
  </si>
  <si>
    <t>Bernese Standard</t>
  </si>
  <si>
    <t>Dalmation Standard</t>
  </si>
  <si>
    <t>Elkhound Standard</t>
  </si>
  <si>
    <t>Frenchie Standard</t>
  </si>
  <si>
    <t>Sheepdog Standard</t>
  </si>
  <si>
    <t>Terrier Standard</t>
  </si>
  <si>
    <t>Xolo Standard</t>
  </si>
  <si>
    <t>Sheepdog_s1</t>
  </si>
  <si>
    <t>Fr-RS-xx</t>
  </si>
  <si>
    <t>Dalmation_s2</t>
  </si>
  <si>
    <t>Cat. No./Code</t>
  </si>
  <si>
    <t>Fox Terrier</t>
  </si>
  <si>
    <t>Boston Terrier</t>
  </si>
  <si>
    <t>Streptavidin  Donor</t>
  </si>
  <si>
    <t>Mouse Acceptor bead</t>
  </si>
  <si>
    <t>CELLTREAT</t>
  </si>
  <si>
    <t>PerkinElmer</t>
  </si>
  <si>
    <t>Eppendorf</t>
  </si>
  <si>
    <t>Greiner Bio-One</t>
  </si>
  <si>
    <t>PBS (20x pH7.5)</t>
  </si>
  <si>
    <t>VWR</t>
  </si>
  <si>
    <t>Spaniel Standard (Spaniel_s3)</t>
  </si>
  <si>
    <t>Spaniel_s3 (SL-172154)</t>
  </si>
  <si>
    <t>Binding Scheme</t>
  </si>
  <si>
    <t>Volume Beads (uL)</t>
  </si>
  <si>
    <t>Mass Beads (mg)</t>
  </si>
  <si>
    <t>Mass Bottle (mg)</t>
  </si>
  <si>
    <t>Cat./Ref. No.</t>
  </si>
  <si>
    <t>EDTA (0.5 M ph 8.0)</t>
  </si>
  <si>
    <t>97062-948</t>
  </si>
  <si>
    <t>BDH7830-1</t>
  </si>
  <si>
    <t>AL000F</t>
  </si>
  <si>
    <t>On hand (uL)</t>
  </si>
  <si>
    <t>Streptavidin donor beads</t>
  </si>
  <si>
    <t>Streptavidin acceptor beads</t>
  </si>
  <si>
    <t>On hand (mL)</t>
  </si>
  <si>
    <t>Do not adjust these cells</t>
  </si>
  <si>
    <t>Capture antibody (mouse)</t>
  </si>
  <si>
    <t>Detection antibody (mouse)</t>
  </si>
  <si>
    <t>Date</t>
  </si>
  <si>
    <t>Experiment</t>
  </si>
  <si>
    <t>Dog</t>
  </si>
  <si>
    <t>Who</t>
  </si>
  <si>
    <t>FERM00471</t>
  </si>
  <si>
    <t>ND</t>
  </si>
  <si>
    <t>Notes</t>
  </si>
  <si>
    <t>Dalmatian</t>
  </si>
  <si>
    <t>SSF00664</t>
  </si>
  <si>
    <t>SSF00665</t>
  </si>
  <si>
    <t>SSF00666</t>
  </si>
  <si>
    <t>SSF00668</t>
  </si>
  <si>
    <t>MC</t>
  </si>
  <si>
    <t>FER00461</t>
  </si>
  <si>
    <t>SSF00667</t>
  </si>
  <si>
    <t>SSF00669</t>
  </si>
  <si>
    <t>Elkhound Dev</t>
  </si>
  <si>
    <t>Troubleshooting</t>
  </si>
  <si>
    <t>ALB</t>
  </si>
  <si>
    <t>Project Specific Reagents</t>
  </si>
  <si>
    <t>(ug)</t>
  </si>
  <si>
    <t>Volume (uL)</t>
  </si>
  <si>
    <t>Conc. (ug/uL)</t>
  </si>
  <si>
    <t>MW (g/mol)</t>
  </si>
  <si>
    <t>Conc. (mM)</t>
  </si>
  <si>
    <t>Conc. (uM)</t>
  </si>
  <si>
    <t>Conc. (nM)</t>
  </si>
  <si>
    <t>Desired conc. (nM)</t>
  </si>
  <si>
    <t>Dalmation</t>
  </si>
  <si>
    <t>Receptor-Receptor binding scheme test</t>
  </si>
  <si>
    <t>SOM00029</t>
  </si>
  <si>
    <t>CD47 Protein, Human, Recombinant, Biotinylated</t>
  </si>
  <si>
    <t>12283-HCCH-B</t>
  </si>
  <si>
    <t>Human CD40 / TNFRSF5 Protein, His Tag (MALS verified)</t>
  </si>
  <si>
    <t>CD0-H5228</t>
  </si>
  <si>
    <t>Anti His Acceptor beads</t>
  </si>
  <si>
    <t>BsAb Target: Human LAG-3 / CD223 Protein, His Avitag</t>
  </si>
  <si>
    <t>ACROBiosystems</t>
  </si>
  <si>
    <t>LA3-H82E5</t>
  </si>
  <si>
    <t>Human PD-1 / PDCD1 Protein, Mouse IgG2a Fc Tag (HPLC-verified)</t>
  </si>
  <si>
    <t>PD1-H5255</t>
  </si>
  <si>
    <t>Protein A Acceptor beads</t>
  </si>
  <si>
    <t>BsAb Target: Biotinylated Human PD-1 / PDCD1 Protein, Avitag™,His Tag (recommended for biopanning)</t>
  </si>
  <si>
    <t>PD1-H82E4</t>
  </si>
  <si>
    <t>LAG3</t>
  </si>
  <si>
    <t>PD1</t>
  </si>
  <si>
    <t>Bi speific</t>
  </si>
  <si>
    <t>Bead Volume Calculation</t>
  </si>
  <si>
    <t>Mouse IgG immunoglobulin</t>
  </si>
  <si>
    <t>Biorad</t>
  </si>
  <si>
    <t>PMP01X</t>
  </si>
  <si>
    <t>SSF00672</t>
  </si>
  <si>
    <t>Need to take inventory of probes (make aliquots?)</t>
  </si>
  <si>
    <t>HPB dev</t>
  </si>
  <si>
    <t>FER00476</t>
  </si>
  <si>
    <t>SSF00670</t>
  </si>
  <si>
    <t>SSF00673</t>
  </si>
  <si>
    <t>FER0480</t>
  </si>
  <si>
    <t>SSF00678/679</t>
  </si>
  <si>
    <t>FER0461</t>
  </si>
  <si>
    <t>SSF00676</t>
  </si>
  <si>
    <t>Sheepdog_s2</t>
  </si>
  <si>
    <t>rerun of plate 7</t>
  </si>
  <si>
    <t>TGF-Beta 1 (Avi Biotin Tag)</t>
  </si>
  <si>
    <t xml:space="preserve">AcroBiosystem </t>
  </si>
  <si>
    <t>TG1-H8217-100ug</t>
  </si>
  <si>
    <t xml:space="preserve">Sheepdog </t>
  </si>
  <si>
    <t>ARS</t>
  </si>
  <si>
    <t>Sheepdog dev</t>
  </si>
  <si>
    <t>oligomer selection test</t>
  </si>
  <si>
    <t>SSF00681&amp;SSF00682</t>
  </si>
  <si>
    <t>SSF00683</t>
  </si>
  <si>
    <t>SSF00686</t>
  </si>
  <si>
    <t>Sheep/Span/Elk</t>
  </si>
  <si>
    <t>SOM00030</t>
  </si>
  <si>
    <t>Xolo</t>
  </si>
  <si>
    <t>FER00453</t>
  </si>
  <si>
    <t>SSF00689</t>
  </si>
  <si>
    <t>FER0466</t>
  </si>
  <si>
    <t>FER0484</t>
  </si>
  <si>
    <t>SSF00688 &amp; SOM00032</t>
  </si>
  <si>
    <t>FER0484 prerun</t>
  </si>
  <si>
    <t>SSF00690</t>
  </si>
  <si>
    <t>Sheeodog</t>
  </si>
  <si>
    <t>SOM00033</t>
  </si>
  <si>
    <t xml:space="preserve">Spaniel </t>
  </si>
  <si>
    <t>SSF00691</t>
  </si>
  <si>
    <t>FER0486</t>
  </si>
  <si>
    <t>Dalamtian</t>
  </si>
  <si>
    <t>SOM00035</t>
  </si>
  <si>
    <t>AL126R</t>
  </si>
  <si>
    <t>FER0484_RecRec</t>
  </si>
  <si>
    <t>FER0491</t>
  </si>
  <si>
    <t>250 mL Reservoirs</t>
  </si>
  <si>
    <t>GMP Sales</t>
  </si>
  <si>
    <t>RES-96DW-NS</t>
  </si>
  <si>
    <t>SSF00696</t>
  </si>
  <si>
    <t>SSF00696 rerun</t>
  </si>
  <si>
    <t>rerun</t>
  </si>
  <si>
    <t>HE14 Protein G Antibody</t>
  </si>
  <si>
    <t>Labcorp</t>
  </si>
  <si>
    <t>A-10832</t>
  </si>
  <si>
    <t>A-10838</t>
  </si>
  <si>
    <t>Covance</t>
  </si>
  <si>
    <t>HE2 Biot. Antibody</t>
  </si>
  <si>
    <t>Elkhound Standard s_4</t>
  </si>
  <si>
    <t>SSF00697</t>
  </si>
  <si>
    <t>10000x</t>
  </si>
  <si>
    <t>1x</t>
  </si>
  <si>
    <t>200x</t>
  </si>
  <si>
    <t>Fixed Reagents</t>
  </si>
  <si>
    <t>SSF00698</t>
  </si>
  <si>
    <t>had to add 2 additional source plates to the original protocol</t>
  </si>
  <si>
    <t>FER0496</t>
  </si>
  <si>
    <t>FER0494</t>
  </si>
  <si>
    <t>SSF00700</t>
  </si>
  <si>
    <t>SOM00040</t>
  </si>
  <si>
    <t>SSF00699</t>
  </si>
  <si>
    <t>Scheme</t>
  </si>
  <si>
    <t>Assay</t>
  </si>
  <si>
    <t>Rabbit IgG Donor beads</t>
  </si>
  <si>
    <t>(Native) Anti alpha-fetoprotein rabbit mAb</t>
  </si>
  <si>
    <t>(Native) Anti alpha-fetoprotein mouse mAb (detection component)</t>
  </si>
  <si>
    <t>SEK12177</t>
  </si>
  <si>
    <t>Abcam</t>
  </si>
  <si>
    <t>ab133617</t>
  </si>
  <si>
    <t>(Total) Anti alpha-fetoprotein mouse mAb (capture component)</t>
  </si>
  <si>
    <t xml:space="preserve">(Total) Anti alpha-fetoprotein rabbit mAb (capture component) </t>
  </si>
  <si>
    <t>ab256602</t>
  </si>
  <si>
    <t>Native</t>
  </si>
  <si>
    <t>Total</t>
  </si>
  <si>
    <t>Bloodhound Standard (alpha-fetoprotein)</t>
  </si>
  <si>
    <t>Scooby Standard (Trastuzumab)</t>
  </si>
  <si>
    <t>pre-run CD19 only</t>
  </si>
  <si>
    <t>FER0466 &amp; FER0487</t>
  </si>
  <si>
    <t>CD19 and ULBP2</t>
  </si>
  <si>
    <t>SSF00701</t>
  </si>
  <si>
    <t>SSF00702 &amp; SSF00703</t>
  </si>
  <si>
    <t>SSF00704</t>
  </si>
  <si>
    <t>FER0593</t>
  </si>
  <si>
    <t>SOM00043</t>
  </si>
  <si>
    <t>Bloodhound</t>
  </si>
  <si>
    <t>Scooby</t>
  </si>
  <si>
    <t>Her2/ERBB2 Protein, Human, Recombinant (His &amp; AVI Tag), Biotinylated</t>
  </si>
  <si>
    <t>10004-H27H-B</t>
  </si>
  <si>
    <t>Streptavidin Acceptor</t>
  </si>
  <si>
    <t>FER446&amp;447</t>
  </si>
  <si>
    <t>SSF00634</t>
  </si>
  <si>
    <t>Alpha v Proxi</t>
  </si>
  <si>
    <t>SSF00707</t>
  </si>
  <si>
    <t>GRS</t>
  </si>
  <si>
    <t>FERO495</t>
  </si>
  <si>
    <t>SOM00044</t>
  </si>
  <si>
    <t>Xolo_s3</t>
  </si>
  <si>
    <t>SSF00708 &amp; SSF00710</t>
  </si>
  <si>
    <t>FERM509</t>
  </si>
  <si>
    <t>SSF706</t>
  </si>
  <si>
    <t>FERM508</t>
  </si>
  <si>
    <t>FERM0510</t>
  </si>
  <si>
    <t>SSF00709 &amp; SOM00046</t>
  </si>
  <si>
    <t>FER509 SP6 &amp; SP7</t>
  </si>
  <si>
    <t>2 SP rerun</t>
  </si>
  <si>
    <t>SSF00715 &amp; SOM00047</t>
  </si>
  <si>
    <t>SSF00713</t>
  </si>
  <si>
    <t>SSF00716</t>
  </si>
  <si>
    <t>FER0511</t>
  </si>
  <si>
    <t>Bachelor005</t>
  </si>
  <si>
    <t>SSF00717</t>
  </si>
  <si>
    <t>SSF00718</t>
  </si>
  <si>
    <t>Starlet Validation</t>
  </si>
  <si>
    <t>FER0466 PCs</t>
  </si>
  <si>
    <t>FERM0517</t>
  </si>
  <si>
    <t>FERM0516</t>
  </si>
  <si>
    <t>FER0514</t>
  </si>
  <si>
    <t>prerun</t>
  </si>
  <si>
    <t>Streptavidin Donor bead</t>
  </si>
  <si>
    <t>Streptavidin  Donor bead</t>
  </si>
  <si>
    <t>Tic. Lot comp.</t>
  </si>
  <si>
    <t>SOM00050</t>
  </si>
  <si>
    <t>(Native) Anti alpha-fetoprotein rabbit mAb (0.13 mg/mL)</t>
  </si>
  <si>
    <t>(Native) Anti alpha-fetoprotein rabbit mAb (0.025 mg/mL)</t>
  </si>
  <si>
    <t>SOM00049</t>
  </si>
  <si>
    <t>PD-1</t>
  </si>
  <si>
    <t>FERM518</t>
  </si>
  <si>
    <t>SSF00722</t>
  </si>
  <si>
    <t>Ferm Samp. Val</t>
  </si>
  <si>
    <t>FER0521</t>
  </si>
  <si>
    <t>SSF00723</t>
  </si>
  <si>
    <t>SSF00721</t>
  </si>
  <si>
    <t>FER0520</t>
  </si>
  <si>
    <t>FER0518</t>
  </si>
  <si>
    <t>SSF00726 &amp;SOM00053</t>
  </si>
  <si>
    <t>SSF00725</t>
  </si>
  <si>
    <t>FER0519</t>
  </si>
  <si>
    <t>SOM00054</t>
  </si>
  <si>
    <t>SSF00724</t>
  </si>
  <si>
    <t>SSF00728</t>
  </si>
  <si>
    <t>SSF00729</t>
  </si>
  <si>
    <t>SOM00041</t>
  </si>
  <si>
    <t>FER0526</t>
  </si>
  <si>
    <t>SOM00052</t>
  </si>
  <si>
    <t>SSF00727</t>
  </si>
  <si>
    <t xml:space="preserve">Tahoma </t>
  </si>
  <si>
    <t>Mixed Ferm</t>
  </si>
  <si>
    <t>SSF00714</t>
  </si>
  <si>
    <t>FER0527</t>
  </si>
  <si>
    <t>CD7 H5227</t>
  </si>
  <si>
    <t>CD0 H5253</t>
  </si>
  <si>
    <t>LS</t>
  </si>
  <si>
    <t>Xolo, Sheepdog, Spaniel</t>
  </si>
  <si>
    <t>FER0524</t>
  </si>
  <si>
    <t>SSF00732</t>
  </si>
  <si>
    <t>FER531</t>
  </si>
  <si>
    <t>SSF00733</t>
  </si>
  <si>
    <t>SSF00735</t>
  </si>
  <si>
    <t>Human CD47 Protein, His Tag</t>
  </si>
  <si>
    <t>Platform13</t>
  </si>
  <si>
    <t>SOM00057</t>
  </si>
  <si>
    <t>Protein A Donor bead</t>
  </si>
  <si>
    <t>AS102R</t>
  </si>
  <si>
    <t>Sheepdog, Spaniel</t>
  </si>
  <si>
    <t>SOM00055</t>
  </si>
  <si>
    <t>FER0534</t>
  </si>
  <si>
    <t>SSF00736</t>
  </si>
  <si>
    <t>Human CD19 Fc tag low endotoxin</t>
  </si>
  <si>
    <t>CD9-H5251</t>
  </si>
  <si>
    <t>Human NKG2D, Mouse IgG2a Fc tag</t>
  </si>
  <si>
    <t>NKD-H5259</t>
  </si>
  <si>
    <t>Human CD19 Mouse IgG2a Fc tag</t>
  </si>
  <si>
    <t>CD9-H5258</t>
  </si>
  <si>
    <t>CD9-H52H2</t>
  </si>
  <si>
    <t>Human CD19 Protein His tag</t>
  </si>
  <si>
    <t>11880-H08H</t>
  </si>
  <si>
    <t>Recombinant Human CD19 / Leu 12 Protein His tag Biotinylated</t>
  </si>
  <si>
    <t>Recombinant Human CD19 / Leu 12 Protein His tag</t>
  </si>
  <si>
    <t>11880-H08H-B</t>
  </si>
  <si>
    <t>10575-H07B</t>
  </si>
  <si>
    <t>Recombinant Human NKG2D CD314 Protein His tag</t>
  </si>
  <si>
    <t>10575-H01S</t>
  </si>
  <si>
    <t>Recombinant Human NKG2D / Fc tag</t>
  </si>
  <si>
    <t>Human IFN alpha/beta R1 Protein Fc tag</t>
  </si>
  <si>
    <t>IF1-H5253</t>
  </si>
  <si>
    <t>Recombinant Hman HER2/ErbB2 protein His Tag Biotinylated</t>
  </si>
  <si>
    <t>10004-H08H-B</t>
  </si>
  <si>
    <t>Terrier</t>
  </si>
  <si>
    <t>Human CTLA-4 Protein mouse IgG2a Fc Tag low endotoxin</t>
  </si>
  <si>
    <t>CT4-H52A4</t>
  </si>
  <si>
    <t>rhCTLA-4Fc Chimera Avitag biotinylated recombinant (HEK293-derived)</t>
  </si>
  <si>
    <t>AVI7268</t>
  </si>
  <si>
    <t>COVID-19</t>
  </si>
  <si>
    <t>Recombinant Canine TGF-beta1/TGFB1 Protein (His Tag)</t>
  </si>
  <si>
    <t>70087-D08H</t>
  </si>
  <si>
    <t>Unknown</t>
  </si>
  <si>
    <t>Recombinant Human CD38 protein His Tag Biotinylated</t>
  </si>
  <si>
    <t>10818-H08H-B</t>
  </si>
  <si>
    <t>Biotinylated Human CD38 Avitag His Tag</t>
  </si>
  <si>
    <t>CD8-H8287</t>
  </si>
  <si>
    <t>Recombinant SARS CoV-2 Spike S1 S2 ECD His Recombinant Protein Biotinylated</t>
  </si>
  <si>
    <t>40589B08B1B</t>
  </si>
  <si>
    <t>Recombinant SARS CoV-2 Spike S1 AVI and His Recombinant protein biotinylated</t>
  </si>
  <si>
    <t>40591B27HB</t>
  </si>
  <si>
    <t>Goat anti-human IgG secondary antibody HRP</t>
  </si>
  <si>
    <t>rSARS-CoV-2 Spike biotin His Tag</t>
  </si>
  <si>
    <t>BT10549</t>
  </si>
  <si>
    <t>10499-CB</t>
  </si>
  <si>
    <t>rSARS-CoV-2 Spike Fc Chimera</t>
  </si>
  <si>
    <t>Human Serum Albumin His Avi Tag Biotinylated</t>
  </si>
  <si>
    <t>HAS-H82E3</t>
  </si>
  <si>
    <t>Human Serum Albumin His Tag</t>
  </si>
  <si>
    <t>HAS-H5220</t>
  </si>
  <si>
    <t>Native Human Serum Albumin Protein (FITC)</t>
  </si>
  <si>
    <t>ab8030</t>
  </si>
  <si>
    <t>ab8033</t>
  </si>
  <si>
    <t>Native Human Serum Albumin Protein Biotinylated</t>
  </si>
  <si>
    <t>Recombinant Human Serum Albumin Protein His Tag</t>
  </si>
  <si>
    <t>ab217817</t>
  </si>
  <si>
    <t>SSF0738</t>
  </si>
  <si>
    <t>FER0537</t>
  </si>
  <si>
    <t>FER0528</t>
  </si>
  <si>
    <t>LS (late entry)</t>
  </si>
  <si>
    <t>FER0535</t>
  </si>
  <si>
    <t>SSF00737&amp;FER0538</t>
  </si>
  <si>
    <t>Frenchie &amp;Everest (Frenchie)</t>
  </si>
  <si>
    <t>Spaniel&amp;Platform013 (Spaniel)</t>
  </si>
  <si>
    <t>FER0536 &amp; Leg v. Star</t>
  </si>
  <si>
    <t>SSF00739</t>
  </si>
  <si>
    <t>FER0514 Rerun</t>
  </si>
  <si>
    <t>SOM00060</t>
  </si>
  <si>
    <t>SSF00741</t>
  </si>
  <si>
    <t>Dalmatian Comp Run</t>
  </si>
  <si>
    <t>FER0539</t>
  </si>
  <si>
    <t>Avitag Biotinylated Human Latent TGF-Beta1, His tag</t>
  </si>
  <si>
    <t>TG1-H82Qb-25ug</t>
  </si>
  <si>
    <t>(new bottle ~125uL)</t>
  </si>
  <si>
    <t>None in Box</t>
  </si>
  <si>
    <t>SSF00742</t>
  </si>
  <si>
    <t>SSF00749</t>
  </si>
  <si>
    <t>SSF00750</t>
  </si>
  <si>
    <t>Various</t>
  </si>
  <si>
    <t>Probe/Bead Count</t>
  </si>
  <si>
    <t>SSF00752</t>
  </si>
  <si>
    <t>SSF00748</t>
  </si>
  <si>
    <t>FER0543</t>
  </si>
  <si>
    <t>FER0538 - repeat</t>
  </si>
  <si>
    <t>Starlet re-validation</t>
  </si>
  <si>
    <t>FER0536 repeat</t>
  </si>
  <si>
    <t>SSF00751</t>
  </si>
  <si>
    <t>SSF00753 &amp; SSF00754</t>
  </si>
  <si>
    <t>FER0545</t>
  </si>
  <si>
    <t>SSF00747</t>
  </si>
  <si>
    <t>SSF00748 partial rerun</t>
  </si>
  <si>
    <t>Xolo_s4</t>
  </si>
  <si>
    <t>Update standard concentration</t>
  </si>
  <si>
    <t>SOM00031</t>
  </si>
  <si>
    <t>SSF00756</t>
  </si>
  <si>
    <t>SSF00755</t>
  </si>
  <si>
    <t>TN5-H82F9</t>
  </si>
  <si>
    <t>Human CD40 / TNFRSF5 Protein, Fc, Avitag (MALS verified)</t>
  </si>
  <si>
    <t>SSF00063</t>
  </si>
  <si>
    <t>FER0541</t>
  </si>
  <si>
    <t>FER0548</t>
  </si>
  <si>
    <t>FERM partial rerun</t>
  </si>
  <si>
    <t>Anti-rabbit IgG (Fc specific) AlphaLISA Acceptor Beads</t>
  </si>
  <si>
    <t>Internal Reference material</t>
  </si>
  <si>
    <t>XoloA PD0007</t>
  </si>
  <si>
    <t>FER0535 rerun</t>
  </si>
  <si>
    <t>12/14/2021 Xolo</t>
  </si>
  <si>
    <t>Mixed Ferm (on 12/12)</t>
  </si>
  <si>
    <t>PC Variation Day 1</t>
  </si>
  <si>
    <t>SSF00761</t>
  </si>
  <si>
    <t>SSF00760</t>
  </si>
  <si>
    <t>SSF00756 rerun</t>
  </si>
  <si>
    <t>PC Variation Day 2</t>
  </si>
  <si>
    <t>Biotinylated CD40 /TNFRSF5 Protein, Fc, Avitag (MALS verified)</t>
  </si>
  <si>
    <t>Human SIRP alpha/CD172a Mantibody (Clone 602411)</t>
  </si>
  <si>
    <t>MAB4546</t>
  </si>
  <si>
    <t>Human IgG Mab (Clone 1268A)</t>
  </si>
  <si>
    <t>MAB11013</t>
  </si>
  <si>
    <t xml:space="preserve">CD40 Ligand/CD40L/CD154 Antibody, Rabbit Mab </t>
  </si>
  <si>
    <t>10239-R301</t>
  </si>
  <si>
    <t>FER0554</t>
  </si>
  <si>
    <t>Star Sampling Validation</t>
  </si>
  <si>
    <t>PC Variation Day 3</t>
  </si>
  <si>
    <t>FER0549</t>
  </si>
  <si>
    <t>SSF00762</t>
  </si>
  <si>
    <t>Recombinant Human CD47 protein His tag</t>
  </si>
  <si>
    <t>12283-H08H</t>
  </si>
  <si>
    <t>Recombinant Human CD47 protein, biotinylated</t>
  </si>
  <si>
    <t>Recombinant Human CD40/TNFRSF5 Histag</t>
  </si>
  <si>
    <t>10774-H08H-B</t>
  </si>
  <si>
    <t>Sino</t>
  </si>
  <si>
    <t>Location of Aliquot</t>
  </si>
  <si>
    <t>Location of bottle</t>
  </si>
  <si>
    <t>Galadriel/Spaniel Box</t>
  </si>
  <si>
    <t>Standard Inventory</t>
  </si>
  <si>
    <t>Gandalf/80C HPB Box 1</t>
  </si>
  <si>
    <t>Galadriel/Spaniel Box/Production Side</t>
  </si>
  <si>
    <t>SSF00759</t>
  </si>
  <si>
    <t>(new vial ~ 13 ug)</t>
  </si>
  <si>
    <t xml:space="preserve">R&amp;D Systems </t>
  </si>
  <si>
    <t>MAB1369</t>
  </si>
  <si>
    <t>(Replacement Total) Anti-Human Alpha Fetoprotein mAb</t>
  </si>
  <si>
    <t>ACT101_s3 (Bloodhound Partner Standard) - 2mg/L</t>
  </si>
  <si>
    <t>Receptor-Receptor (D1V3)</t>
  </si>
  <si>
    <t>Human IFNAR2, His</t>
  </si>
  <si>
    <t>IF2-5224</t>
  </si>
  <si>
    <t>245-AB</t>
  </si>
  <si>
    <t>4015-AB</t>
  </si>
  <si>
    <t>IFNAR2, Biotinylated</t>
  </si>
  <si>
    <t>10359-H08H-B</t>
  </si>
  <si>
    <t xml:space="preserve">IFNAR1, His </t>
  </si>
  <si>
    <t>13222-H08H</t>
  </si>
  <si>
    <t>rhIFNAR2, Fc Chimera *ACE</t>
  </si>
  <si>
    <t>rhIFNAR1 *ACE</t>
  </si>
  <si>
    <t>Bead inventory update</t>
  </si>
  <si>
    <t>Mutt (All)</t>
  </si>
  <si>
    <t xml:space="preserve">Update of probes after All val and ferm runs </t>
  </si>
  <si>
    <t>SSF00768</t>
  </si>
  <si>
    <t>SSF00767</t>
  </si>
  <si>
    <t>original and rerun</t>
  </si>
  <si>
    <t>SSF00766</t>
  </si>
  <si>
    <t>SSF00763</t>
  </si>
  <si>
    <t>SSF00769</t>
  </si>
  <si>
    <t>Bloodhound (Fermentation)</t>
  </si>
  <si>
    <t>Combined Totals</t>
  </si>
  <si>
    <t>red = less than six 16 proxiplate runs left, yellow = less than nine 16 proxiplate runs left</t>
  </si>
  <si>
    <t>Ticagrelor-Biotin (New-New)</t>
  </si>
  <si>
    <t>Ticagrelor-Biotin (Old-New)</t>
  </si>
  <si>
    <t>Project</t>
  </si>
  <si>
    <t>Cat no</t>
  </si>
  <si>
    <t>For nine 16 proxiplate runs</t>
  </si>
  <si>
    <t>For six 16 proxiplate runs</t>
  </si>
  <si>
    <t>(Native) Anti alpha-fetoprotein rabbit mAb (1 mg/mL)</t>
  </si>
  <si>
    <t>Bispecific</t>
  </si>
  <si>
    <t>D2V1</t>
  </si>
  <si>
    <t>D1V1</t>
  </si>
  <si>
    <t>D1V3</t>
  </si>
  <si>
    <t>ULBP</t>
  </si>
  <si>
    <t>FER0554 3rd run</t>
  </si>
  <si>
    <t>Akita and Bernese</t>
  </si>
  <si>
    <t>Moved beads to Frenchie</t>
  </si>
  <si>
    <t>Lyophilized/Frozen Reagents (project specific)</t>
  </si>
  <si>
    <t>in 4C, not frozen</t>
  </si>
  <si>
    <t>SSF00770</t>
  </si>
  <si>
    <t xml:space="preserve">Galadriel/Sheepdog Box/Development </t>
  </si>
  <si>
    <t>Galadriel/Bloodhound Box/Production</t>
  </si>
  <si>
    <t>CCC</t>
  </si>
  <si>
    <t>12177-MM15</t>
  </si>
  <si>
    <t>(Replacement Native) AFP mouse antibody (1mg/mL)</t>
  </si>
  <si>
    <t>FER0566</t>
  </si>
  <si>
    <t>Ordered By (initials)/Date</t>
  </si>
  <si>
    <t>On hand (ug)*</t>
  </si>
  <si>
    <t>On hand (uL)*</t>
  </si>
  <si>
    <t>*only adjust cells that are highlighted yellow</t>
  </si>
  <si>
    <t>(ug for lyophilized reagents, uL for liquid reagents)</t>
  </si>
  <si>
    <t>uL will automatically be calculated from the ug amount for lyophilized reagents</t>
  </si>
  <si>
    <t>SSF00773</t>
  </si>
  <si>
    <t>SSF00771</t>
  </si>
  <si>
    <t>FER0558</t>
  </si>
  <si>
    <t>Bloodhound DEV</t>
  </si>
  <si>
    <t>Ref material vs Biomatik AFP</t>
  </si>
  <si>
    <t>SSF00774</t>
  </si>
  <si>
    <t>Galadriel/Elkhound/Production</t>
  </si>
  <si>
    <t>Galadriel/Right door/Blue kit box DY9667-05</t>
  </si>
  <si>
    <t xml:space="preserve">Freezer -20C/Top Door/MouseIgGbox </t>
  </si>
  <si>
    <t>None in HPB fridges and freezers</t>
  </si>
  <si>
    <t>PD1-H5221</t>
  </si>
  <si>
    <t>FER0564</t>
  </si>
  <si>
    <t>LS/GRS</t>
  </si>
  <si>
    <t>Dev</t>
  </si>
  <si>
    <t>Spin test</t>
  </si>
  <si>
    <t>FER0557/567</t>
  </si>
  <si>
    <t>Tempest Goby V2 vs V2.1</t>
  </si>
  <si>
    <t>Dalmatian (SSF00736)</t>
  </si>
  <si>
    <t>Bloodhound (FER0558)</t>
  </si>
  <si>
    <t>Glycerol/Recovery Test</t>
  </si>
  <si>
    <t>Bloodhound Dev</t>
  </si>
  <si>
    <t>ABS03041 vs ABS26338</t>
  </si>
  <si>
    <t>SEK12177-MM26</t>
  </si>
  <si>
    <t>SEK12177-MM33</t>
  </si>
  <si>
    <t>Bloodhound, Frenchie</t>
  </si>
  <si>
    <t>BL</t>
  </si>
  <si>
    <t>ABS03041 vs ABS26338, added lyophilized reagents</t>
  </si>
  <si>
    <t>SPI00005 Day 1</t>
  </si>
  <si>
    <t>SPI00005 Day 2</t>
  </si>
  <si>
    <t>SPI00005 Day 3</t>
  </si>
  <si>
    <t>ab252573</t>
  </si>
  <si>
    <t>same as ab256602 capture, store at 4C</t>
  </si>
  <si>
    <t>Bloodhound, Spaniel, Elkhound</t>
  </si>
  <si>
    <t>Hard spin Dev, added lyophilized reagents</t>
  </si>
  <si>
    <t>Human PD-1, His Tag</t>
  </si>
  <si>
    <t>Akita, Dalmatian</t>
  </si>
  <si>
    <t>Monthly Verification/Update</t>
  </si>
  <si>
    <t>Pipette troubleshooting test</t>
  </si>
  <si>
    <t>(Native) Anti alpha-fetoprotein mouse mAb (detection component) KIT</t>
  </si>
  <si>
    <t>(Total) Anti alpha-fetoprotein mouse mAb (capture component) KIT</t>
  </si>
  <si>
    <t>FER0572</t>
  </si>
  <si>
    <t>FER0573</t>
  </si>
  <si>
    <t>FER0585 (BLOODHOUND048 Stage I)</t>
  </si>
  <si>
    <t>SPANIEL047 Probe screen &amp; repeat</t>
  </si>
  <si>
    <t>Spaniel Standard (Spaniel_s4) 2mg/mL</t>
  </si>
  <si>
    <t>FER569</t>
  </si>
  <si>
    <t>SPANIEL047 Titration Matrix</t>
  </si>
  <si>
    <t>FER0557&amp;0567</t>
  </si>
  <si>
    <t>Tube thaw exp</t>
  </si>
  <si>
    <t>Tempest  Chip Validation</t>
  </si>
  <si>
    <t>Day prior vs Day of plate prep</t>
  </si>
  <si>
    <t>Probe confirmation and sol/insol</t>
  </si>
  <si>
    <t>Probe crossover study</t>
  </si>
  <si>
    <t>Oligomer confirmation D3V1 repeat</t>
  </si>
  <si>
    <t>FER0579</t>
  </si>
  <si>
    <t>Upper and lower LOD test</t>
  </si>
  <si>
    <t xml:space="preserve">CD40 Ligand/CD40L/CD154 Antibody, Rabbit mAb </t>
  </si>
  <si>
    <r>
      <t>Mouse SIRP</t>
    </r>
    <r>
      <rPr>
        <sz val="11"/>
        <color theme="1"/>
        <rFont val="Calibri"/>
        <family val="2"/>
      </rPr>
      <t>α mAb</t>
    </r>
  </si>
  <si>
    <t>Anti-Rabbit CD40 mAb 301</t>
  </si>
  <si>
    <t xml:space="preserve">SinoBiological </t>
  </si>
  <si>
    <t>SOM00076</t>
  </si>
  <si>
    <t>all 3 schemes</t>
  </si>
  <si>
    <t>Anti Mouse Donor beads</t>
  </si>
  <si>
    <t xml:space="preserve">Spaniel047 </t>
  </si>
  <si>
    <t>Rec/Rec and mAb/mAb schemes (mAb/mAb reagents not entered due to no volume information on spreadsheet. Mouse Donor beads from Sheepdog used)</t>
  </si>
  <si>
    <t>FER550</t>
  </si>
  <si>
    <t>Total scheme redev</t>
  </si>
  <si>
    <t>400 (opaque)</t>
  </si>
  <si>
    <t>Pall</t>
  </si>
  <si>
    <t>Pall AcroPrep filter plates</t>
  </si>
  <si>
    <t>Tempest Chip Validation</t>
  </si>
  <si>
    <t>Accuracy and Precision</t>
  </si>
  <si>
    <t>Fermentation Run</t>
  </si>
  <si>
    <t>Time Points</t>
  </si>
  <si>
    <t>Bioreactors</t>
  </si>
  <si>
    <t>Total Plates</t>
  </si>
  <si>
    <t>Location</t>
  </si>
  <si>
    <t>FER0581</t>
  </si>
  <si>
    <t>(20,40,48,64,68)</t>
  </si>
  <si>
    <t>1 to 12</t>
  </si>
  <si>
    <t>Gandallf Tray 61</t>
  </si>
  <si>
    <t>FER0582</t>
  </si>
  <si>
    <t>(40,48,64,68)</t>
  </si>
  <si>
    <t>Gandalf Tray 61</t>
  </si>
  <si>
    <t>FER0583</t>
  </si>
  <si>
    <t>48, 64, 68, 72</t>
  </si>
  <si>
    <t>1-24 minus 11, 13, 14</t>
  </si>
  <si>
    <t>4, 4 backup</t>
  </si>
  <si>
    <t>Gandalf Tray 62</t>
  </si>
  <si>
    <t>1-24 minus 14</t>
  </si>
  <si>
    <t>Gandalf Tray 63</t>
  </si>
  <si>
    <t>AL178R</t>
  </si>
  <si>
    <t>FER0581 &amp;FER0582</t>
  </si>
  <si>
    <t>FER0583 &amp; FER0572</t>
  </si>
  <si>
    <t>Delayed entry, runs performed 2/19/22 and 2/20/22</t>
  </si>
  <si>
    <t>Delayed entry, runs performed 2/21/22 and 2/22/22</t>
  </si>
  <si>
    <t>Anti-mouse Donor beads</t>
  </si>
  <si>
    <t>SOM73</t>
  </si>
  <si>
    <t>Spaniel Inventory check</t>
  </si>
  <si>
    <t>Frenchie PD1 probe receipt</t>
  </si>
  <si>
    <t>Bloodhound &amp; Dalmatian</t>
  </si>
  <si>
    <t>Probe receipt</t>
  </si>
  <si>
    <t>Lassen08 pre-run</t>
  </si>
  <si>
    <t>Antibody-Antibody (D3V1)</t>
  </si>
  <si>
    <t>BLP Lassen 08</t>
  </si>
  <si>
    <t>2 backups</t>
  </si>
  <si>
    <t>C1-8, D1-8, E1-8, F1-8</t>
  </si>
  <si>
    <t>FER0585</t>
  </si>
  <si>
    <t>48,64,68,72</t>
  </si>
  <si>
    <t>1 to 24</t>
  </si>
  <si>
    <t>Gandalf Tray 68</t>
  </si>
  <si>
    <t>Lassen08 BLP13 (14?)</t>
  </si>
  <si>
    <t>Frenchie_s3</t>
  </si>
  <si>
    <t>4C</t>
  </si>
  <si>
    <t>Rec'd 2/226/22</t>
  </si>
  <si>
    <t>SOM00079</t>
  </si>
  <si>
    <t>SPANIEL061 repeat</t>
  </si>
  <si>
    <t>Updated consumables &amp; reagents after making DBI</t>
  </si>
  <si>
    <t>Inventory check</t>
  </si>
  <si>
    <t>FER0586</t>
  </si>
  <si>
    <t>FER0590</t>
  </si>
  <si>
    <t>1, 3-12</t>
  </si>
  <si>
    <t>Gandlaf Tray 65</t>
  </si>
  <si>
    <t>Frenchie, Bloodhound, Dalmatian</t>
  </si>
  <si>
    <t>Added new lyophilized reagents &amp; Frenchie beads</t>
  </si>
  <si>
    <t>FER0588</t>
  </si>
  <si>
    <t>40, 48, 64, 48</t>
  </si>
  <si>
    <t>Gandalf Tray 66</t>
  </si>
  <si>
    <t>Gandalf Tray 67</t>
  </si>
  <si>
    <t>NLF01-02</t>
  </si>
  <si>
    <t>40,44,48</t>
  </si>
  <si>
    <t>Spaniel dev upper LOD repeat, sol.insol repeat</t>
  </si>
  <si>
    <t>Added new probe bottles</t>
  </si>
  <si>
    <t>Bloodhound, Spaniel</t>
  </si>
  <si>
    <t>Biomatik AFP lot to lot, Spaniel sol/insol repeat</t>
  </si>
  <si>
    <t>CMG00037</t>
  </si>
  <si>
    <t>SSF805</t>
  </si>
  <si>
    <t>40,48,64,68</t>
  </si>
  <si>
    <t>Date prepped</t>
  </si>
  <si>
    <t>BR1-24 (40,48hr) BR1-10, 12-14, 16-21, 23-24 (64,68hr)</t>
  </si>
  <si>
    <t>set to match other Protein A acceptor beads in project. Please update E72</t>
  </si>
  <si>
    <t>set to match other Strep donor beads in project. Please update E71</t>
  </si>
  <si>
    <t>set to match other LAG3 probes in project. Please update E73</t>
  </si>
  <si>
    <t>AL178C</t>
  </si>
  <si>
    <t>Bloodhound/Mutt</t>
  </si>
  <si>
    <t>PicoGreen + Bead shipment</t>
  </si>
  <si>
    <t xml:space="preserve">BLP023 Lassen 008 </t>
  </si>
  <si>
    <t>BLP017 Lassen 009</t>
  </si>
  <si>
    <t>Gandalf Tray 70</t>
  </si>
  <si>
    <t>BLP017 &amp; BLP023</t>
  </si>
  <si>
    <t>Added new lyophilized reagents</t>
  </si>
  <si>
    <t>BLP024 Lassen 008</t>
  </si>
  <si>
    <t>Used new probe and reagent, SSF810</t>
  </si>
  <si>
    <t>FER0600 + CMG043</t>
  </si>
  <si>
    <t>Checked inventory + added lyophilized reagents</t>
  </si>
  <si>
    <t>Dalmatian, Akita, Bloodhound</t>
  </si>
  <si>
    <t>Picogreen + Lysozyme</t>
  </si>
  <si>
    <t>SSF frenchie046</t>
  </si>
  <si>
    <t>Bloodhound/Dalmatian</t>
  </si>
  <si>
    <t>11066-H27H-B</t>
  </si>
  <si>
    <t xml:space="preserve">Added new lyophilized reagents </t>
  </si>
  <si>
    <t>Xolo_PD0007</t>
  </si>
  <si>
    <t>Recombinant Human VEGF/VEGFA/VEGF 165 Protein His and Avi tag Biotinylated</t>
  </si>
  <si>
    <t>FERM635/636</t>
  </si>
  <si>
    <t>Gandalf Tray 61 and 62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</si>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</sst>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EB4E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464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lightUp"/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296">
    <xf numFmtId="0" fontId="0" fillId="0" borderId="0" xfId="0"/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18" xfId="0" applyFill="1" applyBorder="1"/>
    <xf numFmtId="0" fontId="0" fillId="0" borderId="19" xfId="0" applyBorder="1"/>
    <xf numFmtId="0" fontId="0" fillId="0" borderId="12" xfId="0" applyBorder="1"/>
    <xf numFmtId="0" fontId="0" fillId="0" borderId="18" xfId="0" applyBorder="1"/>
    <xf numFmtId="0" fontId="0" fillId="0" borderId="19" xfId="0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0" fillId="0" borderId="0" xfId="0" applyFill="1" applyBorder="1" applyAlignment="1"/>
    <xf numFmtId="1" fontId="0" fillId="0" borderId="6" xfId="0" applyNumberFormat="1" applyBorder="1"/>
    <xf numFmtId="0" fontId="0" fillId="0" borderId="15" xfId="0" applyBorder="1"/>
    <xf numFmtId="1" fontId="0" fillId="0" borderId="16" xfId="0" applyNumberFormat="1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4" xfId="0" applyBorder="1"/>
    <xf numFmtId="1" fontId="0" fillId="0" borderId="18" xfId="0" applyNumberFormat="1" applyBorder="1"/>
    <xf numFmtId="1" fontId="0" fillId="0" borderId="9" xfId="0" applyNumberFormat="1" applyBorder="1"/>
    <xf numFmtId="1" fontId="0" fillId="0" borderId="19" xfId="0" applyNumberFormat="1" applyBorder="1"/>
    <xf numFmtId="1" fontId="0" fillId="0" borderId="8" xfId="0" applyNumberFormat="1" applyBorder="1"/>
    <xf numFmtId="1" fontId="0" fillId="0" borderId="5" xfId="0" applyNumberFormat="1" applyBorder="1"/>
    <xf numFmtId="0" fontId="0" fillId="0" borderId="25" xfId="0" applyBorder="1"/>
    <xf numFmtId="1" fontId="0" fillId="0" borderId="11" xfId="0" applyNumberFormat="1" applyBorder="1"/>
    <xf numFmtId="164" fontId="0" fillId="0" borderId="10" xfId="0" applyNumberFormat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 applyAlignment="1">
      <alignment horizontal="center"/>
    </xf>
    <xf numFmtId="1" fontId="0" fillId="2" borderId="22" xfId="0" applyNumberFormat="1" applyFill="1" applyBorder="1"/>
    <xf numFmtId="0" fontId="0" fillId="2" borderId="23" xfId="0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12" xfId="0" applyFill="1" applyBorder="1"/>
    <xf numFmtId="0" fontId="0" fillId="4" borderId="13" xfId="0" applyFill="1" applyBorder="1"/>
    <xf numFmtId="0" fontId="0" fillId="0" borderId="15" xfId="0" applyFill="1" applyBorder="1"/>
    <xf numFmtId="0" fontId="0" fillId="0" borderId="16" xfId="0" applyFill="1" applyBorder="1"/>
    <xf numFmtId="0" fontId="1" fillId="0" borderId="16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12" xfId="0" applyNumberFormat="1" applyBorder="1"/>
    <xf numFmtId="1" fontId="0" fillId="0" borderId="10" xfId="0" applyNumberFormat="1" applyBorder="1"/>
    <xf numFmtId="1" fontId="0" fillId="0" borderId="7" xfId="0" applyNumberFormat="1" applyBorder="1"/>
    <xf numFmtId="14" fontId="0" fillId="0" borderId="0" xfId="0" applyNumberFormat="1"/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0" xfId="0" applyFill="1"/>
    <xf numFmtId="0" fontId="0" fillId="2" borderId="27" xfId="0" applyFill="1" applyBorder="1"/>
    <xf numFmtId="0" fontId="0" fillId="0" borderId="18" xfId="0" quotePrefix="1" applyBorder="1"/>
    <xf numFmtId="0" fontId="0" fillId="0" borderId="8" xfId="0" quotePrefix="1" applyBorder="1"/>
    <xf numFmtId="0" fontId="3" fillId="0" borderId="0" xfId="1" applyFill="1" applyBorder="1"/>
    <xf numFmtId="0" fontId="3" fillId="0" borderId="5" xfId="1" applyFill="1" applyBorder="1"/>
    <xf numFmtId="0" fontId="1" fillId="0" borderId="6" xfId="0" applyFont="1" applyBorder="1"/>
    <xf numFmtId="0" fontId="1" fillId="0" borderId="9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19" xfId="0" applyFont="1" applyBorder="1"/>
    <xf numFmtId="0" fontId="1" fillId="0" borderId="17" xfId="0" applyFont="1" applyBorder="1"/>
    <xf numFmtId="0" fontId="0" fillId="0" borderId="11" xfId="0" applyFill="1" applyBorder="1"/>
    <xf numFmtId="0" fontId="0" fillId="0" borderId="30" xfId="0" applyBorder="1"/>
    <xf numFmtId="0" fontId="0" fillId="0" borderId="0" xfId="0" applyBorder="1" applyAlignment="1">
      <alignment horizontal="center" vertical="center" wrapText="1"/>
    </xf>
    <xf numFmtId="0" fontId="0" fillId="0" borderId="20" xfId="0" quotePrefix="1" applyBorder="1"/>
    <xf numFmtId="0" fontId="0" fillId="0" borderId="5" xfId="0" applyFill="1" applyBorder="1"/>
    <xf numFmtId="0" fontId="0" fillId="0" borderId="8" xfId="0" applyFill="1" applyBorder="1"/>
    <xf numFmtId="0" fontId="0" fillId="0" borderId="28" xfId="0" applyBorder="1"/>
    <xf numFmtId="0" fontId="0" fillId="0" borderId="29" xfId="0" applyBorder="1"/>
    <xf numFmtId="0" fontId="1" fillId="0" borderId="14" xfId="0" applyFont="1" applyFill="1" applyBorder="1"/>
    <xf numFmtId="0" fontId="0" fillId="0" borderId="31" xfId="0" applyBorder="1"/>
    <xf numFmtId="0" fontId="1" fillId="0" borderId="5" xfId="0" applyFont="1" applyFill="1" applyBorder="1"/>
    <xf numFmtId="0" fontId="5" fillId="0" borderId="6" xfId="2" applyFont="1" applyFill="1" applyBorder="1"/>
    <xf numFmtId="0" fontId="5" fillId="0" borderId="6" xfId="2" quotePrefix="1" applyFont="1" applyFill="1" applyBorder="1"/>
    <xf numFmtId="2" fontId="0" fillId="0" borderId="9" xfId="0" applyNumberFormat="1" applyBorder="1"/>
    <xf numFmtId="2" fontId="0" fillId="0" borderId="6" xfId="0" applyNumberFormat="1" applyBorder="1"/>
    <xf numFmtId="0" fontId="5" fillId="0" borderId="5" xfId="2" quotePrefix="1" applyFont="1" applyFill="1" applyBorder="1"/>
    <xf numFmtId="2" fontId="0" fillId="0" borderId="8" xfId="0" applyNumberFormat="1" applyBorder="1"/>
    <xf numFmtId="2" fontId="0" fillId="0" borderId="5" xfId="0" applyNumberFormat="1" applyBorder="1"/>
    <xf numFmtId="0" fontId="0" fillId="0" borderId="12" xfId="0" quotePrefix="1" applyBorder="1"/>
    <xf numFmtId="0" fontId="0" fillId="0" borderId="5" xfId="0" quotePrefix="1" applyBorder="1"/>
    <xf numFmtId="0" fontId="0" fillId="0" borderId="10" xfId="0" applyFill="1" applyBorder="1"/>
    <xf numFmtId="0" fontId="0" fillId="0" borderId="26" xfId="0" applyBorder="1"/>
    <xf numFmtId="0" fontId="0" fillId="4" borderId="0" xfId="0" applyFill="1" applyBorder="1"/>
    <xf numFmtId="0" fontId="0" fillId="7" borderId="6" xfId="0" applyFill="1" applyBorder="1"/>
    <xf numFmtId="0" fontId="0" fillId="7" borderId="12" xfId="0" applyFill="1" applyBorder="1"/>
    <xf numFmtId="0" fontId="0" fillId="0" borderId="13" xfId="0" applyBorder="1"/>
    <xf numFmtId="0" fontId="0" fillId="0" borderId="14" xfId="0" applyBorder="1"/>
    <xf numFmtId="0" fontId="0" fillId="8" borderId="12" xfId="0" applyFill="1" applyBorder="1"/>
    <xf numFmtId="0" fontId="0" fillId="0" borderId="17" xfId="0" applyFill="1" applyBorder="1"/>
    <xf numFmtId="0" fontId="0" fillId="0" borderId="36" xfId="0" applyBorder="1"/>
    <xf numFmtId="0" fontId="0" fillId="2" borderId="37" xfId="0" applyFill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1" fillId="0" borderId="14" xfId="0" applyFont="1" applyBorder="1"/>
    <xf numFmtId="0" fontId="1" fillId="0" borderId="31" xfId="0" applyFont="1" applyBorder="1"/>
    <xf numFmtId="1" fontId="0" fillId="0" borderId="40" xfId="0" applyNumberFormat="1" applyBorder="1"/>
    <xf numFmtId="165" fontId="0" fillId="0" borderId="40" xfId="0" applyNumberFormat="1" applyBorder="1"/>
    <xf numFmtId="166" fontId="0" fillId="0" borderId="40" xfId="0" applyNumberFormat="1" applyBorder="1"/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/>
    <xf numFmtId="0" fontId="0" fillId="0" borderId="27" xfId="0" applyBorder="1"/>
    <xf numFmtId="1" fontId="0" fillId="0" borderId="32" xfId="0" applyNumberFormat="1" applyBorder="1"/>
    <xf numFmtId="0" fontId="0" fillId="0" borderId="42" xfId="0" applyBorder="1"/>
    <xf numFmtId="0" fontId="1" fillId="0" borderId="36" xfId="0" applyFont="1" applyBorder="1"/>
    <xf numFmtId="0" fontId="0" fillId="0" borderId="41" xfId="0" applyFill="1" applyBorder="1"/>
    <xf numFmtId="0" fontId="0" fillId="0" borderId="35" xfId="0" applyFill="1" applyBorder="1"/>
    <xf numFmtId="0" fontId="0" fillId="0" borderId="37" xfId="0" applyBorder="1"/>
    <xf numFmtId="0" fontId="3" fillId="0" borderId="36" xfId="1" applyFill="1" applyBorder="1"/>
    <xf numFmtId="0" fontId="0" fillId="8" borderId="6" xfId="0" applyFill="1" applyBorder="1"/>
    <xf numFmtId="0" fontId="0" fillId="0" borderId="0" xfId="0" applyFill="1"/>
    <xf numFmtId="0" fontId="4" fillId="0" borderId="0" xfId="2" applyFill="1" applyBorder="1"/>
    <xf numFmtId="0" fontId="0" fillId="0" borderId="29" xfId="0" applyBorder="1" applyAlignment="1">
      <alignment horizontal="center" vertical="center"/>
    </xf>
    <xf numFmtId="1" fontId="0" fillId="0" borderId="0" xfId="0" applyNumberFormat="1" applyBorder="1"/>
    <xf numFmtId="0" fontId="0" fillId="10" borderId="1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8" borderId="27" xfId="0" applyFill="1" applyBorder="1"/>
    <xf numFmtId="0" fontId="0" fillId="0" borderId="32" xfId="0" applyFill="1" applyBorder="1"/>
    <xf numFmtId="0" fontId="0" fillId="8" borderId="8" xfId="0" applyFill="1" applyBorder="1"/>
    <xf numFmtId="0" fontId="0" fillId="0" borderId="46" xfId="0" applyFill="1" applyBorder="1"/>
    <xf numFmtId="3" fontId="0" fillId="0" borderId="6" xfId="0" applyNumberFormat="1" applyBorder="1"/>
    <xf numFmtId="0" fontId="0" fillId="10" borderId="9" xfId="0" applyFill="1" applyBorder="1"/>
    <xf numFmtId="0" fontId="0" fillId="10" borderId="0" xfId="0" applyFill="1"/>
    <xf numFmtId="0" fontId="0" fillId="10" borderId="8" xfId="0" applyFill="1" applyBorder="1"/>
    <xf numFmtId="0" fontId="0" fillId="2" borderId="0" xfId="0" applyFill="1" applyBorder="1" applyAlignment="1">
      <alignment horizontal="center"/>
    </xf>
    <xf numFmtId="0" fontId="0" fillId="0" borderId="45" xfId="0" applyFill="1" applyBorder="1"/>
    <xf numFmtId="0" fontId="0" fillId="11" borderId="10" xfId="0" applyFill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27" xfId="0" applyFill="1" applyBorder="1"/>
    <xf numFmtId="0" fontId="7" fillId="0" borderId="6" xfId="0" applyFont="1" applyBorder="1"/>
    <xf numFmtId="0" fontId="0" fillId="7" borderId="16" xfId="0" applyFill="1" applyBorder="1"/>
    <xf numFmtId="0" fontId="6" fillId="12" borderId="20" xfId="0" applyFont="1" applyFill="1" applyBorder="1"/>
    <xf numFmtId="0" fontId="0" fillId="0" borderId="20" xfId="0" applyBorder="1" applyAlignment="1">
      <alignment horizontal="center"/>
    </xf>
    <xf numFmtId="0" fontId="0" fillId="8" borderId="20" xfId="0" applyFill="1" applyBorder="1"/>
    <xf numFmtId="0" fontId="0" fillId="0" borderId="34" xfId="0" applyFill="1" applyBorder="1"/>
    <xf numFmtId="0" fontId="0" fillId="7" borderId="24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9" xfId="0" applyFill="1" applyBorder="1"/>
    <xf numFmtId="0" fontId="0" fillId="10" borderId="27" xfId="0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5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1" fontId="0" fillId="10" borderId="27" xfId="0" applyNumberFormat="1" applyFill="1" applyBorder="1"/>
    <xf numFmtId="0" fontId="0" fillId="0" borderId="24" xfId="0" applyFill="1" applyBorder="1"/>
    <xf numFmtId="0" fontId="0" fillId="11" borderId="6" xfId="0" applyFill="1" applyBorder="1"/>
    <xf numFmtId="0" fontId="0" fillId="9" borderId="6" xfId="0" applyFill="1" applyBorder="1"/>
    <xf numFmtId="0" fontId="0" fillId="9" borderId="18" xfId="0" applyFill="1" applyBorder="1"/>
    <xf numFmtId="0" fontId="0" fillId="9" borderId="9" xfId="0" applyFill="1" applyBorder="1"/>
    <xf numFmtId="0" fontId="0" fillId="9" borderId="0" xfId="0" applyFill="1" applyBorder="1"/>
    <xf numFmtId="0" fontId="0" fillId="9" borderId="16" xfId="0" applyFill="1" applyBorder="1"/>
    <xf numFmtId="0" fontId="0" fillId="9" borderId="12" xfId="0" applyFill="1" applyBorder="1"/>
    <xf numFmtId="0" fontId="0" fillId="9" borderId="7" xfId="0" applyFill="1" applyBorder="1"/>
    <xf numFmtId="0" fontId="0" fillId="9" borderId="15" xfId="0" applyFill="1" applyBorder="1"/>
    <xf numFmtId="0" fontId="0" fillId="9" borderId="25" xfId="0" applyFill="1" applyBorder="1"/>
    <xf numFmtId="0" fontId="0" fillId="9" borderId="8" xfId="0" applyFill="1" applyBorder="1"/>
    <xf numFmtId="0" fontId="0" fillId="0" borderId="29" xfId="0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/>
    <xf numFmtId="0" fontId="0" fillId="11" borderId="12" xfId="0" applyFill="1" applyBorder="1"/>
    <xf numFmtId="0" fontId="0" fillId="11" borderId="5" xfId="0" applyFill="1" applyBorder="1"/>
    <xf numFmtId="0" fontId="0" fillId="11" borderId="7" xfId="0" applyFill="1" applyBorder="1"/>
    <xf numFmtId="0" fontId="1" fillId="0" borderId="11" xfId="0" applyFont="1" applyFill="1" applyBorder="1"/>
    <xf numFmtId="0" fontId="1" fillId="0" borderId="25" xfId="0" applyFont="1" applyFill="1" applyBorder="1"/>
    <xf numFmtId="0" fontId="0" fillId="0" borderId="16" xfId="0" applyFont="1" applyBorder="1"/>
    <xf numFmtId="0" fontId="1" fillId="0" borderId="10" xfId="0" applyFont="1" applyFill="1" applyBorder="1"/>
    <xf numFmtId="0" fontId="0" fillId="0" borderId="10" xfId="0" applyFont="1" applyBorder="1"/>
    <xf numFmtId="0" fontId="0" fillId="0" borderId="35" xfId="0" applyBorder="1"/>
    <xf numFmtId="0" fontId="0" fillId="0" borderId="0" xfId="0"/>
    <xf numFmtId="0" fontId="0" fillId="0" borderId="11" xfId="0" applyBorder="1"/>
    <xf numFmtId="0" fontId="0" fillId="0" borderId="44" xfId="0" applyBorder="1"/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6" xfId="0" applyFont="1" applyBorder="1"/>
    <xf numFmtId="0" fontId="0" fillId="0" borderId="15" xfId="0" applyFont="1" applyBorder="1"/>
    <xf numFmtId="1" fontId="0" fillId="0" borderId="20" xfId="0" applyNumberFormat="1" applyBorder="1"/>
    <xf numFmtId="0" fontId="0" fillId="0" borderId="47" xfId="0" applyBorder="1"/>
    <xf numFmtId="1" fontId="0" fillId="0" borderId="48" xfId="0" applyNumberFormat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1" fontId="0" fillId="0" borderId="51" xfId="0" applyNumberFormat="1" applyBorder="1"/>
    <xf numFmtId="0" fontId="0" fillId="0" borderId="52" xfId="0" applyBorder="1"/>
    <xf numFmtId="1" fontId="0" fillId="0" borderId="53" xfId="0" applyNumberFormat="1" applyBorder="1"/>
    <xf numFmtId="0" fontId="0" fillId="0" borderId="54" xfId="0" applyBorder="1"/>
    <xf numFmtId="0" fontId="4" fillId="6" borderId="27" xfId="2" applyBorder="1"/>
    <xf numFmtId="0" fontId="4" fillId="6" borderId="12" xfId="2" applyBorder="1"/>
    <xf numFmtId="0" fontId="4" fillId="6" borderId="6" xfId="2" applyBorder="1"/>
    <xf numFmtId="0" fontId="4" fillId="6" borderId="10" xfId="2" applyBorder="1"/>
    <xf numFmtId="0" fontId="4" fillId="6" borderId="18" xfId="2" applyBorder="1"/>
    <xf numFmtId="0" fontId="4" fillId="6" borderId="8" xfId="2" applyBorder="1"/>
    <xf numFmtId="0" fontId="4" fillId="6" borderId="9" xfId="2" applyBorder="1"/>
    <xf numFmtId="0" fontId="4" fillId="6" borderId="19" xfId="2" applyBorder="1"/>
    <xf numFmtId="0" fontId="4" fillId="6" borderId="7" xfId="2" applyBorder="1"/>
    <xf numFmtId="0" fontId="4" fillId="6" borderId="5" xfId="2" applyBorder="1"/>
    <xf numFmtId="0" fontId="4" fillId="6" borderId="11" xfId="2" applyBorder="1"/>
    <xf numFmtId="0" fontId="4" fillId="6" borderId="20" xfId="2" applyBorder="1"/>
    <xf numFmtId="0" fontId="4" fillId="6" borderId="0" xfId="2"/>
    <xf numFmtId="0" fontId="8" fillId="0" borderId="12" xfId="0" applyFont="1" applyBorder="1"/>
    <xf numFmtId="0" fontId="8" fillId="0" borderId="6" xfId="0" applyFont="1" applyBorder="1"/>
    <xf numFmtId="0" fontId="0" fillId="10" borderId="32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0" borderId="26" xfId="0" applyFill="1" applyBorder="1"/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C464A"/>
      <color rgb="FFFCA698"/>
      <color rgb="FFDEB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31F5-C5CC-439B-811F-B4253248546A}">
  <sheetPr>
    <pageSetUpPr fitToPage="1"/>
  </sheetPr>
  <dimension ref="A1:N195"/>
  <sheetViews>
    <sheetView topLeftCell="A139" zoomScale="84" zoomScaleNormal="84" workbookViewId="0">
      <selection activeCell="E15" sqref="E15"/>
    </sheetView>
  </sheetViews>
  <sheetFormatPr defaultRowHeight="15" x14ac:dyDescent="0.25"/>
  <cols>
    <col min="1" max="1" width="21.42578125" customWidth="1"/>
    <col min="2" max="2" width="95.140625" bestFit="1" customWidth="1"/>
    <col min="3" max="3" width="15.85546875" customWidth="1"/>
    <col min="4" max="4" width="21" customWidth="1"/>
    <col min="5" max="5" width="14.28515625" bestFit="1" customWidth="1"/>
    <col min="6" max="6" width="22.85546875" customWidth="1"/>
    <col min="7" max="7" width="19.28515625" customWidth="1"/>
    <col min="8" max="8" width="23.5703125" style="3" customWidth="1"/>
    <col min="9" max="9" width="18" customWidth="1"/>
    <col min="10" max="10" width="69" customWidth="1"/>
    <col min="11" max="11" width="43.5703125" customWidth="1"/>
  </cols>
  <sheetData>
    <row r="1" spans="1:8" ht="15.75" thickBot="1" x14ac:dyDescent="0.3">
      <c r="A1" s="23"/>
      <c r="B1" s="249" t="s">
        <v>0</v>
      </c>
      <c r="C1" s="250"/>
      <c r="D1" s="250"/>
      <c r="E1" s="251"/>
      <c r="F1" s="2"/>
    </row>
    <row r="2" spans="1:8" ht="15.75" thickBot="1" x14ac:dyDescent="0.3">
      <c r="A2" s="1"/>
      <c r="B2" s="46" t="s">
        <v>1</v>
      </c>
      <c r="C2" s="47" t="s">
        <v>12</v>
      </c>
      <c r="D2" s="48" t="s">
        <v>13</v>
      </c>
      <c r="E2" s="47" t="s">
        <v>2</v>
      </c>
      <c r="F2" s="2"/>
    </row>
    <row r="3" spans="1:8" x14ac:dyDescent="0.25">
      <c r="A3" s="1"/>
      <c r="B3" s="30" t="s">
        <v>5</v>
      </c>
      <c r="C3" s="4" t="s">
        <v>105</v>
      </c>
      <c r="D3" s="7">
        <v>6008289</v>
      </c>
      <c r="E3" s="4">
        <v>292</v>
      </c>
      <c r="F3" s="2"/>
    </row>
    <row r="4" spans="1:8" x14ac:dyDescent="0.25">
      <c r="A4" s="1"/>
      <c r="B4" s="27" t="s">
        <v>3</v>
      </c>
      <c r="C4" s="5" t="s">
        <v>104</v>
      </c>
      <c r="D4" s="8">
        <v>229561</v>
      </c>
      <c r="E4" s="5">
        <v>215</v>
      </c>
      <c r="F4" s="2"/>
    </row>
    <row r="5" spans="1:8" x14ac:dyDescent="0.25">
      <c r="A5" s="1"/>
      <c r="B5" s="27" t="s">
        <v>4</v>
      </c>
      <c r="C5" s="5" t="s">
        <v>106</v>
      </c>
      <c r="D5" s="8">
        <v>30122224</v>
      </c>
      <c r="E5" s="5">
        <v>515</v>
      </c>
      <c r="F5" s="2" t="s">
        <v>611</v>
      </c>
    </row>
    <row r="6" spans="1:8" x14ac:dyDescent="0.25">
      <c r="A6" s="1"/>
      <c r="B6" s="27" t="s">
        <v>6</v>
      </c>
      <c r="C6" s="5" t="s">
        <v>107</v>
      </c>
      <c r="D6" s="8">
        <v>781280</v>
      </c>
      <c r="E6" s="5">
        <v>174</v>
      </c>
      <c r="F6" s="2"/>
    </row>
    <row r="7" spans="1:8" x14ac:dyDescent="0.25">
      <c r="A7" s="1"/>
      <c r="B7" s="52" t="s">
        <v>7</v>
      </c>
      <c r="C7" s="5" t="s">
        <v>107</v>
      </c>
      <c r="D7" s="8">
        <v>781209</v>
      </c>
      <c r="E7" s="5">
        <v>500</v>
      </c>
      <c r="F7" s="2"/>
    </row>
    <row r="8" spans="1:8" x14ac:dyDescent="0.25">
      <c r="A8" s="1"/>
      <c r="B8" s="27" t="s">
        <v>221</v>
      </c>
      <c r="C8" s="5" t="s">
        <v>222</v>
      </c>
      <c r="D8" s="8" t="s">
        <v>223</v>
      </c>
      <c r="E8" s="5">
        <v>598</v>
      </c>
      <c r="F8" s="133"/>
    </row>
    <row r="9" spans="1:8" x14ac:dyDescent="0.25">
      <c r="A9" s="1"/>
      <c r="B9" s="27" t="s">
        <v>9</v>
      </c>
      <c r="C9" s="5" t="s">
        <v>105</v>
      </c>
      <c r="D9" s="8">
        <v>6050185</v>
      </c>
      <c r="E9" s="5">
        <v>518</v>
      </c>
      <c r="F9" s="2"/>
    </row>
    <row r="10" spans="1:8" s="189" customFormat="1" x14ac:dyDescent="0.25">
      <c r="A10" s="1"/>
      <c r="B10" s="36" t="s">
        <v>613</v>
      </c>
      <c r="C10" s="9" t="s">
        <v>612</v>
      </c>
      <c r="D10" s="190"/>
      <c r="E10" s="9">
        <v>106</v>
      </c>
      <c r="F10" s="2"/>
      <c r="H10" s="3"/>
    </row>
    <row r="11" spans="1:8" ht="15.75" thickBot="1" x14ac:dyDescent="0.3">
      <c r="A11" s="1"/>
      <c r="B11" s="36"/>
      <c r="C11" s="9"/>
      <c r="D11" s="10"/>
      <c r="E11" s="9"/>
      <c r="F11" s="2"/>
    </row>
    <row r="12" spans="1:8" ht="15.75" thickBot="1" x14ac:dyDescent="0.3">
      <c r="A12" s="23"/>
      <c r="B12" s="252" t="s">
        <v>8</v>
      </c>
      <c r="C12" s="253"/>
      <c r="D12" s="253"/>
      <c r="E12" s="254"/>
      <c r="F12" s="2"/>
    </row>
    <row r="13" spans="1:8" ht="15.75" thickBot="1" x14ac:dyDescent="0.3">
      <c r="A13" s="1"/>
      <c r="B13" s="49" t="s">
        <v>24</v>
      </c>
      <c r="C13" s="50" t="s">
        <v>12</v>
      </c>
      <c r="D13" s="96" t="s">
        <v>116</v>
      </c>
      <c r="E13" s="49" t="s">
        <v>124</v>
      </c>
      <c r="F13" s="2"/>
    </row>
    <row r="14" spans="1:8" x14ac:dyDescent="0.25">
      <c r="A14" s="2"/>
      <c r="B14" s="12" t="s">
        <v>45</v>
      </c>
      <c r="C14" s="11" t="s">
        <v>46</v>
      </c>
      <c r="D14" s="13" t="s">
        <v>47</v>
      </c>
      <c r="E14" s="5">
        <v>7.95</v>
      </c>
      <c r="F14" s="2"/>
    </row>
    <row r="15" spans="1:8" x14ac:dyDescent="0.25">
      <c r="A15" s="2"/>
      <c r="B15" s="12" t="s">
        <v>48</v>
      </c>
      <c r="C15" s="11" t="s">
        <v>49</v>
      </c>
      <c r="D15" s="12" t="s">
        <v>50</v>
      </c>
      <c r="E15" s="5">
        <v>10.8</v>
      </c>
      <c r="F15" s="133"/>
    </row>
    <row r="16" spans="1:8" x14ac:dyDescent="0.25">
      <c r="A16" s="2"/>
      <c r="B16" s="5" t="s">
        <v>108</v>
      </c>
      <c r="C16" s="8" t="s">
        <v>109</v>
      </c>
      <c r="D16" s="5" t="s">
        <v>118</v>
      </c>
      <c r="E16" s="5">
        <v>325</v>
      </c>
      <c r="F16" s="2"/>
    </row>
    <row r="17" spans="1:11" x14ac:dyDescent="0.25">
      <c r="A17" s="2"/>
      <c r="B17" s="12" t="s">
        <v>117</v>
      </c>
      <c r="C17" s="8" t="s">
        <v>109</v>
      </c>
      <c r="D17" s="5" t="s">
        <v>119</v>
      </c>
      <c r="E17" s="5">
        <v>560</v>
      </c>
      <c r="F17" s="2"/>
    </row>
    <row r="18" spans="1:11" ht="15.75" thickBot="1" x14ac:dyDescent="0.3">
      <c r="A18" s="2"/>
      <c r="B18" s="5" t="s">
        <v>10</v>
      </c>
      <c r="C18" s="8" t="s">
        <v>105</v>
      </c>
      <c r="D18" s="5" t="s">
        <v>120</v>
      </c>
      <c r="E18" s="5">
        <v>1200</v>
      </c>
      <c r="F18" s="2"/>
    </row>
    <row r="19" spans="1:11" x14ac:dyDescent="0.25">
      <c r="A19" s="2"/>
      <c r="B19" s="9" t="s">
        <v>122</v>
      </c>
      <c r="C19" s="11" t="s">
        <v>33</v>
      </c>
      <c r="D19" s="12">
        <v>6760002</v>
      </c>
      <c r="E19" s="38">
        <f>(E32+E35+E56+E71+E84+E93+E113)/1000</f>
        <v>6.9779999999999998</v>
      </c>
      <c r="F19" s="255" t="s">
        <v>125</v>
      </c>
    </row>
    <row r="20" spans="1:11" x14ac:dyDescent="0.25">
      <c r="A20" s="2"/>
      <c r="B20" s="94" t="s">
        <v>123</v>
      </c>
      <c r="C20" s="22" t="s">
        <v>33</v>
      </c>
      <c r="D20" s="20" t="s">
        <v>44</v>
      </c>
      <c r="E20" s="38">
        <f>(E114+E65)/1000</f>
        <v>9.9390000000000001</v>
      </c>
      <c r="F20" s="256"/>
    </row>
    <row r="21" spans="1:11" x14ac:dyDescent="0.25">
      <c r="A21" s="2"/>
      <c r="B21" s="12" t="s">
        <v>85</v>
      </c>
      <c r="C21" s="11" t="s">
        <v>33</v>
      </c>
      <c r="D21" s="12" t="s">
        <v>218</v>
      </c>
      <c r="E21" s="38">
        <f>E33/1000</f>
        <v>10</v>
      </c>
      <c r="F21" s="256"/>
    </row>
    <row r="22" spans="1:11" x14ac:dyDescent="0.25">
      <c r="A22" s="2"/>
      <c r="B22" s="12" t="s">
        <v>80</v>
      </c>
      <c r="C22" s="11" t="s">
        <v>33</v>
      </c>
      <c r="D22" s="12" t="s">
        <v>81</v>
      </c>
      <c r="E22" s="38">
        <f>(E36+E57+E75)/1000</f>
        <v>11.064</v>
      </c>
      <c r="F22" s="256"/>
    </row>
    <row r="23" spans="1:11" x14ac:dyDescent="0.25">
      <c r="A23" s="2"/>
      <c r="B23" s="12" t="s">
        <v>61</v>
      </c>
      <c r="C23" s="11" t="s">
        <v>33</v>
      </c>
      <c r="D23" s="12" t="s">
        <v>62</v>
      </c>
      <c r="E23" s="38">
        <f>(E80+E64)/1000</f>
        <v>4.6890000000000001</v>
      </c>
      <c r="F23" s="256"/>
    </row>
    <row r="24" spans="1:11" x14ac:dyDescent="0.25">
      <c r="A24" s="2"/>
      <c r="B24" s="12" t="s">
        <v>63</v>
      </c>
      <c r="C24" s="11" t="s">
        <v>33</v>
      </c>
      <c r="D24" s="12" t="s">
        <v>64</v>
      </c>
      <c r="E24" s="38">
        <f>(E81+E90)/1000</f>
        <v>0</v>
      </c>
      <c r="F24" s="256"/>
    </row>
    <row r="25" spans="1:11" x14ac:dyDescent="0.25">
      <c r="A25" s="2"/>
      <c r="B25" s="20" t="s">
        <v>57</v>
      </c>
      <c r="C25" s="22" t="s">
        <v>33</v>
      </c>
      <c r="D25" s="20" t="s">
        <v>35</v>
      </c>
      <c r="E25" s="38">
        <f>(E76+E85+E110)/1000</f>
        <v>9.3000000000000007</v>
      </c>
      <c r="F25" s="256"/>
    </row>
    <row r="26" spans="1:11" ht="15.75" thickBot="1" x14ac:dyDescent="0.3">
      <c r="A26" s="2"/>
      <c r="B26" s="94" t="s">
        <v>31</v>
      </c>
      <c r="C26" s="11" t="s">
        <v>33</v>
      </c>
      <c r="D26" s="12" t="s">
        <v>34</v>
      </c>
      <c r="E26" s="38">
        <f>(E109+E40)/1000</f>
        <v>11.367000000000001</v>
      </c>
      <c r="F26" s="257"/>
    </row>
    <row r="27" spans="1:11" x14ac:dyDescent="0.25">
      <c r="A27" s="2"/>
      <c r="B27" s="20" t="s">
        <v>163</v>
      </c>
      <c r="C27" s="69" t="s">
        <v>33</v>
      </c>
      <c r="D27" s="70" t="s">
        <v>687</v>
      </c>
      <c r="E27" s="38">
        <f>E94</f>
        <v>0</v>
      </c>
      <c r="F27" s="76"/>
    </row>
    <row r="28" spans="1:11" ht="15.75" thickBot="1" x14ac:dyDescent="0.3">
      <c r="A28" s="2"/>
      <c r="B28" s="95"/>
      <c r="C28" s="10"/>
      <c r="D28" s="6"/>
      <c r="E28" s="38"/>
      <c r="F28" s="2"/>
    </row>
    <row r="29" spans="1:11" ht="15.75" thickBot="1" x14ac:dyDescent="0.3">
      <c r="A29" s="246" t="s">
        <v>11</v>
      </c>
      <c r="B29" s="247"/>
      <c r="C29" s="247"/>
      <c r="D29" s="247"/>
      <c r="E29" s="247"/>
      <c r="F29" s="247"/>
      <c r="G29" s="246" t="s">
        <v>175</v>
      </c>
      <c r="H29" s="247"/>
      <c r="I29" s="248"/>
    </row>
    <row r="30" spans="1:11" ht="15.75" thickBot="1" x14ac:dyDescent="0.3">
      <c r="A30" s="39" t="s">
        <v>14</v>
      </c>
      <c r="B30" s="40" t="s">
        <v>24</v>
      </c>
      <c r="C30" s="40" t="s">
        <v>12</v>
      </c>
      <c r="D30" s="40" t="s">
        <v>99</v>
      </c>
      <c r="E30" s="41" t="s">
        <v>121</v>
      </c>
      <c r="F30" s="42" t="s">
        <v>112</v>
      </c>
      <c r="G30" s="43" t="s">
        <v>115</v>
      </c>
      <c r="H30" s="44" t="s">
        <v>114</v>
      </c>
      <c r="I30" s="45" t="s">
        <v>113</v>
      </c>
      <c r="J30" s="138" t="s">
        <v>479</v>
      </c>
      <c r="K30" s="138" t="s">
        <v>480</v>
      </c>
    </row>
    <row r="31" spans="1:11" x14ac:dyDescent="0.25">
      <c r="A31" s="230" t="s">
        <v>15</v>
      </c>
      <c r="B31" s="13" t="s">
        <v>82</v>
      </c>
      <c r="C31" s="13" t="s">
        <v>83</v>
      </c>
      <c r="D31" s="13" t="s">
        <v>703</v>
      </c>
      <c r="E31" s="25">
        <v>0</v>
      </c>
      <c r="F31" s="25"/>
      <c r="G31" s="17"/>
      <c r="H31" s="31"/>
      <c r="I31" s="17"/>
    </row>
    <row r="32" spans="1:11" x14ac:dyDescent="0.25">
      <c r="A32" s="231"/>
      <c r="B32" s="12" t="s">
        <v>79</v>
      </c>
      <c r="C32" s="12" t="s">
        <v>33</v>
      </c>
      <c r="D32" s="12">
        <v>6760002</v>
      </c>
      <c r="E32" s="26">
        <v>0</v>
      </c>
      <c r="F32" s="27"/>
      <c r="G32" s="5">
        <v>0</v>
      </c>
      <c r="H32" s="32">
        <f>G32-5291</f>
        <v>-5291</v>
      </c>
      <c r="I32" s="24">
        <f>H32*0.97</f>
        <v>-5132.2699999999995</v>
      </c>
    </row>
    <row r="33" spans="1:14" x14ac:dyDescent="0.25">
      <c r="A33" s="231"/>
      <c r="B33" s="12" t="s">
        <v>85</v>
      </c>
      <c r="C33" s="12" t="s">
        <v>33</v>
      </c>
      <c r="D33" s="12" t="s">
        <v>218</v>
      </c>
      <c r="E33" s="27">
        <v>10000</v>
      </c>
      <c r="F33" s="27"/>
      <c r="G33" s="5">
        <v>26308</v>
      </c>
      <c r="H33" s="32">
        <f>G33-(3*5291)</f>
        <v>10435</v>
      </c>
      <c r="I33" s="24">
        <v>10000</v>
      </c>
    </row>
    <row r="34" spans="1:14" ht="15.75" thickBot="1" x14ac:dyDescent="0.3">
      <c r="A34" s="232"/>
      <c r="B34" s="14" t="s">
        <v>88</v>
      </c>
      <c r="C34" s="14"/>
      <c r="D34" s="14"/>
      <c r="E34" s="28"/>
      <c r="F34" s="28"/>
      <c r="G34" s="6"/>
      <c r="H34" s="33"/>
      <c r="I34" s="6"/>
    </row>
    <row r="35" spans="1:14" x14ac:dyDescent="0.25">
      <c r="A35" s="230" t="s">
        <v>18</v>
      </c>
      <c r="B35" s="13" t="s">
        <v>102</v>
      </c>
      <c r="C35" s="13" t="s">
        <v>33</v>
      </c>
      <c r="D35" s="15">
        <v>6760002</v>
      </c>
      <c r="E35" s="25">
        <v>0</v>
      </c>
      <c r="F35" s="30"/>
      <c r="G35" s="4">
        <v>10404</v>
      </c>
      <c r="H35" s="34">
        <f t="shared" ref="H35:H114" si="0">G35-5291</f>
        <v>5113</v>
      </c>
      <c r="I35" s="35">
        <f>H35*0.97</f>
        <v>4959.6099999999997</v>
      </c>
    </row>
    <row r="36" spans="1:14" x14ac:dyDescent="0.25">
      <c r="A36" s="231"/>
      <c r="B36" s="12" t="s">
        <v>80</v>
      </c>
      <c r="C36" s="94" t="s">
        <v>33</v>
      </c>
      <c r="D36" s="74" t="s">
        <v>81</v>
      </c>
      <c r="E36" s="27">
        <v>0</v>
      </c>
      <c r="F36" s="27"/>
      <c r="G36" s="5">
        <v>0</v>
      </c>
      <c r="H36" s="32">
        <f t="shared" si="0"/>
        <v>-5291</v>
      </c>
      <c r="I36" s="24">
        <f t="shared" ref="I36:I110" si="1">H36*0.97</f>
        <v>-5132.2699999999995</v>
      </c>
    </row>
    <row r="37" spans="1:14" x14ac:dyDescent="0.25">
      <c r="A37" s="231"/>
      <c r="B37" s="5" t="s">
        <v>87</v>
      </c>
      <c r="C37" s="5" t="s">
        <v>192</v>
      </c>
      <c r="D37" s="5" t="s">
        <v>193</v>
      </c>
      <c r="E37" s="27" t="s">
        <v>422</v>
      </c>
      <c r="F37" s="27"/>
      <c r="G37" s="5"/>
      <c r="H37" s="32"/>
      <c r="I37" s="5"/>
    </row>
    <row r="38" spans="1:14" x14ac:dyDescent="0.25">
      <c r="A38" s="231"/>
      <c r="B38" s="5" t="s">
        <v>419</v>
      </c>
      <c r="C38" s="5" t="s">
        <v>192</v>
      </c>
      <c r="D38" s="8" t="s">
        <v>420</v>
      </c>
      <c r="E38" s="27">
        <v>200</v>
      </c>
      <c r="F38" s="27"/>
      <c r="G38" s="5"/>
      <c r="H38" s="32"/>
      <c r="I38" s="5"/>
    </row>
    <row r="39" spans="1:14" ht="15.75" thickBot="1" x14ac:dyDescent="0.3">
      <c r="A39" s="232"/>
      <c r="B39" s="6" t="s">
        <v>89</v>
      </c>
      <c r="C39" s="6"/>
      <c r="D39" s="16" t="s">
        <v>18</v>
      </c>
      <c r="E39" s="28">
        <v>75</v>
      </c>
      <c r="F39" s="36"/>
      <c r="G39" s="9"/>
      <c r="H39" s="37"/>
      <c r="I39" s="9"/>
    </row>
    <row r="40" spans="1:14" x14ac:dyDescent="0.25">
      <c r="A40" s="239" t="s">
        <v>269</v>
      </c>
      <c r="B40" s="101" t="s">
        <v>248</v>
      </c>
      <c r="C40" s="18" t="s">
        <v>33</v>
      </c>
      <c r="D40" s="17" t="s">
        <v>34</v>
      </c>
      <c r="E40" s="141">
        <v>5558</v>
      </c>
      <c r="F40" s="25"/>
      <c r="G40" s="17">
        <v>15121</v>
      </c>
      <c r="H40" s="31">
        <f>G40-2*(5291)</f>
        <v>4539</v>
      </c>
      <c r="I40" s="55">
        <f>H40*0.97</f>
        <v>4402.83</v>
      </c>
      <c r="K40" t="s">
        <v>533</v>
      </c>
    </row>
    <row r="41" spans="1:14" x14ac:dyDescent="0.25">
      <c r="A41" s="240"/>
      <c r="B41" s="123" t="s">
        <v>57</v>
      </c>
      <c r="C41" s="8" t="s">
        <v>33</v>
      </c>
      <c r="D41" s="5" t="s">
        <v>35</v>
      </c>
      <c r="E41" s="142">
        <v>4400</v>
      </c>
      <c r="F41" s="27"/>
      <c r="G41" s="5">
        <v>7510</v>
      </c>
      <c r="H41" s="32">
        <f>G41-5192</f>
        <v>2318</v>
      </c>
      <c r="I41" s="35">
        <f>H41*0.97</f>
        <v>2248.46</v>
      </c>
      <c r="K41" t="s">
        <v>533</v>
      </c>
      <c r="N41" s="2"/>
    </row>
    <row r="42" spans="1:14" x14ac:dyDescent="0.25">
      <c r="A42" s="240"/>
      <c r="B42" s="5" t="s">
        <v>250</v>
      </c>
      <c r="C42" s="8" t="s">
        <v>72</v>
      </c>
      <c r="D42" s="5" t="s">
        <v>566</v>
      </c>
      <c r="E42" s="27">
        <v>5</v>
      </c>
      <c r="F42" s="237" t="s">
        <v>257</v>
      </c>
      <c r="G42" s="5"/>
      <c r="H42" s="32"/>
      <c r="I42" s="5"/>
      <c r="K42" t="s">
        <v>533</v>
      </c>
      <c r="N42" s="2"/>
    </row>
    <row r="43" spans="1:14" x14ac:dyDescent="0.25">
      <c r="A43" s="240"/>
      <c r="B43" s="5" t="s">
        <v>308</v>
      </c>
      <c r="C43" s="8" t="s">
        <v>252</v>
      </c>
      <c r="D43" s="5" t="s">
        <v>253</v>
      </c>
      <c r="E43" s="27">
        <v>0</v>
      </c>
      <c r="F43" s="245"/>
      <c r="G43" s="5"/>
      <c r="H43" s="32"/>
      <c r="I43" s="5"/>
      <c r="K43" t="s">
        <v>533</v>
      </c>
      <c r="N43" s="2"/>
    </row>
    <row r="44" spans="1:14" x14ac:dyDescent="0.25">
      <c r="A44" s="240"/>
      <c r="B44" s="5" t="s">
        <v>307</v>
      </c>
      <c r="C44" s="8" t="s">
        <v>252</v>
      </c>
      <c r="D44" s="5" t="s">
        <v>253</v>
      </c>
      <c r="E44" s="27">
        <v>99</v>
      </c>
      <c r="F44" s="238"/>
      <c r="G44" s="5"/>
      <c r="H44" s="32"/>
      <c r="I44" s="5"/>
      <c r="K44" t="s">
        <v>533</v>
      </c>
      <c r="N44" s="2"/>
    </row>
    <row r="45" spans="1:14" x14ac:dyDescent="0.25">
      <c r="A45" s="240"/>
      <c r="B45" s="5" t="s">
        <v>254</v>
      </c>
      <c r="C45" s="8" t="s">
        <v>72</v>
      </c>
      <c r="D45" s="5" t="s">
        <v>567</v>
      </c>
      <c r="E45" s="27">
        <v>50</v>
      </c>
      <c r="F45" s="237" t="s">
        <v>258</v>
      </c>
      <c r="G45" s="5"/>
      <c r="H45" s="32"/>
      <c r="I45" s="5"/>
      <c r="K45" t="s">
        <v>533</v>
      </c>
      <c r="N45" s="2"/>
    </row>
    <row r="46" spans="1:14" x14ac:dyDescent="0.25">
      <c r="A46" s="240"/>
      <c r="B46" s="5" t="s">
        <v>255</v>
      </c>
      <c r="C46" s="8" t="s">
        <v>252</v>
      </c>
      <c r="D46" s="5" t="s">
        <v>256</v>
      </c>
      <c r="E46" s="27">
        <v>64</v>
      </c>
      <c r="F46" s="238"/>
      <c r="G46" s="5"/>
      <c r="H46" s="32"/>
      <c r="I46" s="5"/>
      <c r="K46" t="s">
        <v>533</v>
      </c>
    </row>
    <row r="47" spans="1:14" x14ac:dyDescent="0.25">
      <c r="A47" s="240"/>
      <c r="B47" s="9" t="s">
        <v>259</v>
      </c>
      <c r="C47" s="10"/>
      <c r="D47" s="9"/>
      <c r="E47" s="36"/>
      <c r="F47" s="126"/>
      <c r="G47" s="9"/>
      <c r="H47" s="37"/>
      <c r="I47" s="9"/>
    </row>
    <row r="48" spans="1:14" ht="15.75" thickBot="1" x14ac:dyDescent="0.3">
      <c r="A48" s="240"/>
      <c r="B48" s="6" t="s">
        <v>490</v>
      </c>
      <c r="C48" s="10"/>
      <c r="D48" s="9"/>
      <c r="E48" s="36">
        <v>80</v>
      </c>
      <c r="F48" s="177"/>
      <c r="G48" s="9"/>
      <c r="H48" s="37"/>
      <c r="I48" s="9"/>
    </row>
    <row r="49" spans="1:14" x14ac:dyDescent="0.25">
      <c r="A49" s="239" t="s">
        <v>270</v>
      </c>
      <c r="B49" s="139" t="s">
        <v>271</v>
      </c>
      <c r="C49" s="17" t="s">
        <v>72</v>
      </c>
      <c r="D49" s="117" t="s">
        <v>272</v>
      </c>
      <c r="E49" s="114">
        <v>150</v>
      </c>
      <c r="F49" s="112"/>
      <c r="G49" s="121"/>
      <c r="H49" s="116"/>
      <c r="I49" s="115"/>
    </row>
    <row r="50" spans="1:14" x14ac:dyDescent="0.25">
      <c r="A50" s="240"/>
      <c r="B50" s="120" t="s">
        <v>79</v>
      </c>
      <c r="C50" s="5" t="s">
        <v>33</v>
      </c>
      <c r="D50" s="103">
        <v>6760002</v>
      </c>
      <c r="E50" s="36" t="s">
        <v>422</v>
      </c>
      <c r="F50" s="113"/>
      <c r="G50" s="105"/>
      <c r="H50" s="37"/>
      <c r="I50" s="9"/>
    </row>
    <row r="51" spans="1:14" x14ac:dyDescent="0.25">
      <c r="A51" s="240"/>
      <c r="B51" s="120" t="s">
        <v>273</v>
      </c>
      <c r="C51" s="5" t="s">
        <v>33</v>
      </c>
      <c r="D51" s="118" t="s">
        <v>44</v>
      </c>
      <c r="E51" s="36" t="s">
        <v>422</v>
      </c>
      <c r="F51" s="113"/>
      <c r="G51" s="105"/>
      <c r="H51" s="37"/>
      <c r="I51" s="9"/>
    </row>
    <row r="52" spans="1:14" ht="15.75" thickBot="1" x14ac:dyDescent="0.3">
      <c r="A52" s="241"/>
      <c r="B52" s="28" t="s">
        <v>260</v>
      </c>
      <c r="C52" s="6"/>
      <c r="D52" s="83"/>
      <c r="E52" s="28">
        <v>380</v>
      </c>
      <c r="F52" s="6"/>
      <c r="G52" s="83"/>
      <c r="H52" s="33"/>
      <c r="I52" s="6"/>
    </row>
    <row r="53" spans="1:14" x14ac:dyDescent="0.25">
      <c r="A53" s="233" t="s">
        <v>135</v>
      </c>
      <c r="B53" s="130" t="s">
        <v>515</v>
      </c>
      <c r="C53" s="131" t="s">
        <v>75</v>
      </c>
      <c r="D53" s="13"/>
      <c r="E53" s="25">
        <v>10</v>
      </c>
      <c r="F53" s="30"/>
      <c r="G53" s="17"/>
      <c r="H53" s="34"/>
      <c r="I53" s="17"/>
    </row>
    <row r="54" spans="1:14" x14ac:dyDescent="0.25">
      <c r="A54" s="234"/>
      <c r="B54" s="123" t="s">
        <v>514</v>
      </c>
      <c r="C54" s="12" t="s">
        <v>75</v>
      </c>
      <c r="D54" s="78"/>
      <c r="E54" s="30">
        <v>30</v>
      </c>
      <c r="F54" s="30"/>
      <c r="G54" s="4"/>
      <c r="H54" s="34"/>
      <c r="I54" s="4"/>
    </row>
    <row r="55" spans="1:14" x14ac:dyDescent="0.25">
      <c r="A55" s="235"/>
      <c r="B55" s="12" t="s">
        <v>76</v>
      </c>
      <c r="C55" s="11" t="s">
        <v>77</v>
      </c>
      <c r="D55" s="12" t="s">
        <v>78</v>
      </c>
      <c r="E55" s="27">
        <v>100</v>
      </c>
      <c r="F55" s="27"/>
      <c r="G55" s="5"/>
      <c r="H55" s="32"/>
      <c r="I55" s="5"/>
    </row>
    <row r="56" spans="1:14" x14ac:dyDescent="0.25">
      <c r="A56" s="235"/>
      <c r="B56" s="12" t="s">
        <v>79</v>
      </c>
      <c r="C56" s="11" t="s">
        <v>33</v>
      </c>
      <c r="D56" s="12">
        <v>6760002</v>
      </c>
      <c r="E56" s="27">
        <v>3393</v>
      </c>
      <c r="F56" s="27"/>
      <c r="G56" s="5">
        <v>9408</v>
      </c>
      <c r="H56" s="32">
        <f>G56-(5291)</f>
        <v>4117</v>
      </c>
      <c r="I56" s="24">
        <f t="shared" si="1"/>
        <v>3993.49</v>
      </c>
    </row>
    <row r="57" spans="1:14" x14ac:dyDescent="0.25">
      <c r="A57" s="235"/>
      <c r="B57" s="12" t="s">
        <v>80</v>
      </c>
      <c r="C57" s="11" t="s">
        <v>33</v>
      </c>
      <c r="D57" s="12" t="s">
        <v>81</v>
      </c>
      <c r="E57" s="27">
        <v>9362</v>
      </c>
      <c r="F57" s="27"/>
      <c r="G57" s="5">
        <v>10407</v>
      </c>
      <c r="H57" s="32">
        <f>G57-5291</f>
        <v>5116</v>
      </c>
      <c r="I57" s="24">
        <f t="shared" si="1"/>
        <v>4962.5199999999995</v>
      </c>
      <c r="J57" s="3"/>
    </row>
    <row r="58" spans="1:14" ht="15.75" thickBot="1" x14ac:dyDescent="0.3">
      <c r="A58" s="236"/>
      <c r="B58" s="14" t="s">
        <v>90</v>
      </c>
      <c r="C58" s="19"/>
      <c r="D58" s="14" t="s">
        <v>98</v>
      </c>
      <c r="E58" s="28">
        <v>1100</v>
      </c>
      <c r="F58" s="36"/>
      <c r="G58" s="6"/>
      <c r="H58" s="37"/>
      <c r="I58" s="6"/>
      <c r="K58" s="1"/>
      <c r="L58" s="1"/>
      <c r="M58" s="1"/>
      <c r="N58" s="1"/>
    </row>
    <row r="59" spans="1:14" x14ac:dyDescent="0.25">
      <c r="A59" s="233" t="s">
        <v>19</v>
      </c>
      <c r="B59" s="98" t="s">
        <v>126</v>
      </c>
      <c r="C59" s="17" t="s">
        <v>55</v>
      </c>
      <c r="D59" s="99">
        <v>844886</v>
      </c>
      <c r="E59" s="25">
        <v>40</v>
      </c>
      <c r="F59" s="25"/>
      <c r="G59" s="17"/>
      <c r="H59" s="31"/>
      <c r="I59" s="17"/>
      <c r="K59" t="s">
        <v>551</v>
      </c>
      <c r="L59" s="1"/>
      <c r="M59" s="1"/>
      <c r="N59" s="1"/>
    </row>
    <row r="60" spans="1:14" x14ac:dyDescent="0.25">
      <c r="A60" s="234"/>
      <c r="B60" s="97" t="s">
        <v>127</v>
      </c>
      <c r="C60" s="5" t="s">
        <v>55</v>
      </c>
      <c r="D60" s="100">
        <v>844887</v>
      </c>
      <c r="E60" s="30">
        <v>151</v>
      </c>
      <c r="F60" s="30"/>
      <c r="G60" s="4"/>
      <c r="H60" s="34"/>
      <c r="I60" s="4"/>
      <c r="K60" t="s">
        <v>551</v>
      </c>
      <c r="L60" s="1"/>
      <c r="M60" s="1"/>
      <c r="N60" s="1"/>
    </row>
    <row r="61" spans="1:14" x14ac:dyDescent="0.25">
      <c r="A61" s="235"/>
      <c r="B61" s="97" t="s">
        <v>176</v>
      </c>
      <c r="C61" s="5" t="s">
        <v>177</v>
      </c>
      <c r="D61" s="100" t="s">
        <v>178</v>
      </c>
      <c r="E61" s="27">
        <v>6046</v>
      </c>
      <c r="F61" s="27"/>
      <c r="G61" s="5"/>
      <c r="H61" s="32"/>
      <c r="I61" s="5"/>
      <c r="J61" t="s">
        <v>552</v>
      </c>
      <c r="K61" s="1"/>
      <c r="L61" s="1"/>
      <c r="M61" s="1"/>
      <c r="N61" s="1"/>
    </row>
    <row r="62" spans="1:14" x14ac:dyDescent="0.25">
      <c r="A62" s="235"/>
      <c r="B62" s="12" t="s">
        <v>227</v>
      </c>
      <c r="C62" s="5" t="s">
        <v>228</v>
      </c>
      <c r="D62" s="8" t="s">
        <v>229</v>
      </c>
      <c r="E62" s="27" t="s">
        <v>422</v>
      </c>
      <c r="F62" s="27"/>
      <c r="G62" s="5"/>
      <c r="H62" s="32"/>
      <c r="I62" s="5"/>
      <c r="K62" s="1"/>
      <c r="L62" s="1"/>
      <c r="M62" s="1"/>
      <c r="N62" s="1"/>
    </row>
    <row r="63" spans="1:14" x14ac:dyDescent="0.25">
      <c r="A63" s="235"/>
      <c r="B63" s="12" t="s">
        <v>232</v>
      </c>
      <c r="C63" s="5" t="s">
        <v>231</v>
      </c>
      <c r="D63" s="8" t="s">
        <v>230</v>
      </c>
      <c r="E63" s="27" t="s">
        <v>422</v>
      </c>
      <c r="F63" s="27"/>
      <c r="G63" s="5"/>
      <c r="H63" s="32"/>
      <c r="I63" s="5"/>
      <c r="K63" s="1"/>
      <c r="L63" s="1"/>
      <c r="M63" s="1"/>
      <c r="N63" s="1"/>
    </row>
    <row r="64" spans="1:14" x14ac:dyDescent="0.25">
      <c r="A64" s="235"/>
      <c r="B64" s="12" t="s">
        <v>61</v>
      </c>
      <c r="C64" s="12" t="s">
        <v>33</v>
      </c>
      <c r="D64" s="11" t="s">
        <v>62</v>
      </c>
      <c r="E64" s="5">
        <v>4689</v>
      </c>
      <c r="F64" s="27"/>
      <c r="G64" s="5">
        <f>5286+9845+10368</f>
        <v>25499</v>
      </c>
      <c r="H64" s="32">
        <f>G64-3*5291</f>
        <v>9626</v>
      </c>
      <c r="I64" s="24">
        <f>H64*0.97</f>
        <v>9337.2199999999993</v>
      </c>
      <c r="K64" s="1" t="s">
        <v>550</v>
      </c>
      <c r="L64" s="1"/>
      <c r="M64" s="1"/>
      <c r="N64" s="1"/>
    </row>
    <row r="65" spans="1:14" x14ac:dyDescent="0.25">
      <c r="A65" s="235"/>
      <c r="B65" s="20" t="s">
        <v>43</v>
      </c>
      <c r="C65" s="20" t="s">
        <v>33</v>
      </c>
      <c r="D65" s="82" t="s">
        <v>44</v>
      </c>
      <c r="E65" s="27">
        <v>5307</v>
      </c>
      <c r="F65" s="27"/>
      <c r="G65" s="5">
        <v>16151</v>
      </c>
      <c r="H65" s="32">
        <f>G65-2*5291</f>
        <v>5569</v>
      </c>
      <c r="I65" s="5">
        <f>H65*0.97</f>
        <v>5401.93</v>
      </c>
      <c r="K65" s="1" t="s">
        <v>550</v>
      </c>
      <c r="L65" s="1"/>
      <c r="M65" s="1"/>
      <c r="N65" s="1"/>
    </row>
    <row r="66" spans="1:14" ht="15.75" thickBot="1" x14ac:dyDescent="0.3">
      <c r="A66" s="236"/>
      <c r="B66" s="6" t="s">
        <v>233</v>
      </c>
      <c r="C66" s="6"/>
      <c r="D66" s="83"/>
      <c r="E66" s="28">
        <v>400</v>
      </c>
      <c r="F66" s="28"/>
      <c r="G66" s="6"/>
      <c r="H66" s="33"/>
      <c r="I66" s="6"/>
      <c r="J66" t="s">
        <v>553</v>
      </c>
      <c r="K66" t="s">
        <v>553</v>
      </c>
    </row>
    <row r="67" spans="1:14" x14ac:dyDescent="0.25">
      <c r="A67" s="242" t="s">
        <v>20</v>
      </c>
      <c r="B67" s="13" t="s">
        <v>164</v>
      </c>
      <c r="C67" s="8" t="s">
        <v>165</v>
      </c>
      <c r="D67" s="17" t="s">
        <v>166</v>
      </c>
      <c r="E67" s="137">
        <f>E73</f>
        <v>750</v>
      </c>
      <c r="F67" s="227" t="s">
        <v>172</v>
      </c>
      <c r="G67" s="17"/>
      <c r="H67" s="34"/>
      <c r="I67" s="17"/>
      <c r="J67" s="136" t="s">
        <v>686</v>
      </c>
    </row>
    <row r="68" spans="1:14" x14ac:dyDescent="0.25">
      <c r="A68" s="243"/>
      <c r="B68" s="84" t="s">
        <v>42</v>
      </c>
      <c r="C68" s="69" t="s">
        <v>33</v>
      </c>
      <c r="D68" s="68">
        <v>6760002</v>
      </c>
      <c r="E68" s="135">
        <f>E71</f>
        <v>1424</v>
      </c>
      <c r="F68" s="228"/>
      <c r="G68" s="5"/>
      <c r="H68" s="32"/>
      <c r="I68" s="5"/>
      <c r="J68" s="136" t="s">
        <v>685</v>
      </c>
    </row>
    <row r="69" spans="1:14" ht="15.75" thickBot="1" x14ac:dyDescent="0.3">
      <c r="A69" s="243"/>
      <c r="B69" s="12" t="s">
        <v>169</v>
      </c>
      <c r="C69" s="8" t="s">
        <v>33</v>
      </c>
      <c r="D69" s="5" t="s">
        <v>81</v>
      </c>
      <c r="E69" s="135">
        <f>E72</f>
        <v>1702</v>
      </c>
      <c r="F69" s="229"/>
      <c r="G69" s="5"/>
      <c r="H69" s="32"/>
      <c r="I69" s="5"/>
      <c r="J69" s="136" t="s">
        <v>684</v>
      </c>
    </row>
    <row r="70" spans="1:14" x14ac:dyDescent="0.25">
      <c r="A70" s="243"/>
      <c r="B70" s="12" t="s">
        <v>170</v>
      </c>
      <c r="C70" s="8" t="s">
        <v>165</v>
      </c>
      <c r="D70" s="5" t="s">
        <v>171</v>
      </c>
      <c r="E70" s="8">
        <v>550</v>
      </c>
      <c r="F70" s="227" t="s">
        <v>173</v>
      </c>
      <c r="G70" s="5"/>
      <c r="H70" s="32"/>
      <c r="I70" s="5"/>
    </row>
    <row r="71" spans="1:14" x14ac:dyDescent="0.25">
      <c r="A71" s="243"/>
      <c r="B71" s="78" t="s">
        <v>79</v>
      </c>
      <c r="C71" s="79" t="s">
        <v>33</v>
      </c>
      <c r="D71" s="78">
        <v>6760002</v>
      </c>
      <c r="E71" s="7">
        <v>1424</v>
      </c>
      <c r="F71" s="228"/>
      <c r="G71" s="4">
        <v>13295</v>
      </c>
      <c r="H71" s="34">
        <f>G71-2*5291</f>
        <v>2713</v>
      </c>
      <c r="I71" s="35">
        <f t="shared" si="1"/>
        <v>2631.61</v>
      </c>
    </row>
    <row r="72" spans="1:14" ht="15.75" thickBot="1" x14ac:dyDescent="0.3">
      <c r="A72" s="243"/>
      <c r="B72" s="12" t="s">
        <v>169</v>
      </c>
      <c r="C72" s="8" t="s">
        <v>33</v>
      </c>
      <c r="D72" s="5" t="s">
        <v>81</v>
      </c>
      <c r="E72" s="79">
        <f>E75</f>
        <v>1702</v>
      </c>
      <c r="F72" s="229"/>
      <c r="G72" s="5">
        <f>9850+8500</f>
        <v>18350</v>
      </c>
      <c r="H72" s="34">
        <f>G72-2*5291</f>
        <v>7768</v>
      </c>
      <c r="I72" s="35">
        <f>H72*0.97</f>
        <v>7534.96</v>
      </c>
      <c r="J72" s="124"/>
    </row>
    <row r="73" spans="1:14" x14ac:dyDescent="0.25">
      <c r="A73" s="243"/>
      <c r="B73" s="12" t="s">
        <v>164</v>
      </c>
      <c r="C73" s="8" t="s">
        <v>165</v>
      </c>
      <c r="D73" s="5" t="s">
        <v>166</v>
      </c>
      <c r="E73" s="132">
        <v>750</v>
      </c>
      <c r="F73" s="227" t="s">
        <v>174</v>
      </c>
      <c r="G73" s="4"/>
      <c r="H73" s="34"/>
      <c r="I73" s="35"/>
    </row>
    <row r="74" spans="1:14" x14ac:dyDescent="0.25">
      <c r="A74" s="243"/>
      <c r="B74" s="12" t="s">
        <v>167</v>
      </c>
      <c r="C74" s="8" t="s">
        <v>165</v>
      </c>
      <c r="D74" s="5" t="s">
        <v>168</v>
      </c>
      <c r="E74" s="7">
        <v>200</v>
      </c>
      <c r="F74" s="228"/>
      <c r="G74" s="4"/>
      <c r="H74" s="34"/>
      <c r="I74" s="35"/>
    </row>
    <row r="75" spans="1:14" x14ac:dyDescent="0.25">
      <c r="A75" s="243"/>
      <c r="B75" s="12" t="s">
        <v>80</v>
      </c>
      <c r="C75" s="11" t="s">
        <v>33</v>
      </c>
      <c r="D75" s="5" t="s">
        <v>81</v>
      </c>
      <c r="E75" s="8">
        <v>1702</v>
      </c>
      <c r="F75" s="228"/>
      <c r="G75" s="5">
        <f>9850+6660</f>
        <v>16510</v>
      </c>
      <c r="H75" s="34">
        <f>G75-2*5291</f>
        <v>5928</v>
      </c>
      <c r="I75" s="24">
        <f t="shared" si="1"/>
        <v>5750.16</v>
      </c>
    </row>
    <row r="76" spans="1:14" ht="15.75" thickBot="1" x14ac:dyDescent="0.3">
      <c r="A76" s="243"/>
      <c r="B76" s="12" t="s">
        <v>103</v>
      </c>
      <c r="C76" s="8" t="s">
        <v>33</v>
      </c>
      <c r="D76" s="5" t="s">
        <v>35</v>
      </c>
      <c r="E76" s="8">
        <v>5000</v>
      </c>
      <c r="F76" s="229"/>
      <c r="G76" s="5">
        <f>7530+12470</f>
        <v>20000</v>
      </c>
      <c r="H76" s="32">
        <f>G76-5291</f>
        <v>14709</v>
      </c>
      <c r="I76" s="24">
        <f>H76*0.97</f>
        <v>14267.73</v>
      </c>
    </row>
    <row r="77" spans="1:14" ht="15.75" thickBot="1" x14ac:dyDescent="0.3">
      <c r="A77" s="244"/>
      <c r="B77" s="14" t="s">
        <v>92</v>
      </c>
      <c r="C77" s="16"/>
      <c r="D77" s="6" t="s">
        <v>656</v>
      </c>
      <c r="E77" s="16">
        <v>90</v>
      </c>
      <c r="F77" s="81"/>
      <c r="G77" s="6"/>
      <c r="H77" s="37"/>
      <c r="I77" s="6"/>
      <c r="J77" t="s">
        <v>657</v>
      </c>
      <c r="L77" t="s">
        <v>658</v>
      </c>
    </row>
    <row r="78" spans="1:14" x14ac:dyDescent="0.25">
      <c r="A78" s="267" t="s">
        <v>21</v>
      </c>
      <c r="B78" s="13" t="s">
        <v>58</v>
      </c>
      <c r="C78" s="15" t="s">
        <v>59</v>
      </c>
      <c r="D78" s="51" t="s">
        <v>60</v>
      </c>
      <c r="E78" s="17">
        <v>75</v>
      </c>
      <c r="F78" s="261" t="s">
        <v>65</v>
      </c>
      <c r="G78" s="17"/>
      <c r="H78" s="55"/>
      <c r="I78" s="17"/>
      <c r="K78" t="s">
        <v>532</v>
      </c>
    </row>
    <row r="79" spans="1:14" x14ac:dyDescent="0.25">
      <c r="A79" s="268"/>
      <c r="B79" s="12" t="s">
        <v>54</v>
      </c>
      <c r="C79" s="11" t="s">
        <v>55</v>
      </c>
      <c r="D79" s="52" t="s">
        <v>56</v>
      </c>
      <c r="E79" s="5">
        <v>50</v>
      </c>
      <c r="F79" s="262"/>
      <c r="G79" s="5"/>
      <c r="H79" s="24"/>
      <c r="I79" s="5"/>
    </row>
    <row r="80" spans="1:14" x14ac:dyDescent="0.25">
      <c r="A80" s="268"/>
      <c r="B80" s="12" t="s">
        <v>61</v>
      </c>
      <c r="C80" s="11" t="s">
        <v>33</v>
      </c>
      <c r="D80" s="52" t="s">
        <v>62</v>
      </c>
      <c r="E80" s="5">
        <v>0</v>
      </c>
      <c r="F80" s="262"/>
      <c r="G80" s="5">
        <v>12276</v>
      </c>
      <c r="H80" s="24">
        <f t="shared" si="0"/>
        <v>6985</v>
      </c>
      <c r="I80" s="24">
        <f t="shared" si="1"/>
        <v>6775.45</v>
      </c>
      <c r="K80" t="s">
        <v>532</v>
      </c>
    </row>
    <row r="81" spans="1:11" ht="15.75" thickBot="1" x14ac:dyDescent="0.3">
      <c r="A81" s="268"/>
      <c r="B81" s="12" t="s">
        <v>63</v>
      </c>
      <c r="C81" s="11" t="s">
        <v>33</v>
      </c>
      <c r="D81" s="52" t="s">
        <v>64</v>
      </c>
      <c r="E81" s="5">
        <v>0</v>
      </c>
      <c r="F81" s="263"/>
      <c r="G81" s="5">
        <v>0</v>
      </c>
      <c r="H81" s="24">
        <f t="shared" si="0"/>
        <v>-5291</v>
      </c>
      <c r="I81" s="5">
        <f t="shared" si="1"/>
        <v>-5132.2699999999995</v>
      </c>
    </row>
    <row r="82" spans="1:11" ht="15" customHeight="1" x14ac:dyDescent="0.25">
      <c r="A82" s="268"/>
      <c r="B82" s="12" t="s">
        <v>51</v>
      </c>
      <c r="C82" s="11" t="s">
        <v>52</v>
      </c>
      <c r="D82" s="52" t="s">
        <v>53</v>
      </c>
      <c r="E82" s="5">
        <v>700</v>
      </c>
      <c r="F82" s="261" t="s">
        <v>66</v>
      </c>
      <c r="G82" s="5"/>
      <c r="H82" s="24"/>
      <c r="I82" s="5"/>
      <c r="J82" t="s">
        <v>483</v>
      </c>
    </row>
    <row r="83" spans="1:11" x14ac:dyDescent="0.25">
      <c r="A83" s="268"/>
      <c r="B83" s="12" t="s">
        <v>54</v>
      </c>
      <c r="C83" s="11" t="s">
        <v>55</v>
      </c>
      <c r="D83" s="52" t="s">
        <v>56</v>
      </c>
      <c r="E83" s="5">
        <v>75</v>
      </c>
      <c r="F83" s="262"/>
      <c r="G83" s="5"/>
      <c r="H83" s="24"/>
      <c r="I83" s="5"/>
      <c r="K83" t="s">
        <v>532</v>
      </c>
    </row>
    <row r="84" spans="1:11" x14ac:dyDescent="0.25">
      <c r="A84" s="268"/>
      <c r="B84" s="20" t="s">
        <v>42</v>
      </c>
      <c r="C84" s="22" t="s">
        <v>33</v>
      </c>
      <c r="D84" s="53">
        <v>6760002</v>
      </c>
      <c r="E84" s="5">
        <v>0</v>
      </c>
      <c r="F84" s="262"/>
      <c r="G84" s="5">
        <v>18836</v>
      </c>
      <c r="H84" s="24">
        <f>G84-5291</f>
        <v>13545</v>
      </c>
      <c r="I84" s="5">
        <f t="shared" si="1"/>
        <v>13138.65</v>
      </c>
      <c r="K84" t="s">
        <v>532</v>
      </c>
    </row>
    <row r="85" spans="1:11" ht="15.75" thickBot="1" x14ac:dyDescent="0.3">
      <c r="A85" s="268"/>
      <c r="B85" s="20" t="s">
        <v>57</v>
      </c>
      <c r="C85" s="22" t="s">
        <v>33</v>
      </c>
      <c r="D85" s="53" t="s">
        <v>35</v>
      </c>
      <c r="E85" s="9">
        <v>0</v>
      </c>
      <c r="F85" s="263"/>
      <c r="G85" s="9">
        <v>5956</v>
      </c>
      <c r="H85" s="56">
        <f>G85-5291</f>
        <v>665</v>
      </c>
      <c r="I85" s="9">
        <f t="shared" si="1"/>
        <v>645.04999999999995</v>
      </c>
      <c r="K85" t="s">
        <v>532</v>
      </c>
    </row>
    <row r="86" spans="1:11" ht="15.75" thickBot="1" x14ac:dyDescent="0.3">
      <c r="A86" s="269"/>
      <c r="B86" s="186" t="s">
        <v>93</v>
      </c>
      <c r="C86" s="183"/>
      <c r="D86" s="184" t="s">
        <v>189</v>
      </c>
      <c r="E86" s="9">
        <v>30</v>
      </c>
      <c r="F86" s="54"/>
      <c r="G86" s="9"/>
      <c r="H86" s="56"/>
      <c r="I86" s="9"/>
      <c r="K86" t="s">
        <v>532</v>
      </c>
    </row>
    <row r="87" spans="1:11" x14ac:dyDescent="0.25">
      <c r="A87" s="227" t="s">
        <v>22</v>
      </c>
      <c r="B87" s="13" t="s">
        <v>462</v>
      </c>
      <c r="C87" s="25" t="s">
        <v>59</v>
      </c>
      <c r="D87" s="198" t="s">
        <v>463</v>
      </c>
      <c r="E87" s="17">
        <v>175</v>
      </c>
      <c r="F87" s="274" t="s">
        <v>647</v>
      </c>
      <c r="G87" s="200"/>
      <c r="H87" s="201"/>
      <c r="I87" s="202"/>
      <c r="J87" t="s">
        <v>483</v>
      </c>
    </row>
    <row r="88" spans="1:11" x14ac:dyDescent="0.25">
      <c r="A88" s="228"/>
      <c r="B88" s="12" t="s">
        <v>600</v>
      </c>
      <c r="C88" s="52" t="s">
        <v>72</v>
      </c>
      <c r="D88" s="185" t="s">
        <v>467</v>
      </c>
      <c r="E88" s="5">
        <v>150</v>
      </c>
      <c r="F88" s="275"/>
      <c r="G88" s="203"/>
      <c r="H88" s="199"/>
      <c r="I88" s="204"/>
      <c r="K88" t="s">
        <v>484</v>
      </c>
    </row>
    <row r="89" spans="1:11" x14ac:dyDescent="0.25">
      <c r="A89" s="228"/>
      <c r="B89" s="12" t="s">
        <v>640</v>
      </c>
      <c r="C89" s="52" t="s">
        <v>33</v>
      </c>
      <c r="D89" s="52" t="s">
        <v>62</v>
      </c>
      <c r="E89" s="5">
        <v>0</v>
      </c>
      <c r="F89" s="275"/>
      <c r="G89" s="203">
        <v>12372</v>
      </c>
      <c r="H89" s="199">
        <f>G89-(5291)</f>
        <v>7081</v>
      </c>
      <c r="I89" s="205">
        <f t="shared" ref="I89" si="2">H89*0.97</f>
        <v>6868.57</v>
      </c>
    </row>
    <row r="90" spans="1:11" ht="15.75" thickBot="1" x14ac:dyDescent="0.3">
      <c r="A90" s="228"/>
      <c r="B90" s="12" t="s">
        <v>450</v>
      </c>
      <c r="C90" s="52" t="s">
        <v>33</v>
      </c>
      <c r="D90" s="52" t="s">
        <v>64</v>
      </c>
      <c r="E90" s="5">
        <v>0</v>
      </c>
      <c r="F90" s="275"/>
      <c r="G90" s="203">
        <v>22072</v>
      </c>
      <c r="H90" s="199">
        <f>G90-(2*5291)</f>
        <v>11490</v>
      </c>
      <c r="I90" s="205">
        <f t="shared" si="1"/>
        <v>11145.3</v>
      </c>
      <c r="K90" t="s">
        <v>484</v>
      </c>
    </row>
    <row r="91" spans="1:11" x14ac:dyDescent="0.25">
      <c r="A91" s="228"/>
      <c r="B91" s="12" t="s">
        <v>343</v>
      </c>
      <c r="C91" s="27" t="s">
        <v>52</v>
      </c>
      <c r="D91" s="27" t="s">
        <v>334</v>
      </c>
      <c r="E91" s="5">
        <v>900</v>
      </c>
      <c r="F91" s="278" t="s">
        <v>491</v>
      </c>
      <c r="G91" s="203"/>
      <c r="H91" s="199"/>
      <c r="I91" s="205"/>
    </row>
    <row r="92" spans="1:11" x14ac:dyDescent="0.25">
      <c r="A92" s="228"/>
      <c r="B92" s="12" t="s">
        <v>445</v>
      </c>
      <c r="C92" s="27" t="s">
        <v>52</v>
      </c>
      <c r="D92" s="185" t="s">
        <v>444</v>
      </c>
      <c r="E92" s="5">
        <v>200</v>
      </c>
      <c r="F92" s="279"/>
      <c r="G92" s="203"/>
      <c r="H92" s="199"/>
      <c r="I92" s="205"/>
      <c r="J92" t="s">
        <v>483</v>
      </c>
    </row>
    <row r="93" spans="1:11" x14ac:dyDescent="0.25">
      <c r="A93" s="228"/>
      <c r="B93" s="12" t="s">
        <v>42</v>
      </c>
      <c r="C93" s="52" t="s">
        <v>33</v>
      </c>
      <c r="D93" s="52">
        <v>6760002</v>
      </c>
      <c r="E93" s="134">
        <v>0</v>
      </c>
      <c r="F93" s="279"/>
      <c r="G93" s="203">
        <v>8388</v>
      </c>
      <c r="H93" s="199">
        <f>G93-(5291)</f>
        <v>3097</v>
      </c>
      <c r="I93" s="205">
        <f t="shared" ref="I93" si="3">H93*0.97</f>
        <v>3004.0899999999997</v>
      </c>
    </row>
    <row r="94" spans="1:11" ht="15" customHeight="1" thickBot="1" x14ac:dyDescent="0.3">
      <c r="A94" s="228"/>
      <c r="B94" s="20" t="s">
        <v>163</v>
      </c>
      <c r="C94" s="70" t="s">
        <v>33</v>
      </c>
      <c r="D94" s="70" t="s">
        <v>687</v>
      </c>
      <c r="E94" s="5">
        <v>0</v>
      </c>
      <c r="F94" s="280"/>
      <c r="G94" s="203">
        <v>21262</v>
      </c>
      <c r="H94" s="199">
        <f>G94-(2*5291)</f>
        <v>10680</v>
      </c>
      <c r="I94" s="205">
        <f>H94*0.97</f>
        <v>10359.6</v>
      </c>
      <c r="K94" t="s">
        <v>484</v>
      </c>
    </row>
    <row r="95" spans="1:11" x14ac:dyDescent="0.25">
      <c r="A95" s="228"/>
      <c r="B95" s="12" t="s">
        <v>110</v>
      </c>
      <c r="C95" s="52"/>
      <c r="D95" s="52" t="s">
        <v>111</v>
      </c>
      <c r="E95" s="5">
        <v>5</v>
      </c>
      <c r="F95" s="18"/>
      <c r="G95" s="203"/>
      <c r="H95" s="199"/>
      <c r="I95" s="204"/>
      <c r="J95" t="s">
        <v>481</v>
      </c>
      <c r="K95" t="s">
        <v>482</v>
      </c>
    </row>
    <row r="96" spans="1:11" ht="15.75" thickBot="1" x14ac:dyDescent="0.3">
      <c r="A96" s="229"/>
      <c r="B96" s="14" t="s">
        <v>588</v>
      </c>
      <c r="C96" s="102"/>
      <c r="D96" s="102"/>
      <c r="E96" s="6">
        <v>37</v>
      </c>
      <c r="F96" s="16"/>
      <c r="G96" s="206"/>
      <c r="H96" s="207"/>
      <c r="I96" s="208"/>
    </row>
    <row r="97" spans="1:9" x14ac:dyDescent="0.25">
      <c r="A97" s="273" t="s">
        <v>100</v>
      </c>
      <c r="B97" s="4" t="s">
        <v>16</v>
      </c>
      <c r="C97" s="7"/>
      <c r="D97" s="4"/>
      <c r="E97" s="30"/>
      <c r="F97" s="30"/>
      <c r="G97" s="4"/>
      <c r="H97" s="34"/>
      <c r="I97" s="4"/>
    </row>
    <row r="98" spans="1:9" x14ac:dyDescent="0.25">
      <c r="A98" s="265"/>
      <c r="B98" s="5" t="s">
        <v>16</v>
      </c>
      <c r="C98" s="8"/>
      <c r="D98" s="5"/>
      <c r="E98" s="27"/>
      <c r="F98" s="27"/>
      <c r="G98" s="5"/>
      <c r="H98" s="32"/>
      <c r="I98" s="5"/>
    </row>
    <row r="99" spans="1:9" x14ac:dyDescent="0.25">
      <c r="A99" s="265"/>
      <c r="B99" s="5" t="s">
        <v>17</v>
      </c>
      <c r="C99" s="8"/>
      <c r="D99" s="5"/>
      <c r="E99" s="27"/>
      <c r="F99" s="27"/>
      <c r="G99" s="5"/>
      <c r="H99" s="32"/>
      <c r="I99" s="5"/>
    </row>
    <row r="100" spans="1:9" x14ac:dyDescent="0.25">
      <c r="A100" s="265"/>
      <c r="B100" s="5" t="s">
        <v>17</v>
      </c>
      <c r="C100" s="8"/>
      <c r="D100" s="5"/>
      <c r="E100" s="27"/>
      <c r="F100" s="27"/>
      <c r="G100" s="5"/>
      <c r="H100" s="32"/>
      <c r="I100" s="5"/>
    </row>
    <row r="101" spans="1:9" ht="15.75" thickBot="1" x14ac:dyDescent="0.3">
      <c r="A101" s="266"/>
      <c r="B101" s="6" t="s">
        <v>94</v>
      </c>
      <c r="C101" s="16"/>
      <c r="D101" s="6"/>
      <c r="E101" s="28"/>
      <c r="F101" s="28"/>
      <c r="G101" s="6"/>
      <c r="H101" s="33"/>
      <c r="I101" s="6"/>
    </row>
    <row r="102" spans="1:9" x14ac:dyDescent="0.25">
      <c r="A102" s="264" t="s">
        <v>101</v>
      </c>
      <c r="B102" s="17" t="s">
        <v>16</v>
      </c>
      <c r="C102" s="18"/>
      <c r="D102" s="17"/>
      <c r="E102" s="25"/>
      <c r="F102" s="25"/>
      <c r="G102" s="17"/>
      <c r="H102" s="31"/>
      <c r="I102" s="17"/>
    </row>
    <row r="103" spans="1:9" x14ac:dyDescent="0.25">
      <c r="A103" s="265"/>
      <c r="B103" s="5" t="s">
        <v>16</v>
      </c>
      <c r="C103" s="8"/>
      <c r="D103" s="5"/>
      <c r="E103" s="27"/>
      <c r="F103" s="27"/>
      <c r="G103" s="5"/>
      <c r="H103" s="32"/>
      <c r="I103" s="5"/>
    </row>
    <row r="104" spans="1:9" x14ac:dyDescent="0.25">
      <c r="A104" s="265"/>
      <c r="B104" s="5" t="s">
        <v>17</v>
      </c>
      <c r="C104" s="8"/>
      <c r="D104" s="5"/>
      <c r="E104" s="27"/>
      <c r="F104" s="27"/>
      <c r="G104" s="5"/>
      <c r="H104" s="32"/>
      <c r="I104" s="5"/>
    </row>
    <row r="105" spans="1:9" x14ac:dyDescent="0.25">
      <c r="A105" s="265"/>
      <c r="B105" s="5" t="s">
        <v>17</v>
      </c>
      <c r="C105" s="8"/>
      <c r="D105" s="5"/>
      <c r="E105" s="27"/>
      <c r="F105" s="27"/>
      <c r="G105" s="5"/>
      <c r="H105" s="32"/>
      <c r="I105" s="5"/>
    </row>
    <row r="106" spans="1:9" ht="15.75" thickBot="1" x14ac:dyDescent="0.3">
      <c r="A106" s="266"/>
      <c r="B106" s="6" t="s">
        <v>94</v>
      </c>
      <c r="C106" s="16"/>
      <c r="D106" s="6"/>
      <c r="E106" s="28"/>
      <c r="F106" s="28"/>
      <c r="G106" s="6"/>
      <c r="H106" s="33"/>
      <c r="I106" s="6"/>
    </row>
    <row r="107" spans="1:9" x14ac:dyDescent="0.25">
      <c r="A107" s="227" t="s">
        <v>23</v>
      </c>
      <c r="B107" s="13" t="s">
        <v>25</v>
      </c>
      <c r="C107" s="13" t="s">
        <v>27</v>
      </c>
      <c r="D107" s="13" t="s">
        <v>29</v>
      </c>
      <c r="E107" s="17">
        <v>160</v>
      </c>
      <c r="F107" s="270" t="s">
        <v>67</v>
      </c>
      <c r="G107" s="17"/>
      <c r="H107" s="55"/>
      <c r="I107" s="17"/>
    </row>
    <row r="108" spans="1:9" x14ac:dyDescent="0.25">
      <c r="A108" s="228"/>
      <c r="B108" s="12" t="s">
        <v>26</v>
      </c>
      <c r="C108" s="12" t="s">
        <v>28</v>
      </c>
      <c r="D108" s="12" t="s">
        <v>30</v>
      </c>
      <c r="E108" s="5">
        <v>155</v>
      </c>
      <c r="F108" s="271"/>
      <c r="G108" s="5"/>
      <c r="H108" s="24"/>
      <c r="I108" s="5"/>
    </row>
    <row r="109" spans="1:9" x14ac:dyDescent="0.25">
      <c r="A109" s="228"/>
      <c r="B109" s="12" t="s">
        <v>31</v>
      </c>
      <c r="C109" s="12" t="s">
        <v>33</v>
      </c>
      <c r="D109" s="12" t="s">
        <v>34</v>
      </c>
      <c r="E109" s="5">
        <v>5809</v>
      </c>
      <c r="F109" s="271"/>
      <c r="G109" s="5">
        <v>10800</v>
      </c>
      <c r="H109" s="24">
        <f>G109-5291</f>
        <v>5509</v>
      </c>
      <c r="I109" s="24">
        <f t="shared" si="1"/>
        <v>5343.73</v>
      </c>
    </row>
    <row r="110" spans="1:9" ht="15.75" thickBot="1" x14ac:dyDescent="0.3">
      <c r="A110" s="228"/>
      <c r="B110" s="12" t="s">
        <v>32</v>
      </c>
      <c r="C110" s="12" t="s">
        <v>33</v>
      </c>
      <c r="D110" s="12" t="s">
        <v>35</v>
      </c>
      <c r="E110" s="5">
        <v>4300</v>
      </c>
      <c r="F110" s="272"/>
      <c r="G110" s="5">
        <v>10421</v>
      </c>
      <c r="H110" s="24">
        <f>G110-5291</f>
        <v>5130</v>
      </c>
      <c r="I110" s="24">
        <f t="shared" si="1"/>
        <v>4976.0999999999995</v>
      </c>
    </row>
    <row r="111" spans="1:9" x14ac:dyDescent="0.25">
      <c r="A111" s="228"/>
      <c r="B111" s="80" t="s">
        <v>36</v>
      </c>
      <c r="C111" s="12" t="s">
        <v>37</v>
      </c>
      <c r="D111" s="12" t="s">
        <v>38</v>
      </c>
      <c r="E111" s="5">
        <v>379</v>
      </c>
      <c r="F111" s="258" t="s">
        <v>68</v>
      </c>
      <c r="G111" s="5"/>
      <c r="H111" s="24"/>
      <c r="I111" s="5"/>
    </row>
    <row r="112" spans="1:9" x14ac:dyDescent="0.25">
      <c r="A112" s="228"/>
      <c r="B112" s="12" t="s">
        <v>39</v>
      </c>
      <c r="C112" s="12" t="s">
        <v>40</v>
      </c>
      <c r="D112" s="12" t="s">
        <v>41</v>
      </c>
      <c r="E112" s="5">
        <v>85</v>
      </c>
      <c r="F112" s="259"/>
      <c r="G112" s="5"/>
      <c r="H112" s="24"/>
      <c r="I112" s="5"/>
    </row>
    <row r="113" spans="1:12" x14ac:dyDescent="0.25">
      <c r="A113" s="228"/>
      <c r="B113" s="20" t="s">
        <v>42</v>
      </c>
      <c r="C113" s="20" t="s">
        <v>33</v>
      </c>
      <c r="D113" s="20">
        <v>6760002</v>
      </c>
      <c r="E113" s="5">
        <v>2161</v>
      </c>
      <c r="F113" s="259"/>
      <c r="G113" s="5">
        <v>7519</v>
      </c>
      <c r="H113" s="24">
        <f>G113-5291</f>
        <v>2228</v>
      </c>
      <c r="I113" s="24">
        <f>H113*0.97</f>
        <v>2161.16</v>
      </c>
    </row>
    <row r="114" spans="1:12" ht="15.75" thickBot="1" x14ac:dyDescent="0.3">
      <c r="A114" s="228"/>
      <c r="B114" s="20" t="s">
        <v>43</v>
      </c>
      <c r="C114" s="20" t="s">
        <v>33</v>
      </c>
      <c r="D114" s="20" t="s">
        <v>44</v>
      </c>
      <c r="E114" s="5">
        <v>4632</v>
      </c>
      <c r="F114" s="260"/>
      <c r="G114" s="5">
        <v>10066</v>
      </c>
      <c r="H114" s="24">
        <f t="shared" si="0"/>
        <v>4775</v>
      </c>
      <c r="I114" s="24">
        <f>H114*0.97</f>
        <v>4631.75</v>
      </c>
    </row>
    <row r="115" spans="1:12" x14ac:dyDescent="0.25">
      <c r="A115" s="228"/>
      <c r="B115" s="20" t="s">
        <v>95</v>
      </c>
      <c r="C115" s="20"/>
      <c r="D115" s="20" t="s">
        <v>439</v>
      </c>
      <c r="E115" s="5">
        <v>16</v>
      </c>
      <c r="F115" s="276"/>
      <c r="G115" s="9"/>
      <c r="H115" s="56"/>
      <c r="I115" s="56"/>
    </row>
    <row r="116" spans="1:12" x14ac:dyDescent="0.25">
      <c r="A116" s="228"/>
      <c r="B116" s="20" t="s">
        <v>95</v>
      </c>
      <c r="C116" s="5"/>
      <c r="D116" s="20" t="s">
        <v>281</v>
      </c>
      <c r="E116" s="5">
        <v>10</v>
      </c>
      <c r="F116" s="245"/>
      <c r="G116" s="9"/>
      <c r="H116" s="56"/>
      <c r="I116" s="9"/>
    </row>
    <row r="117" spans="1:12" ht="15.75" thickBot="1" x14ac:dyDescent="0.3">
      <c r="A117" s="229"/>
      <c r="B117" s="21" t="s">
        <v>95</v>
      </c>
      <c r="C117" s="6" t="s">
        <v>451</v>
      </c>
      <c r="D117" s="21" t="s">
        <v>452</v>
      </c>
      <c r="E117" s="6">
        <v>427</v>
      </c>
      <c r="F117" s="277"/>
      <c r="G117" s="6"/>
      <c r="H117" s="57"/>
      <c r="I117" s="6"/>
    </row>
    <row r="118" spans="1:12" ht="15.75" thickBot="1" x14ac:dyDescent="0.3">
      <c r="A118" s="281" t="s">
        <v>529</v>
      </c>
      <c r="B118" s="282"/>
      <c r="C118" s="282"/>
      <c r="D118" s="282"/>
      <c r="E118" s="282"/>
      <c r="F118" s="283"/>
      <c r="G118" s="154" t="s">
        <v>512</v>
      </c>
      <c r="I118" s="170" t="s">
        <v>541</v>
      </c>
    </row>
    <row r="119" spans="1:12" ht="15.75" thickBot="1" x14ac:dyDescent="0.3">
      <c r="A119" s="225" t="s">
        <v>14</v>
      </c>
      <c r="B119" s="225" t="s">
        <v>24</v>
      </c>
      <c r="C119" s="154" t="s">
        <v>12</v>
      </c>
      <c r="D119" s="224" t="s">
        <v>99</v>
      </c>
      <c r="E119" s="154" t="s">
        <v>539</v>
      </c>
      <c r="F119" s="154" t="s">
        <v>540</v>
      </c>
      <c r="G119" s="128" t="s">
        <v>513</v>
      </c>
      <c r="H119" s="164" t="s">
        <v>538</v>
      </c>
      <c r="I119" s="2" t="s">
        <v>542</v>
      </c>
      <c r="L119" t="s">
        <v>543</v>
      </c>
    </row>
    <row r="120" spans="1:12" x14ac:dyDescent="0.25">
      <c r="A120" s="276" t="s">
        <v>15</v>
      </c>
      <c r="B120" s="13" t="s">
        <v>82</v>
      </c>
      <c r="C120" s="13" t="s">
        <v>83</v>
      </c>
      <c r="D120" s="13" t="s">
        <v>84</v>
      </c>
      <c r="E120" s="100">
        <v>0</v>
      </c>
      <c r="F120" s="5"/>
      <c r="G120" s="2"/>
      <c r="H120" s="55"/>
    </row>
    <row r="121" spans="1:12" s="189" customFormat="1" ht="15.75" thickBot="1" x14ac:dyDescent="0.3">
      <c r="A121" s="277"/>
      <c r="B121" s="226" t="s">
        <v>706</v>
      </c>
      <c r="C121" s="226" t="s">
        <v>83</v>
      </c>
      <c r="D121" s="226" t="s">
        <v>703</v>
      </c>
      <c r="E121" s="106">
        <v>100</v>
      </c>
      <c r="F121" s="106"/>
      <c r="G121" s="2"/>
      <c r="H121" s="35"/>
    </row>
    <row r="122" spans="1:12" x14ac:dyDescent="0.25">
      <c r="A122" s="228" t="s">
        <v>18</v>
      </c>
      <c r="B122" s="30" t="s">
        <v>87</v>
      </c>
      <c r="C122" s="4" t="s">
        <v>192</v>
      </c>
      <c r="D122" s="7" t="s">
        <v>193</v>
      </c>
      <c r="E122" s="4">
        <v>400</v>
      </c>
      <c r="F122" s="106"/>
      <c r="G122" s="114"/>
      <c r="H122" s="24"/>
    </row>
    <row r="123" spans="1:12" ht="15.75" thickBot="1" x14ac:dyDescent="0.3">
      <c r="A123" s="229"/>
      <c r="B123" s="36" t="s">
        <v>378</v>
      </c>
      <c r="C123" s="6" t="s">
        <v>72</v>
      </c>
      <c r="D123" s="16" t="s">
        <v>379</v>
      </c>
      <c r="E123" s="9">
        <v>200</v>
      </c>
      <c r="F123" s="105"/>
      <c r="G123" s="81"/>
      <c r="H123" s="24"/>
      <c r="I123" s="2"/>
    </row>
    <row r="124" spans="1:12" x14ac:dyDescent="0.25">
      <c r="A124" s="227" t="s">
        <v>511</v>
      </c>
      <c r="B124" s="17" t="s">
        <v>582</v>
      </c>
      <c r="C124" s="7" t="s">
        <v>72</v>
      </c>
      <c r="D124" s="17" t="s">
        <v>251</v>
      </c>
      <c r="E124" s="180"/>
      <c r="F124" s="172">
        <v>1625</v>
      </c>
      <c r="G124" s="18">
        <f>F124+E42</f>
        <v>1630</v>
      </c>
      <c r="H124" s="5"/>
      <c r="I124" s="1" t="s">
        <v>421</v>
      </c>
    </row>
    <row r="125" spans="1:12" x14ac:dyDescent="0.25">
      <c r="A125" s="228"/>
      <c r="B125" s="4" t="s">
        <v>250</v>
      </c>
      <c r="C125" s="7" t="s">
        <v>72</v>
      </c>
      <c r="D125" s="4" t="s">
        <v>566</v>
      </c>
      <c r="E125" s="181"/>
      <c r="F125" s="178">
        <v>8000</v>
      </c>
      <c r="G125" s="7"/>
      <c r="H125" s="5"/>
      <c r="I125" s="1"/>
    </row>
    <row r="126" spans="1:12" x14ac:dyDescent="0.25">
      <c r="A126" s="228"/>
      <c r="B126" s="5" t="s">
        <v>307</v>
      </c>
      <c r="C126" s="8" t="s">
        <v>252</v>
      </c>
      <c r="D126" s="5" t="s">
        <v>253</v>
      </c>
      <c r="E126" s="166"/>
      <c r="F126" s="167">
        <v>4600</v>
      </c>
      <c r="G126" s="8">
        <f>F126+E44</f>
        <v>4699</v>
      </c>
      <c r="H126" s="5"/>
      <c r="I126" s="1" t="s">
        <v>486</v>
      </c>
    </row>
    <row r="127" spans="1:12" s="189" customFormat="1" x14ac:dyDescent="0.25">
      <c r="A127" s="228"/>
      <c r="B127" s="5" t="s">
        <v>520</v>
      </c>
      <c r="C127" s="8" t="s">
        <v>252</v>
      </c>
      <c r="D127" s="5" t="s">
        <v>253</v>
      </c>
      <c r="E127" s="166"/>
      <c r="F127" s="167">
        <v>7900</v>
      </c>
      <c r="G127" s="8"/>
      <c r="H127" s="5"/>
      <c r="I127" s="1"/>
    </row>
    <row r="128" spans="1:12" x14ac:dyDescent="0.25">
      <c r="A128" s="228"/>
      <c r="B128" s="5" t="s">
        <v>489</v>
      </c>
      <c r="C128" s="8" t="s">
        <v>487</v>
      </c>
      <c r="D128" s="5" t="s">
        <v>488</v>
      </c>
      <c r="E128" s="167">
        <v>200</v>
      </c>
      <c r="F128" s="5"/>
      <c r="G128" s="8"/>
      <c r="H128" s="5"/>
      <c r="I128" s="1"/>
    </row>
    <row r="129" spans="1:9" x14ac:dyDescent="0.25">
      <c r="A129" s="228"/>
      <c r="B129" s="5" t="s">
        <v>255</v>
      </c>
      <c r="C129" s="8" t="s">
        <v>252</v>
      </c>
      <c r="D129" s="5" t="s">
        <v>256</v>
      </c>
      <c r="E129" s="166"/>
      <c r="F129" s="167">
        <v>0</v>
      </c>
      <c r="G129" s="8">
        <f>F129+E46</f>
        <v>64</v>
      </c>
      <c r="H129" s="5"/>
      <c r="I129" s="1"/>
    </row>
    <row r="130" spans="1:9" x14ac:dyDescent="0.25">
      <c r="A130" s="228"/>
      <c r="B130" s="5" t="s">
        <v>255</v>
      </c>
      <c r="C130" s="8" t="s">
        <v>252</v>
      </c>
      <c r="D130" s="5" t="s">
        <v>574</v>
      </c>
      <c r="E130" s="166"/>
      <c r="F130" s="167">
        <v>12900</v>
      </c>
      <c r="G130" s="8">
        <f>F130+E47</f>
        <v>12900</v>
      </c>
      <c r="H130" s="5"/>
      <c r="I130" s="1" t="s">
        <v>575</v>
      </c>
    </row>
    <row r="131" spans="1:9" x14ac:dyDescent="0.25">
      <c r="A131" s="228"/>
      <c r="B131" s="5" t="s">
        <v>583</v>
      </c>
      <c r="C131" s="10" t="s">
        <v>72</v>
      </c>
      <c r="D131" s="5" t="s">
        <v>251</v>
      </c>
      <c r="E131" s="166"/>
      <c r="F131" s="167">
        <v>1625</v>
      </c>
      <c r="G131" s="10">
        <f>F131+E45</f>
        <v>1675</v>
      </c>
      <c r="H131" s="5"/>
      <c r="I131" s="1" t="s">
        <v>421</v>
      </c>
    </row>
    <row r="132" spans="1:9" x14ac:dyDescent="0.25">
      <c r="A132" s="228"/>
      <c r="B132" s="5" t="s">
        <v>254</v>
      </c>
      <c r="C132" s="10" t="s">
        <v>72</v>
      </c>
      <c r="D132" s="5" t="s">
        <v>567</v>
      </c>
      <c r="E132" s="140"/>
      <c r="F132" s="179">
        <v>9000</v>
      </c>
      <c r="G132" s="2"/>
      <c r="H132" s="5"/>
      <c r="I132" s="1"/>
    </row>
    <row r="133" spans="1:9" ht="15.75" thickBot="1" x14ac:dyDescent="0.3">
      <c r="A133" s="229"/>
      <c r="B133" s="6" t="s">
        <v>536</v>
      </c>
      <c r="C133" s="10" t="s">
        <v>72</v>
      </c>
      <c r="D133" s="6" t="s">
        <v>535</v>
      </c>
      <c r="E133" s="182"/>
      <c r="F133" s="173">
        <v>400</v>
      </c>
      <c r="G133" s="2"/>
      <c r="H133" s="5"/>
      <c r="I133" s="1"/>
    </row>
    <row r="134" spans="1:9" x14ac:dyDescent="0.25">
      <c r="A134" s="240" t="s">
        <v>270</v>
      </c>
      <c r="B134" s="165" t="s">
        <v>271</v>
      </c>
      <c r="C134" s="17" t="s">
        <v>72</v>
      </c>
      <c r="D134" s="4" t="s">
        <v>272</v>
      </c>
      <c r="E134" s="7"/>
      <c r="F134" s="30"/>
      <c r="G134" s="25"/>
      <c r="H134" s="5"/>
      <c r="I134" s="2"/>
    </row>
    <row r="135" spans="1:9" ht="15.75" thickBot="1" x14ac:dyDescent="0.3">
      <c r="A135" s="241"/>
      <c r="B135" s="75" t="s">
        <v>370</v>
      </c>
      <c r="C135" s="6" t="s">
        <v>72</v>
      </c>
      <c r="D135" s="6" t="s">
        <v>371</v>
      </c>
      <c r="E135" s="10">
        <v>40</v>
      </c>
      <c r="F135" s="36"/>
      <c r="G135" s="155"/>
      <c r="H135" s="5"/>
      <c r="I135" s="2"/>
    </row>
    <row r="136" spans="1:9" x14ac:dyDescent="0.25">
      <c r="A136" s="239" t="s">
        <v>135</v>
      </c>
      <c r="B136" s="101" t="s">
        <v>514</v>
      </c>
      <c r="C136" s="13" t="s">
        <v>75</v>
      </c>
      <c r="D136" s="114"/>
      <c r="E136" s="25"/>
      <c r="F136" s="174">
        <v>0</v>
      </c>
      <c r="G136" s="156">
        <f>F136+E54</f>
        <v>30</v>
      </c>
      <c r="H136" s="5"/>
      <c r="I136" s="2"/>
    </row>
    <row r="137" spans="1:9" ht="15.75" thickBot="1" x14ac:dyDescent="0.3">
      <c r="A137" s="241"/>
      <c r="B137" s="14" t="s">
        <v>76</v>
      </c>
      <c r="C137" s="102" t="s">
        <v>77</v>
      </c>
      <c r="D137" s="102" t="s">
        <v>78</v>
      </c>
      <c r="E137" s="152"/>
      <c r="F137" s="175">
        <v>900</v>
      </c>
      <c r="G137" s="157">
        <f>F137+E55</f>
        <v>1000</v>
      </c>
      <c r="H137" s="5"/>
      <c r="I137" s="2"/>
    </row>
    <row r="138" spans="1:9" x14ac:dyDescent="0.25">
      <c r="A138" s="276" t="s">
        <v>20</v>
      </c>
      <c r="B138" s="79" t="s">
        <v>164</v>
      </c>
      <c r="C138" s="4" t="s">
        <v>165</v>
      </c>
      <c r="D138" s="4" t="s">
        <v>166</v>
      </c>
      <c r="E138" s="176">
        <v>200</v>
      </c>
      <c r="F138" s="25">
        <f>E138/0.2</f>
        <v>1000</v>
      </c>
      <c r="G138" s="156">
        <f>F138+E73</f>
        <v>1750</v>
      </c>
      <c r="H138" s="5"/>
      <c r="I138" s="2"/>
    </row>
    <row r="139" spans="1:9" x14ac:dyDescent="0.25">
      <c r="A139" s="245"/>
      <c r="B139" s="11" t="s">
        <v>170</v>
      </c>
      <c r="C139" s="5" t="s">
        <v>165</v>
      </c>
      <c r="D139" s="5" t="s">
        <v>171</v>
      </c>
      <c r="E139" s="169">
        <v>1000</v>
      </c>
      <c r="F139" s="27">
        <f>E139/0.2</f>
        <v>5000</v>
      </c>
      <c r="G139" s="158">
        <f>F139+E73</f>
        <v>5750</v>
      </c>
      <c r="H139" s="5"/>
      <c r="I139" s="2"/>
    </row>
    <row r="140" spans="1:9" x14ac:dyDescent="0.25">
      <c r="A140" s="245"/>
      <c r="B140" s="74" t="s">
        <v>578</v>
      </c>
      <c r="C140" s="5" t="s">
        <v>165</v>
      </c>
      <c r="D140" s="9" t="s">
        <v>554</v>
      </c>
      <c r="E140" s="170">
        <v>0</v>
      </c>
      <c r="F140" s="36"/>
      <c r="G140" s="157"/>
      <c r="H140" s="5"/>
      <c r="I140" s="2"/>
    </row>
    <row r="141" spans="1:9" ht="15.75" thickBot="1" x14ac:dyDescent="0.3">
      <c r="A141" s="245"/>
      <c r="B141" s="74" t="s">
        <v>167</v>
      </c>
      <c r="C141" s="9" t="s">
        <v>165</v>
      </c>
      <c r="D141" s="9" t="s">
        <v>168</v>
      </c>
      <c r="E141" s="170">
        <v>300</v>
      </c>
      <c r="F141" s="36">
        <f>E141/0.2</f>
        <v>1500</v>
      </c>
      <c r="G141" s="157">
        <f>F141+E74</f>
        <v>1700</v>
      </c>
      <c r="H141" s="5"/>
      <c r="I141" s="127"/>
    </row>
    <row r="142" spans="1:9" ht="15" customHeight="1" x14ac:dyDescent="0.25">
      <c r="A142" s="285" t="s">
        <v>21</v>
      </c>
      <c r="B142" s="143" t="s">
        <v>51</v>
      </c>
      <c r="C142" s="131" t="s">
        <v>52</v>
      </c>
      <c r="D142" s="149" t="s">
        <v>53</v>
      </c>
      <c r="E142" s="174">
        <v>400</v>
      </c>
      <c r="F142" s="25">
        <f>E142/0.125</f>
        <v>3200</v>
      </c>
      <c r="G142" s="159">
        <f>F142+E82</f>
        <v>3900</v>
      </c>
      <c r="H142" s="5"/>
      <c r="I142" s="2"/>
    </row>
    <row r="143" spans="1:9" ht="15" customHeight="1" thickBot="1" x14ac:dyDescent="0.3">
      <c r="A143" s="286"/>
      <c r="B143" s="14" t="s">
        <v>54</v>
      </c>
      <c r="C143" s="19" t="s">
        <v>55</v>
      </c>
      <c r="D143" s="102" t="s">
        <v>56</v>
      </c>
      <c r="E143" s="152"/>
      <c r="F143" s="175">
        <v>100</v>
      </c>
      <c r="G143" s="160">
        <f>F143+E79</f>
        <v>150</v>
      </c>
      <c r="H143" s="5"/>
      <c r="I143" s="2"/>
    </row>
    <row r="144" spans="1:9" ht="15" customHeight="1" x14ac:dyDescent="0.25">
      <c r="A144" s="287" t="s">
        <v>22</v>
      </c>
      <c r="B144" s="79" t="s">
        <v>69</v>
      </c>
      <c r="C144" s="78" t="s">
        <v>52</v>
      </c>
      <c r="D144" s="78" t="s">
        <v>70</v>
      </c>
      <c r="E144" s="176">
        <v>200</v>
      </c>
      <c r="F144" s="25">
        <f>E144/0.1</f>
        <v>2000</v>
      </c>
      <c r="G144" s="159">
        <f>F144+E87</f>
        <v>2175</v>
      </c>
      <c r="H144" s="5"/>
      <c r="I144" s="2"/>
    </row>
    <row r="145" spans="1:9" ht="15" customHeight="1" x14ac:dyDescent="0.25">
      <c r="A145" s="288"/>
      <c r="B145" s="8" t="s">
        <v>71</v>
      </c>
      <c r="C145" s="5" t="s">
        <v>72</v>
      </c>
      <c r="D145" s="100" t="s">
        <v>73</v>
      </c>
      <c r="E145" s="151"/>
      <c r="F145" s="27">
        <v>0</v>
      </c>
      <c r="G145" s="161">
        <f>F145+E88</f>
        <v>150</v>
      </c>
      <c r="H145" s="5"/>
      <c r="I145" s="2"/>
    </row>
    <row r="146" spans="1:9" ht="15" customHeight="1" x14ac:dyDescent="0.25">
      <c r="A146" s="288"/>
      <c r="B146" s="12" t="s">
        <v>161</v>
      </c>
      <c r="C146" s="12" t="s">
        <v>52</v>
      </c>
      <c r="D146" s="12" t="s">
        <v>162</v>
      </c>
      <c r="E146" s="169">
        <v>200</v>
      </c>
      <c r="F146" s="27">
        <f>E146/0.2</f>
        <v>1000</v>
      </c>
      <c r="G146" s="161">
        <f>F146+E93</f>
        <v>1000</v>
      </c>
      <c r="H146" s="5"/>
      <c r="I146" s="2"/>
    </row>
    <row r="147" spans="1:9" ht="15" customHeight="1" x14ac:dyDescent="0.25">
      <c r="A147" s="288"/>
      <c r="B147" s="11" t="s">
        <v>473</v>
      </c>
      <c r="C147" s="12" t="s">
        <v>478</v>
      </c>
      <c r="D147" s="12" t="s">
        <v>474</v>
      </c>
      <c r="E147" s="8">
        <v>50</v>
      </c>
      <c r="F147" s="27"/>
      <c r="G147" s="161"/>
      <c r="H147" s="5"/>
      <c r="I147" s="2"/>
    </row>
    <row r="148" spans="1:9" ht="15" customHeight="1" x14ac:dyDescent="0.25">
      <c r="A148" s="288"/>
      <c r="B148" s="11" t="s">
        <v>475</v>
      </c>
      <c r="C148" s="12" t="s">
        <v>478</v>
      </c>
      <c r="D148" s="12" t="s">
        <v>160</v>
      </c>
      <c r="E148" s="169">
        <v>20</v>
      </c>
      <c r="F148" s="27">
        <f>E148/0.2</f>
        <v>100</v>
      </c>
      <c r="G148" s="161">
        <f>F148+E92</f>
        <v>300</v>
      </c>
      <c r="H148" s="5"/>
      <c r="I148" s="2"/>
    </row>
    <row r="149" spans="1:9" ht="15" customHeight="1" x14ac:dyDescent="0.25">
      <c r="A149" s="288"/>
      <c r="B149" s="11" t="s">
        <v>476</v>
      </c>
      <c r="C149" s="12" t="s">
        <v>478</v>
      </c>
      <c r="D149" s="12" t="s">
        <v>477</v>
      </c>
      <c r="E149" s="8">
        <v>20</v>
      </c>
      <c r="F149" s="27"/>
      <c r="G149" s="161"/>
      <c r="H149" s="5"/>
      <c r="I149" s="2"/>
    </row>
    <row r="150" spans="1:9" x14ac:dyDescent="0.25">
      <c r="A150" s="288"/>
      <c r="B150" s="11" t="s">
        <v>159</v>
      </c>
      <c r="C150" s="5" t="s">
        <v>165</v>
      </c>
      <c r="D150" s="197" t="s">
        <v>334</v>
      </c>
      <c r="E150" s="169">
        <v>1000</v>
      </c>
      <c r="F150" s="27">
        <f>E150/0.4</f>
        <v>2500</v>
      </c>
      <c r="G150" s="162" t="e">
        <f>F150+#REF!</f>
        <v>#REF!</v>
      </c>
      <c r="H150" s="5"/>
      <c r="I150" s="127"/>
    </row>
    <row r="151" spans="1:9" x14ac:dyDescent="0.25">
      <c r="A151" s="288"/>
      <c r="B151" s="11" t="s">
        <v>461</v>
      </c>
      <c r="C151" s="5" t="s">
        <v>165</v>
      </c>
      <c r="D151" s="197" t="s">
        <v>444</v>
      </c>
      <c r="E151" s="169">
        <v>800</v>
      </c>
      <c r="F151" s="27">
        <f>E151/0.4</f>
        <v>2000</v>
      </c>
      <c r="G151" s="162" t="e">
        <f>F151+#REF!</f>
        <v>#REF!</v>
      </c>
      <c r="H151" s="5"/>
      <c r="I151" s="127"/>
    </row>
    <row r="152" spans="1:9" x14ac:dyDescent="0.25">
      <c r="A152" s="288"/>
      <c r="B152" s="11" t="s">
        <v>161</v>
      </c>
      <c r="C152" s="5" t="s">
        <v>52</v>
      </c>
      <c r="D152" s="197" t="s">
        <v>335</v>
      </c>
      <c r="E152" s="8">
        <v>1600</v>
      </c>
      <c r="F152" s="27"/>
      <c r="G152" s="162"/>
      <c r="H152" s="5"/>
      <c r="I152" s="127"/>
    </row>
    <row r="153" spans="1:9" x14ac:dyDescent="0.25">
      <c r="A153" s="288"/>
      <c r="B153" s="11" t="s">
        <v>462</v>
      </c>
      <c r="C153" s="5" t="s">
        <v>59</v>
      </c>
      <c r="D153" s="197" t="s">
        <v>463</v>
      </c>
      <c r="E153" s="8">
        <v>300</v>
      </c>
      <c r="F153" s="27"/>
      <c r="G153" s="162"/>
      <c r="H153" s="5"/>
      <c r="I153" s="127"/>
    </row>
    <row r="154" spans="1:9" x14ac:dyDescent="0.25">
      <c r="A154" s="288"/>
      <c r="B154" s="11" t="s">
        <v>464</v>
      </c>
      <c r="C154" s="5" t="s">
        <v>59</v>
      </c>
      <c r="D154" s="197" t="s">
        <v>465</v>
      </c>
      <c r="E154" s="8">
        <v>100</v>
      </c>
      <c r="F154" s="27"/>
      <c r="G154" s="162"/>
      <c r="H154" s="5"/>
      <c r="I154" s="127"/>
    </row>
    <row r="155" spans="1:9" ht="15.75" thickBot="1" x14ac:dyDescent="0.3">
      <c r="A155" s="289"/>
      <c r="B155" s="74" t="s">
        <v>466</v>
      </c>
      <c r="C155" s="9" t="s">
        <v>72</v>
      </c>
      <c r="D155" s="187" t="s">
        <v>467</v>
      </c>
      <c r="E155" s="10">
        <v>200</v>
      </c>
      <c r="F155" s="36"/>
      <c r="G155" s="163"/>
      <c r="H155" s="5"/>
      <c r="I155" s="127"/>
    </row>
    <row r="156" spans="1:9" x14ac:dyDescent="0.25">
      <c r="A156" s="233" t="s">
        <v>23</v>
      </c>
      <c r="B156" s="51" t="s">
        <v>36</v>
      </c>
      <c r="C156" s="13" t="s">
        <v>37</v>
      </c>
      <c r="D156" s="13" t="s">
        <v>38</v>
      </c>
      <c r="E156" s="168">
        <v>1500</v>
      </c>
      <c r="F156" s="25">
        <f>E156/0.125</f>
        <v>12000</v>
      </c>
      <c r="G156" s="156">
        <f>F156+E111</f>
        <v>12379</v>
      </c>
      <c r="H156" s="5"/>
      <c r="I156" s="2"/>
    </row>
    <row r="157" spans="1:9" x14ac:dyDescent="0.25">
      <c r="A157" s="234"/>
      <c r="B157" s="52" t="s">
        <v>25</v>
      </c>
      <c r="C157" s="12" t="s">
        <v>27</v>
      </c>
      <c r="D157" s="12" t="s">
        <v>29</v>
      </c>
      <c r="E157" s="153"/>
      <c r="F157" s="171">
        <v>0</v>
      </c>
      <c r="G157" s="158">
        <f>F157+E107</f>
        <v>160</v>
      </c>
      <c r="H157" s="5"/>
      <c r="I157" s="2"/>
    </row>
    <row r="158" spans="1:9" x14ac:dyDescent="0.25">
      <c r="A158" s="234"/>
      <c r="B158" s="52" t="s">
        <v>26</v>
      </c>
      <c r="C158" s="12" t="s">
        <v>28</v>
      </c>
      <c r="D158" s="12" t="s">
        <v>30</v>
      </c>
      <c r="E158" s="153"/>
      <c r="F158" s="171">
        <v>0</v>
      </c>
      <c r="G158" s="158">
        <f>F158+E108</f>
        <v>155</v>
      </c>
      <c r="H158" s="5"/>
      <c r="I158" s="2"/>
    </row>
    <row r="159" spans="1:9" x14ac:dyDescent="0.25">
      <c r="A159" s="235"/>
      <c r="B159" s="27" t="s">
        <v>352</v>
      </c>
      <c r="C159" s="5" t="s">
        <v>37</v>
      </c>
      <c r="D159" s="5" t="s">
        <v>353</v>
      </c>
      <c r="E159" s="8">
        <v>100</v>
      </c>
      <c r="F159" s="27"/>
      <c r="G159" s="27"/>
      <c r="H159" s="5"/>
    </row>
    <row r="160" spans="1:9" x14ac:dyDescent="0.25">
      <c r="A160" s="235"/>
      <c r="B160" s="27" t="s">
        <v>354</v>
      </c>
      <c r="C160" s="5" t="s">
        <v>37</v>
      </c>
      <c r="D160" s="5" t="s">
        <v>355</v>
      </c>
      <c r="E160" s="8">
        <v>500</v>
      </c>
      <c r="F160" s="27"/>
      <c r="G160" s="27"/>
      <c r="H160" s="5"/>
    </row>
    <row r="161" spans="1:10" x14ac:dyDescent="0.25">
      <c r="A161" s="235"/>
      <c r="B161" s="27" t="s">
        <v>356</v>
      </c>
      <c r="C161" s="5" t="s">
        <v>37</v>
      </c>
      <c r="D161" s="5" t="s">
        <v>357</v>
      </c>
      <c r="E161" s="8">
        <v>100</v>
      </c>
      <c r="F161" s="27"/>
      <c r="G161" s="27"/>
      <c r="H161" s="5"/>
    </row>
    <row r="162" spans="1:10" x14ac:dyDescent="0.25">
      <c r="A162" s="235"/>
      <c r="B162" s="27" t="s">
        <v>359</v>
      </c>
      <c r="C162" s="5" t="s">
        <v>37</v>
      </c>
      <c r="D162" s="5" t="s">
        <v>358</v>
      </c>
      <c r="E162" s="8">
        <v>50</v>
      </c>
      <c r="F162" s="27"/>
      <c r="G162" s="27"/>
      <c r="H162" s="5"/>
    </row>
    <row r="163" spans="1:10" x14ac:dyDescent="0.25">
      <c r="A163" s="235"/>
      <c r="B163" s="27" t="s">
        <v>361</v>
      </c>
      <c r="C163" s="5" t="s">
        <v>83</v>
      </c>
      <c r="D163" s="5" t="s">
        <v>363</v>
      </c>
      <c r="E163" s="8">
        <v>40</v>
      </c>
      <c r="F163" s="27"/>
      <c r="G163" s="27"/>
      <c r="H163" s="5"/>
    </row>
    <row r="164" spans="1:10" x14ac:dyDescent="0.25">
      <c r="A164" s="235"/>
      <c r="B164" s="27" t="s">
        <v>362</v>
      </c>
      <c r="C164" s="5" t="s">
        <v>83</v>
      </c>
      <c r="D164" s="5" t="s">
        <v>360</v>
      </c>
      <c r="E164" s="8">
        <v>50</v>
      </c>
      <c r="F164" s="27"/>
      <c r="G164" s="27"/>
      <c r="H164" s="5"/>
    </row>
    <row r="165" spans="1:10" x14ac:dyDescent="0.25">
      <c r="A165" s="235"/>
      <c r="B165" s="27" t="s">
        <v>365</v>
      </c>
      <c r="C165" s="5" t="s">
        <v>83</v>
      </c>
      <c r="D165" s="5" t="s">
        <v>364</v>
      </c>
      <c r="E165" s="8">
        <v>100</v>
      </c>
      <c r="F165" s="27"/>
      <c r="G165" s="27"/>
      <c r="H165" s="5"/>
    </row>
    <row r="166" spans="1:10" ht="15.75" thickBot="1" x14ac:dyDescent="0.3">
      <c r="A166" s="284"/>
      <c r="B166" s="28" t="s">
        <v>367</v>
      </c>
      <c r="C166" s="6" t="s">
        <v>83</v>
      </c>
      <c r="D166" s="6" t="s">
        <v>366</v>
      </c>
      <c r="E166" s="16">
        <v>100</v>
      </c>
      <c r="F166" s="36"/>
      <c r="G166" s="36"/>
      <c r="H166" s="5"/>
    </row>
    <row r="167" spans="1:10" x14ac:dyDescent="0.25">
      <c r="A167" s="276" t="s">
        <v>19</v>
      </c>
      <c r="B167" s="150" t="s">
        <v>126</v>
      </c>
      <c r="C167" s="30" t="s">
        <v>55</v>
      </c>
      <c r="D167" s="30">
        <v>844886</v>
      </c>
      <c r="E167" s="172">
        <v>720</v>
      </c>
      <c r="F167" s="25">
        <f>E167/0.48</f>
        <v>1500</v>
      </c>
      <c r="G167" s="25">
        <f>F167+E59</f>
        <v>1540</v>
      </c>
      <c r="H167" s="5"/>
      <c r="J167" t="s">
        <v>530</v>
      </c>
    </row>
    <row r="168" spans="1:10" x14ac:dyDescent="0.25">
      <c r="A168" s="245"/>
      <c r="B168" s="145" t="s">
        <v>127</v>
      </c>
      <c r="C168" s="27" t="s">
        <v>55</v>
      </c>
      <c r="D168" s="27">
        <v>844887</v>
      </c>
      <c r="E168" s="167">
        <v>720</v>
      </c>
      <c r="F168" s="27">
        <f>E168/0.12</f>
        <v>6000</v>
      </c>
      <c r="G168" s="27">
        <f>F168+E60</f>
        <v>6151</v>
      </c>
      <c r="H168" s="5"/>
      <c r="J168" t="s">
        <v>530</v>
      </c>
    </row>
    <row r="169" spans="1:10" x14ac:dyDescent="0.25">
      <c r="A169" s="245"/>
      <c r="B169" s="145" t="s">
        <v>176</v>
      </c>
      <c r="C169" s="27" t="s">
        <v>177</v>
      </c>
      <c r="D169" s="27" t="s">
        <v>178</v>
      </c>
      <c r="E169" s="166"/>
      <c r="F169" s="171">
        <v>6000</v>
      </c>
      <c r="G169" s="27">
        <f>F169+E61</f>
        <v>12046</v>
      </c>
      <c r="H169" s="24"/>
    </row>
    <row r="170" spans="1:10" x14ac:dyDescent="0.25">
      <c r="A170" s="245"/>
      <c r="B170" s="27" t="s">
        <v>492</v>
      </c>
      <c r="C170" s="27" t="s">
        <v>37</v>
      </c>
      <c r="D170" s="27" t="s">
        <v>493</v>
      </c>
      <c r="E170" s="5">
        <v>100</v>
      </c>
      <c r="F170" s="27"/>
      <c r="G170" s="27"/>
      <c r="H170" s="24"/>
    </row>
    <row r="171" spans="1:10" x14ac:dyDescent="0.25">
      <c r="A171" s="245"/>
      <c r="B171" s="27" t="s">
        <v>501</v>
      </c>
      <c r="C171" s="27" t="s">
        <v>59</v>
      </c>
      <c r="D171" s="27" t="s">
        <v>494</v>
      </c>
      <c r="E171" s="167">
        <v>50</v>
      </c>
      <c r="F171" s="27">
        <v>100</v>
      </c>
      <c r="G171" s="27"/>
      <c r="H171" s="24"/>
    </row>
    <row r="172" spans="1:10" x14ac:dyDescent="0.25">
      <c r="A172" s="245"/>
      <c r="B172" s="27" t="s">
        <v>500</v>
      </c>
      <c r="C172" s="27" t="s">
        <v>59</v>
      </c>
      <c r="D172" s="27" t="s">
        <v>495</v>
      </c>
      <c r="E172" s="5">
        <v>0</v>
      </c>
      <c r="F172" s="27"/>
      <c r="G172" s="27"/>
      <c r="H172" s="24"/>
    </row>
    <row r="173" spans="1:10" x14ac:dyDescent="0.25">
      <c r="A173" s="245"/>
      <c r="B173" s="27" t="s">
        <v>496</v>
      </c>
      <c r="C173" s="27" t="s">
        <v>72</v>
      </c>
      <c r="D173" s="27" t="s">
        <v>497</v>
      </c>
      <c r="E173" s="5">
        <v>20</v>
      </c>
      <c r="F173" s="27"/>
      <c r="G173" s="27"/>
      <c r="H173" s="24"/>
    </row>
    <row r="174" spans="1:10" x14ac:dyDescent="0.25">
      <c r="A174" s="245"/>
      <c r="B174" s="27" t="s">
        <v>498</v>
      </c>
      <c r="C174" s="27" t="s">
        <v>72</v>
      </c>
      <c r="D174" s="27" t="s">
        <v>499</v>
      </c>
      <c r="E174" s="5">
        <v>100</v>
      </c>
      <c r="F174" s="27"/>
      <c r="G174" s="27"/>
      <c r="H174" s="24"/>
    </row>
    <row r="175" spans="1:10" ht="15.75" thickBot="1" x14ac:dyDescent="0.3">
      <c r="A175" s="277"/>
      <c r="B175" s="28" t="s">
        <v>368</v>
      </c>
      <c r="C175" s="28" t="s">
        <v>37</v>
      </c>
      <c r="D175" s="28" t="s">
        <v>369</v>
      </c>
      <c r="E175" s="6">
        <v>100</v>
      </c>
      <c r="F175" s="36"/>
      <c r="G175" s="36"/>
      <c r="H175" s="24"/>
    </row>
    <row r="176" spans="1:10" x14ac:dyDescent="0.25">
      <c r="A176" s="227" t="s">
        <v>372</v>
      </c>
      <c r="B176" s="30" t="s">
        <v>373</v>
      </c>
      <c r="C176" s="4" t="s">
        <v>37</v>
      </c>
      <c r="D176" s="4" t="s">
        <v>374</v>
      </c>
      <c r="E176" s="7">
        <v>1000</v>
      </c>
      <c r="F176" s="25"/>
      <c r="G176" s="25"/>
      <c r="H176" s="24"/>
    </row>
    <row r="177" spans="1:8" x14ac:dyDescent="0.25">
      <c r="A177" s="228"/>
      <c r="B177" s="27" t="s">
        <v>375</v>
      </c>
      <c r="C177" s="5" t="s">
        <v>59</v>
      </c>
      <c r="D177" s="5" t="s">
        <v>376</v>
      </c>
      <c r="E177" s="8">
        <v>50</v>
      </c>
      <c r="F177" s="27"/>
      <c r="G177" s="27"/>
      <c r="H177" s="24"/>
    </row>
    <row r="178" spans="1:8" x14ac:dyDescent="0.25">
      <c r="A178" s="228"/>
      <c r="B178" s="27" t="s">
        <v>394</v>
      </c>
      <c r="C178" s="5" t="s">
        <v>37</v>
      </c>
      <c r="D178" s="5" t="s">
        <v>395</v>
      </c>
      <c r="E178" s="8">
        <v>200</v>
      </c>
      <c r="F178" s="27"/>
      <c r="G178" s="27"/>
      <c r="H178" s="24"/>
    </row>
    <row r="179" spans="1:8" x14ac:dyDescent="0.25">
      <c r="A179" s="228"/>
      <c r="B179" s="27" t="s">
        <v>396</v>
      </c>
      <c r="C179" s="5" t="s">
        <v>37</v>
      </c>
      <c r="D179" s="5" t="s">
        <v>397</v>
      </c>
      <c r="E179" s="8">
        <v>500</v>
      </c>
      <c r="F179" s="27"/>
      <c r="G179" s="27"/>
      <c r="H179" s="24"/>
    </row>
    <row r="180" spans="1:8" x14ac:dyDescent="0.25">
      <c r="A180" s="228"/>
      <c r="B180" s="27" t="s">
        <v>398</v>
      </c>
      <c r="C180" s="5" t="s">
        <v>77</v>
      </c>
      <c r="D180" s="5" t="s">
        <v>399</v>
      </c>
      <c r="E180" s="8">
        <v>1000</v>
      </c>
      <c r="F180" s="27"/>
      <c r="G180" s="27"/>
      <c r="H180" s="24"/>
    </row>
    <row r="181" spans="1:8" x14ac:dyDescent="0.25">
      <c r="A181" s="228"/>
      <c r="B181" s="27" t="s">
        <v>401</v>
      </c>
      <c r="C181" s="5" t="s">
        <v>77</v>
      </c>
      <c r="D181" s="5" t="s">
        <v>400</v>
      </c>
      <c r="E181" s="8">
        <v>1000</v>
      </c>
      <c r="F181" s="27"/>
      <c r="G181" s="27"/>
      <c r="H181" s="24"/>
    </row>
    <row r="182" spans="1:8" ht="15.75" thickBot="1" x14ac:dyDescent="0.3">
      <c r="A182" s="229"/>
      <c r="B182" s="28" t="s">
        <v>402</v>
      </c>
      <c r="C182" s="6" t="s">
        <v>77</v>
      </c>
      <c r="D182" s="6" t="s">
        <v>403</v>
      </c>
      <c r="E182" s="16">
        <v>500</v>
      </c>
      <c r="F182" s="36"/>
      <c r="G182" s="36"/>
      <c r="H182" s="24"/>
    </row>
    <row r="183" spans="1:8" x14ac:dyDescent="0.25">
      <c r="A183" s="233" t="s">
        <v>377</v>
      </c>
      <c r="B183" s="25" t="s">
        <v>385</v>
      </c>
      <c r="C183" s="17" t="s">
        <v>72</v>
      </c>
      <c r="D183" s="17" t="s">
        <v>386</v>
      </c>
      <c r="E183" s="18">
        <v>80</v>
      </c>
      <c r="F183" s="25"/>
      <c r="G183" s="25"/>
      <c r="H183" s="24"/>
    </row>
    <row r="184" spans="1:8" x14ac:dyDescent="0.25">
      <c r="A184" s="235"/>
      <c r="B184" s="27" t="s">
        <v>387</v>
      </c>
      <c r="C184" s="5" t="s">
        <v>72</v>
      </c>
      <c r="D184" s="5" t="s">
        <v>388</v>
      </c>
      <c r="E184" s="8">
        <v>60</v>
      </c>
      <c r="F184" s="27"/>
      <c r="G184" s="27"/>
      <c r="H184" s="24"/>
    </row>
    <row r="185" spans="1:8" x14ac:dyDescent="0.25">
      <c r="A185" s="235"/>
      <c r="B185" s="27" t="s">
        <v>389</v>
      </c>
      <c r="C185" s="5" t="s">
        <v>49</v>
      </c>
      <c r="D185" s="5">
        <v>31410</v>
      </c>
      <c r="E185" s="151"/>
      <c r="F185" s="27">
        <v>2000</v>
      </c>
      <c r="G185" s="27"/>
      <c r="H185" s="24"/>
    </row>
    <row r="186" spans="1:8" x14ac:dyDescent="0.25">
      <c r="A186" s="235"/>
      <c r="B186" s="27" t="s">
        <v>390</v>
      </c>
      <c r="C186" s="5" t="s">
        <v>55</v>
      </c>
      <c r="D186" s="5" t="s">
        <v>391</v>
      </c>
      <c r="E186" s="8">
        <v>50</v>
      </c>
      <c r="F186" s="27"/>
      <c r="G186" s="27"/>
      <c r="H186" s="24"/>
    </row>
    <row r="187" spans="1:8" ht="15.75" thickBot="1" x14ac:dyDescent="0.3">
      <c r="A187" s="284"/>
      <c r="B187" s="28" t="s">
        <v>393</v>
      </c>
      <c r="C187" s="6" t="s">
        <v>55</v>
      </c>
      <c r="D187" s="6" t="s">
        <v>392</v>
      </c>
      <c r="E187" s="16">
        <v>100</v>
      </c>
      <c r="F187" s="36"/>
      <c r="G187" s="36"/>
      <c r="H187" s="24"/>
    </row>
    <row r="188" spans="1:8" x14ac:dyDescent="0.25">
      <c r="A188" s="227" t="s">
        <v>380</v>
      </c>
      <c r="B188" s="25" t="s">
        <v>381</v>
      </c>
      <c r="C188" s="17" t="s">
        <v>72</v>
      </c>
      <c r="D188" s="17" t="s">
        <v>382</v>
      </c>
      <c r="E188" s="18">
        <v>100</v>
      </c>
      <c r="F188" s="25"/>
      <c r="G188" s="25"/>
      <c r="H188" s="24"/>
    </row>
    <row r="189" spans="1:8" ht="15.75" thickBot="1" x14ac:dyDescent="0.3">
      <c r="A189" s="229"/>
      <c r="B189" s="28" t="s">
        <v>383</v>
      </c>
      <c r="C189" s="6" t="s">
        <v>37</v>
      </c>
      <c r="D189" s="6" t="s">
        <v>384</v>
      </c>
      <c r="E189" s="16">
        <v>25</v>
      </c>
      <c r="F189" s="28"/>
      <c r="G189" s="28"/>
      <c r="H189" s="57"/>
    </row>
    <row r="190" spans="1:8" x14ac:dyDescent="0.25">
      <c r="A190" s="129"/>
      <c r="B190" s="125"/>
      <c r="C190" s="125"/>
      <c r="D190" s="125"/>
      <c r="E190" s="125"/>
      <c r="F190" s="124"/>
    </row>
    <row r="191" spans="1:8" x14ac:dyDescent="0.25">
      <c r="A191" s="129"/>
      <c r="B191" s="125"/>
      <c r="C191" s="125"/>
      <c r="D191" s="125"/>
      <c r="E191" s="125"/>
      <c r="F191" s="124"/>
    </row>
    <row r="192" spans="1:8" x14ac:dyDescent="0.25">
      <c r="A192" s="129"/>
      <c r="B192" s="125"/>
      <c r="C192" s="125"/>
      <c r="D192" s="125"/>
      <c r="E192" s="125"/>
      <c r="F192" s="124"/>
    </row>
    <row r="193" spans="1:6" x14ac:dyDescent="0.25">
      <c r="A193" s="129"/>
      <c r="B193" s="125"/>
      <c r="C193" s="125"/>
      <c r="D193" s="125"/>
      <c r="E193" s="125"/>
      <c r="F193" s="124"/>
    </row>
    <row r="194" spans="1:6" x14ac:dyDescent="0.25">
      <c r="A194" s="129"/>
      <c r="B194" s="125"/>
      <c r="C194" s="125"/>
      <c r="D194" s="125"/>
      <c r="E194" s="125"/>
      <c r="F194" s="124"/>
    </row>
    <row r="195" spans="1:6" x14ac:dyDescent="0.25">
      <c r="A195" s="124"/>
      <c r="B195" s="124"/>
      <c r="C195" s="124"/>
      <c r="D195" s="124"/>
      <c r="E195" s="124"/>
      <c r="F195" s="124"/>
    </row>
  </sheetData>
  <mergeCells count="43">
    <mergeCell ref="A118:F118"/>
    <mergeCell ref="A183:A187"/>
    <mergeCell ref="A122:A123"/>
    <mergeCell ref="A176:A182"/>
    <mergeCell ref="A188:A189"/>
    <mergeCell ref="A156:A166"/>
    <mergeCell ref="A142:A143"/>
    <mergeCell ref="A136:A137"/>
    <mergeCell ref="A167:A175"/>
    <mergeCell ref="A138:A141"/>
    <mergeCell ref="A144:A155"/>
    <mergeCell ref="A134:A135"/>
    <mergeCell ref="A124:A133"/>
    <mergeCell ref="A120:A121"/>
    <mergeCell ref="F111:F114"/>
    <mergeCell ref="F82:F85"/>
    <mergeCell ref="A102:A106"/>
    <mergeCell ref="A78:A86"/>
    <mergeCell ref="F78:F81"/>
    <mergeCell ref="F107:F110"/>
    <mergeCell ref="A97:A101"/>
    <mergeCell ref="F87:F90"/>
    <mergeCell ref="A107:A117"/>
    <mergeCell ref="F115:F117"/>
    <mergeCell ref="A87:A96"/>
    <mergeCell ref="F91:F94"/>
    <mergeCell ref="G29:I29"/>
    <mergeCell ref="B1:E1"/>
    <mergeCell ref="B12:E12"/>
    <mergeCell ref="A29:F29"/>
    <mergeCell ref="F19:F26"/>
    <mergeCell ref="F67:F69"/>
    <mergeCell ref="F70:F72"/>
    <mergeCell ref="F73:F76"/>
    <mergeCell ref="A31:A34"/>
    <mergeCell ref="A35:A39"/>
    <mergeCell ref="A53:A58"/>
    <mergeCell ref="A59:A66"/>
    <mergeCell ref="F45:F46"/>
    <mergeCell ref="A40:A48"/>
    <mergeCell ref="A49:A52"/>
    <mergeCell ref="A67:A77"/>
    <mergeCell ref="F42:F44"/>
  </mergeCells>
  <phoneticPr fontId="2" type="noConversion"/>
  <conditionalFormatting sqref="E19:E27">
    <cfRule type="colorScale" priority="7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E6:E7">
    <cfRule type="colorScale" priority="72">
      <colorScale>
        <cfvo type="num" val="50"/>
        <cfvo type="num" val="100"/>
        <cfvo type="num" val="150"/>
        <color rgb="FFF8696B"/>
        <color rgb="FFFFEB84"/>
        <color rgb="FF63BE7B"/>
      </colorScale>
    </cfRule>
  </conditionalFormatting>
  <conditionalFormatting sqref="E3">
    <cfRule type="colorScale" priority="71">
      <colorScale>
        <cfvo type="num" val="100"/>
        <cfvo type="num" val="200"/>
        <cfvo type="num" val="300"/>
        <color rgb="FFF8696B"/>
        <color rgb="FFFFEB84"/>
        <color rgb="FF63BE7B"/>
      </colorScale>
    </cfRule>
  </conditionalFormatting>
  <conditionalFormatting sqref="E4">
    <cfRule type="colorScale" priority="70">
      <colorScale>
        <cfvo type="num" val="25"/>
        <cfvo type="num" val="50"/>
        <cfvo type="num" val="100"/>
        <color rgb="FFF8696B"/>
        <color rgb="FFFFEB84"/>
        <color rgb="FF63BE7B"/>
      </colorScale>
    </cfRule>
  </conditionalFormatting>
  <conditionalFormatting sqref="E5">
    <cfRule type="colorScale" priority="69">
      <colorScale>
        <cfvo type="num" val="50"/>
        <cfvo type="num" val="100"/>
        <cfvo type="num" val="150"/>
        <color rgb="FFF8696B"/>
        <color rgb="FFFFEB84"/>
        <color rgb="FF63BE7B"/>
      </colorScale>
    </cfRule>
  </conditionalFormatting>
  <conditionalFormatting sqref="E18">
    <cfRule type="colorScale" priority="67">
      <colorScale>
        <cfvo type="num" val="200"/>
        <cfvo type="num" val="500"/>
        <cfvo type="num" val="1000"/>
        <color rgb="FFF8696B"/>
        <color rgb="FFFFEB84"/>
        <color rgb="FF63BE7B"/>
      </colorScale>
    </cfRule>
  </conditionalFormatting>
  <conditionalFormatting sqref="E15:F15">
    <cfRule type="colorScale" priority="66">
      <colorScale>
        <cfvo type="num" val="2"/>
        <cfvo type="num" val="5"/>
        <cfvo type="num" val="8"/>
        <color rgb="FFF8696B"/>
        <color rgb="FFFFEB84"/>
        <color rgb="FF63BE7B"/>
      </colorScale>
    </cfRule>
  </conditionalFormatting>
  <conditionalFormatting sqref="E16:E17">
    <cfRule type="colorScale" priority="65">
      <colorScale>
        <cfvo type="num" val="100"/>
        <cfvo type="num" val="300"/>
        <cfvo type="num" val="500"/>
        <color rgb="FFF8696B"/>
        <color rgb="FFFFEB84"/>
        <color rgb="FF63BE7B"/>
      </colorScale>
    </cfRule>
  </conditionalFormatting>
  <conditionalFormatting sqref="E14">
    <cfRule type="colorScale" priority="64">
      <colorScale>
        <cfvo type="num" val="0.2"/>
        <cfvo type="num" val="0.4"/>
        <cfvo type="num" val="0.6"/>
        <color rgb="FFF8696B"/>
        <color rgb="FFFFEB84"/>
        <color rgb="FF63BE7B"/>
      </colorScale>
    </cfRule>
  </conditionalFormatting>
  <conditionalFormatting sqref="E9:E10">
    <cfRule type="colorScale" priority="6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E8:F8">
    <cfRule type="colorScale" priority="62">
      <colorScale>
        <cfvo type="num" val="100"/>
        <cfvo type="num" val="150"/>
        <cfvo type="num" val="200"/>
        <color rgb="FFF8696B"/>
        <color rgb="FFFFEB84"/>
        <color rgb="FF63BE7B"/>
      </colorScale>
    </cfRule>
  </conditionalFormatting>
  <conditionalFormatting sqref="G126">
    <cfRule type="cellIs" dxfId="46" priority="53" operator="between">
      <formula>1864</formula>
      <formula>2794</formula>
    </cfRule>
    <cfRule type="cellIs" dxfId="45" priority="54" operator="lessThan">
      <formula>1863</formula>
    </cfRule>
  </conditionalFormatting>
  <conditionalFormatting sqref="G124:G125">
    <cfRule type="cellIs" dxfId="44" priority="51" operator="between">
      <formula>932</formula>
      <formula>1398</formula>
    </cfRule>
    <cfRule type="cellIs" dxfId="43" priority="52" operator="lessThan">
      <formula>932</formula>
    </cfRule>
  </conditionalFormatting>
  <conditionalFormatting sqref="G131:G132">
    <cfRule type="cellIs" dxfId="42" priority="49" operator="between">
      <formula>1864</formula>
      <formula>2794</formula>
    </cfRule>
    <cfRule type="cellIs" dxfId="41" priority="50" operator="lessThan">
      <formula>1863</formula>
    </cfRule>
  </conditionalFormatting>
  <conditionalFormatting sqref="G129:G130">
    <cfRule type="cellIs" dxfId="40" priority="47" operator="between">
      <formula>932</formula>
      <formula>1398</formula>
    </cfRule>
    <cfRule type="cellIs" dxfId="39" priority="48" operator="lessThan">
      <formula>932</formula>
    </cfRule>
  </conditionalFormatting>
  <conditionalFormatting sqref="G138">
    <cfRule type="cellIs" dxfId="38" priority="45" operator="between">
      <formula>228</formula>
      <formula>341</formula>
    </cfRule>
    <cfRule type="cellIs" dxfId="37" priority="46" operator="lessThan">
      <formula>228</formula>
    </cfRule>
  </conditionalFormatting>
  <conditionalFormatting sqref="G139">
    <cfRule type="cellIs" dxfId="36" priority="43" operator="between">
      <formula>47</formula>
      <formula>70</formula>
    </cfRule>
    <cfRule type="cellIs" dxfId="35" priority="44" operator="lessThan">
      <formula>47</formula>
    </cfRule>
  </conditionalFormatting>
  <conditionalFormatting sqref="G141">
    <cfRule type="cellIs" dxfId="34" priority="41" operator="between">
      <formula>131</formula>
      <formula>196</formula>
    </cfRule>
    <cfRule type="cellIs" dxfId="33" priority="42" operator="lessThan">
      <formula>131</formula>
    </cfRule>
  </conditionalFormatting>
  <conditionalFormatting sqref="G142">
    <cfRule type="cellIs" dxfId="32" priority="39" operator="between">
      <formula>460</formula>
      <formula>689</formula>
    </cfRule>
    <cfRule type="cellIs" dxfId="31" priority="40" operator="lessThan">
      <formula>460</formula>
    </cfRule>
  </conditionalFormatting>
  <conditionalFormatting sqref="G143">
    <cfRule type="cellIs" dxfId="30" priority="37" operator="between">
      <formula>46</formula>
      <formula>69</formula>
    </cfRule>
    <cfRule type="cellIs" dxfId="29" priority="38" operator="lessThan">
      <formula>46</formula>
    </cfRule>
  </conditionalFormatting>
  <conditionalFormatting sqref="G144">
    <cfRule type="cellIs" dxfId="28" priority="35" operator="between">
      <formula>462</formula>
      <formula>693</formula>
    </cfRule>
    <cfRule type="cellIs" dxfId="27" priority="36" operator="lessThan">
      <formula>462</formula>
    </cfRule>
  </conditionalFormatting>
  <conditionalFormatting sqref="G145">
    <cfRule type="cellIs" dxfId="26" priority="31" operator="between">
      <formula>47</formula>
      <formula>70</formula>
    </cfRule>
    <cfRule type="cellIs" dxfId="25" priority="32" operator="lessThan">
      <formula>47</formula>
    </cfRule>
    <cfRule type="cellIs" dxfId="24" priority="33" operator="between">
      <formula>47</formula>
      <formula>70</formula>
    </cfRule>
  </conditionalFormatting>
  <conditionalFormatting sqref="G146">
    <cfRule type="cellIs" dxfId="23" priority="28" operator="between">
      <formula>292</formula>
      <formula>437</formula>
    </cfRule>
    <cfRule type="cellIs" dxfId="22" priority="30" operator="lessThan">
      <formula>292</formula>
    </cfRule>
  </conditionalFormatting>
  <conditionalFormatting sqref="G148">
    <cfRule type="cellIs" dxfId="21" priority="26" operator="between">
      <formula>1801</formula>
      <formula>2702</formula>
    </cfRule>
    <cfRule type="cellIs" dxfId="20" priority="27" operator="lessThan">
      <formula>1801</formula>
    </cfRule>
  </conditionalFormatting>
  <conditionalFormatting sqref="G151">
    <cfRule type="cellIs" dxfId="19" priority="21" operator="between">
      <formula>995.67</formula>
      <formula>1493.505</formula>
    </cfRule>
    <cfRule type="cellIs" dxfId="18" priority="23" operator="lessThan">
      <formula>995.67</formula>
    </cfRule>
  </conditionalFormatting>
  <conditionalFormatting sqref="G150">
    <cfRule type="cellIs" dxfId="17" priority="19" operator="between">
      <formula>323</formula>
      <formula>485</formula>
    </cfRule>
    <cfRule type="cellIs" dxfId="16" priority="20" operator="lessThan">
      <formula>323</formula>
    </cfRule>
  </conditionalFormatting>
  <conditionalFormatting sqref="G156">
    <cfRule type="cellIs" dxfId="15" priority="16" operator="between">
      <formula>2232</formula>
      <formula>3348</formula>
    </cfRule>
    <cfRule type="cellIs" dxfId="14" priority="18" operator="lessThan">
      <formula>2232</formula>
    </cfRule>
  </conditionalFormatting>
  <conditionalFormatting sqref="G157">
    <cfRule type="cellIs" dxfId="13" priority="14" operator="between">
      <formula>40.8</formula>
      <formula>61.2</formula>
    </cfRule>
    <cfRule type="cellIs" dxfId="12" priority="15" operator="lessThan">
      <formula>40.8</formula>
    </cfRule>
  </conditionalFormatting>
  <conditionalFormatting sqref="G158">
    <cfRule type="cellIs" dxfId="11" priority="12" operator="between">
      <formula>13.8</formula>
      <formula>20.7</formula>
    </cfRule>
    <cfRule type="cellIs" dxfId="10" priority="13" operator="lessThan">
      <formula>13.8</formula>
    </cfRule>
  </conditionalFormatting>
  <conditionalFormatting sqref="G136">
    <cfRule type="cellIs" dxfId="9" priority="9" operator="between">
      <formula>61.2</formula>
      <formula>91.8</formula>
    </cfRule>
    <cfRule type="cellIs" dxfId="8" priority="11" operator="lessThan">
      <formula>61.2</formula>
    </cfRule>
  </conditionalFormatting>
  <conditionalFormatting sqref="G137">
    <cfRule type="cellIs" dxfId="7" priority="7" operator="between">
      <formula>188.4</formula>
      <formula>282.6</formula>
    </cfRule>
    <cfRule type="cellIs" dxfId="6" priority="8" operator="lessThan">
      <formula>188.4</formula>
    </cfRule>
  </conditionalFormatting>
  <conditionalFormatting sqref="G167">
    <cfRule type="cellIs" dxfId="5" priority="5" operator="between">
      <formula>345</formula>
      <formula>518</formula>
    </cfRule>
    <cfRule type="cellIs" dxfId="4" priority="6" operator="lessThan">
      <formula>345</formula>
    </cfRule>
  </conditionalFormatting>
  <conditionalFormatting sqref="G168">
    <cfRule type="cellIs" dxfId="3" priority="3" operator="between">
      <formula>4140</formula>
      <formula>6210</formula>
    </cfRule>
    <cfRule type="cellIs" dxfId="2" priority="4" operator="lessThan">
      <formula>4140</formula>
    </cfRule>
  </conditionalFormatting>
  <conditionalFormatting sqref="G169">
    <cfRule type="cellIs" dxfId="1" priority="1" operator="between">
      <formula>4416</formula>
      <formula>6624</formula>
    </cfRule>
    <cfRule type="cellIs" dxfId="0" priority="2" operator="lessThan">
      <formula>4416</formula>
    </cfRule>
  </conditionalFormatting>
  <pageMargins left="0.25" right="0.25" top="0.75" bottom="0.75" header="0.3" footer="0.3"/>
  <pageSetup scale="2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AE2B-0A7D-4318-8084-544CB6C8FDC4}">
  <dimension ref="A1:E264"/>
  <sheetViews>
    <sheetView topLeftCell="A247" workbookViewId="0">
      <selection activeCell="D264" sqref="D264"/>
    </sheetView>
  </sheetViews>
  <sheetFormatPr defaultRowHeight="15" x14ac:dyDescent="0.25"/>
  <cols>
    <col min="1" max="1" width="10.5703125" bestFit="1" customWidth="1"/>
    <col min="2" max="2" width="26.140625" bestFit="1" customWidth="1"/>
    <col min="3" max="3" width="39.7109375" customWidth="1"/>
    <col min="4" max="4" width="12.140625" bestFit="1" customWidth="1"/>
  </cols>
  <sheetData>
    <row r="1" spans="1:5" x14ac:dyDescent="0.25">
      <c r="A1" s="29" t="s">
        <v>128</v>
      </c>
      <c r="B1" s="29" t="s">
        <v>130</v>
      </c>
      <c r="C1" s="29" t="s">
        <v>129</v>
      </c>
      <c r="D1" s="29" t="s">
        <v>131</v>
      </c>
      <c r="E1" s="29" t="s">
        <v>134</v>
      </c>
    </row>
    <row r="2" spans="1:5" x14ac:dyDescent="0.25">
      <c r="A2" s="58">
        <v>44370</v>
      </c>
      <c r="B2" t="s">
        <v>21</v>
      </c>
      <c r="C2" t="s">
        <v>132</v>
      </c>
      <c r="D2" t="s">
        <v>133</v>
      </c>
    </row>
    <row r="3" spans="1:5" x14ac:dyDescent="0.25">
      <c r="A3" s="58">
        <v>44370</v>
      </c>
      <c r="B3" t="s">
        <v>135</v>
      </c>
      <c r="C3" t="s">
        <v>136</v>
      </c>
      <c r="D3" t="s">
        <v>133</v>
      </c>
    </row>
    <row r="4" spans="1:5" x14ac:dyDescent="0.25">
      <c r="A4" s="58">
        <v>44374</v>
      </c>
      <c r="B4" t="s">
        <v>22</v>
      </c>
      <c r="C4" t="s">
        <v>137</v>
      </c>
      <c r="D4" t="s">
        <v>133</v>
      </c>
    </row>
    <row r="5" spans="1:5" x14ac:dyDescent="0.25">
      <c r="A5" s="58">
        <v>44374</v>
      </c>
      <c r="B5" t="s">
        <v>22</v>
      </c>
      <c r="C5" t="s">
        <v>138</v>
      </c>
      <c r="D5" t="s">
        <v>133</v>
      </c>
    </row>
    <row r="6" spans="1:5" x14ac:dyDescent="0.25">
      <c r="A6" s="58">
        <v>44376</v>
      </c>
      <c r="B6" t="s">
        <v>135</v>
      </c>
      <c r="C6" t="s">
        <v>139</v>
      </c>
      <c r="D6" t="s">
        <v>133</v>
      </c>
    </row>
    <row r="7" spans="1:5" x14ac:dyDescent="0.25">
      <c r="A7" s="58">
        <v>44374</v>
      </c>
      <c r="B7" t="s">
        <v>19</v>
      </c>
      <c r="C7" t="s">
        <v>141</v>
      </c>
      <c r="D7" t="s">
        <v>140</v>
      </c>
    </row>
    <row r="8" spans="1:5" x14ac:dyDescent="0.25">
      <c r="A8" s="58">
        <v>44374</v>
      </c>
      <c r="B8" t="s">
        <v>22</v>
      </c>
      <c r="C8" t="s">
        <v>142</v>
      </c>
      <c r="D8" t="s">
        <v>140</v>
      </c>
    </row>
    <row r="9" spans="1:5" x14ac:dyDescent="0.25">
      <c r="A9" s="58">
        <v>44376</v>
      </c>
      <c r="B9" t="s">
        <v>135</v>
      </c>
      <c r="C9" t="s">
        <v>143</v>
      </c>
      <c r="D9" t="s">
        <v>140</v>
      </c>
    </row>
    <row r="10" spans="1:5" x14ac:dyDescent="0.25">
      <c r="A10" s="58">
        <v>44377</v>
      </c>
      <c r="B10" t="s">
        <v>144</v>
      </c>
      <c r="C10" t="s">
        <v>145</v>
      </c>
      <c r="D10" t="s">
        <v>146</v>
      </c>
    </row>
    <row r="11" spans="1:5" x14ac:dyDescent="0.25">
      <c r="A11" s="58">
        <v>44379</v>
      </c>
      <c r="B11" t="s">
        <v>156</v>
      </c>
      <c r="C11" t="s">
        <v>158</v>
      </c>
      <c r="D11" t="s">
        <v>140</v>
      </c>
    </row>
    <row r="12" spans="1:5" x14ac:dyDescent="0.25">
      <c r="A12" s="58">
        <v>44379</v>
      </c>
      <c r="B12" t="s">
        <v>22</v>
      </c>
      <c r="C12" t="s">
        <v>138</v>
      </c>
      <c r="D12" t="s">
        <v>140</v>
      </c>
      <c r="E12" t="s">
        <v>157</v>
      </c>
    </row>
    <row r="13" spans="1:5" x14ac:dyDescent="0.25">
      <c r="A13" s="58">
        <v>44380</v>
      </c>
      <c r="B13" t="s">
        <v>135</v>
      </c>
      <c r="C13" t="s">
        <v>158</v>
      </c>
      <c r="D13" t="s">
        <v>140</v>
      </c>
    </row>
    <row r="14" spans="1:5" x14ac:dyDescent="0.25">
      <c r="A14" s="58">
        <v>44384</v>
      </c>
      <c r="B14" t="s">
        <v>20</v>
      </c>
      <c r="C14" t="s">
        <v>179</v>
      </c>
      <c r="D14" t="s">
        <v>140</v>
      </c>
      <c r="E14" t="s">
        <v>180</v>
      </c>
    </row>
    <row r="15" spans="1:5" x14ac:dyDescent="0.25">
      <c r="A15" s="58">
        <v>44385</v>
      </c>
      <c r="B15" t="s">
        <v>22</v>
      </c>
      <c r="C15" t="s">
        <v>181</v>
      </c>
      <c r="D15" t="s">
        <v>146</v>
      </c>
    </row>
    <row r="16" spans="1:5" x14ac:dyDescent="0.25">
      <c r="A16" s="58">
        <v>44386</v>
      </c>
      <c r="B16" t="s">
        <v>21</v>
      </c>
      <c r="C16" t="s">
        <v>182</v>
      </c>
      <c r="D16" t="s">
        <v>140</v>
      </c>
    </row>
    <row r="17" spans="1:5" x14ac:dyDescent="0.25">
      <c r="A17" s="58">
        <v>44386</v>
      </c>
      <c r="B17" t="s">
        <v>22</v>
      </c>
      <c r="C17" t="s">
        <v>183</v>
      </c>
      <c r="D17" t="s">
        <v>140</v>
      </c>
    </row>
    <row r="18" spans="1:5" x14ac:dyDescent="0.25">
      <c r="A18" s="58">
        <v>44386</v>
      </c>
      <c r="B18" t="s">
        <v>22</v>
      </c>
      <c r="C18" t="s">
        <v>184</v>
      </c>
      <c r="D18" t="s">
        <v>140</v>
      </c>
    </row>
    <row r="19" spans="1:5" x14ac:dyDescent="0.25">
      <c r="A19" s="58">
        <v>44386</v>
      </c>
      <c r="B19" t="s">
        <v>194</v>
      </c>
      <c r="C19" t="s">
        <v>181</v>
      </c>
      <c r="D19" t="s">
        <v>195</v>
      </c>
    </row>
    <row r="20" spans="1:5" x14ac:dyDescent="0.25">
      <c r="A20" s="58">
        <v>44388</v>
      </c>
      <c r="B20" t="s">
        <v>21</v>
      </c>
      <c r="C20" t="s">
        <v>188</v>
      </c>
      <c r="D20" t="s">
        <v>140</v>
      </c>
    </row>
    <row r="21" spans="1:5" x14ac:dyDescent="0.25">
      <c r="A21" s="58">
        <v>44388</v>
      </c>
      <c r="B21" t="s">
        <v>21</v>
      </c>
      <c r="C21" t="s">
        <v>188</v>
      </c>
      <c r="D21" t="s">
        <v>140</v>
      </c>
    </row>
    <row r="22" spans="1:5" x14ac:dyDescent="0.25">
      <c r="A22" s="58">
        <v>44389</v>
      </c>
      <c r="B22" t="s">
        <v>19</v>
      </c>
      <c r="C22" t="s">
        <v>185</v>
      </c>
      <c r="D22" t="s">
        <v>133</v>
      </c>
    </row>
    <row r="23" spans="1:5" x14ac:dyDescent="0.25">
      <c r="A23" s="58">
        <v>44389</v>
      </c>
      <c r="B23" t="s">
        <v>135</v>
      </c>
      <c r="C23" t="s">
        <v>186</v>
      </c>
      <c r="D23" t="s">
        <v>133</v>
      </c>
    </row>
    <row r="24" spans="1:5" x14ac:dyDescent="0.25">
      <c r="A24" s="58">
        <v>44389</v>
      </c>
      <c r="B24" t="s">
        <v>19</v>
      </c>
      <c r="C24" t="s">
        <v>187</v>
      </c>
      <c r="D24" t="s">
        <v>133</v>
      </c>
    </row>
    <row r="25" spans="1:5" x14ac:dyDescent="0.25">
      <c r="A25" s="58">
        <v>44391</v>
      </c>
      <c r="B25" t="s">
        <v>21</v>
      </c>
      <c r="C25" t="s">
        <v>182</v>
      </c>
      <c r="D25" t="s">
        <v>140</v>
      </c>
      <c r="E25" t="s">
        <v>190</v>
      </c>
    </row>
    <row r="26" spans="1:5" x14ac:dyDescent="0.25">
      <c r="A26" s="58">
        <v>44391</v>
      </c>
      <c r="B26" t="s">
        <v>196</v>
      </c>
      <c r="C26" t="s">
        <v>197</v>
      </c>
      <c r="D26" t="s">
        <v>146</v>
      </c>
    </row>
    <row r="27" spans="1:5" x14ac:dyDescent="0.25">
      <c r="A27" s="58">
        <v>44392</v>
      </c>
      <c r="B27" t="s">
        <v>22</v>
      </c>
      <c r="C27" t="s">
        <v>198</v>
      </c>
      <c r="D27" t="s">
        <v>140</v>
      </c>
    </row>
    <row r="28" spans="1:5" x14ac:dyDescent="0.25">
      <c r="A28" s="58">
        <v>44393</v>
      </c>
      <c r="B28" t="s">
        <v>135</v>
      </c>
      <c r="C28" t="s">
        <v>441</v>
      </c>
      <c r="D28" t="s">
        <v>140</v>
      </c>
    </row>
    <row r="29" spans="1:5" x14ac:dyDescent="0.25">
      <c r="A29" s="58">
        <v>44396</v>
      </c>
      <c r="B29" t="s">
        <v>20</v>
      </c>
      <c r="C29" t="s">
        <v>199</v>
      </c>
      <c r="D29" t="s">
        <v>133</v>
      </c>
    </row>
    <row r="30" spans="1:5" x14ac:dyDescent="0.25">
      <c r="A30" s="58">
        <v>44396</v>
      </c>
      <c r="B30" t="s">
        <v>21</v>
      </c>
      <c r="C30" t="s">
        <v>200</v>
      </c>
      <c r="D30" t="s">
        <v>133</v>
      </c>
    </row>
    <row r="31" spans="1:5" x14ac:dyDescent="0.25">
      <c r="A31" s="58">
        <v>44398</v>
      </c>
      <c r="B31" t="s">
        <v>201</v>
      </c>
      <c r="C31" t="s">
        <v>202</v>
      </c>
      <c r="D31" t="s">
        <v>140</v>
      </c>
    </row>
    <row r="32" spans="1:5" x14ac:dyDescent="0.25">
      <c r="A32" s="58">
        <v>44399</v>
      </c>
      <c r="B32" t="s">
        <v>203</v>
      </c>
      <c r="C32" t="s">
        <v>204</v>
      </c>
      <c r="D32" t="s">
        <v>140</v>
      </c>
    </row>
    <row r="33" spans="1:5" x14ac:dyDescent="0.25">
      <c r="A33" s="58">
        <v>44400</v>
      </c>
      <c r="B33" t="s">
        <v>135</v>
      </c>
      <c r="C33" t="s">
        <v>205</v>
      </c>
      <c r="D33" t="s">
        <v>140</v>
      </c>
    </row>
    <row r="34" spans="1:5" x14ac:dyDescent="0.25">
      <c r="A34" s="58">
        <v>44401</v>
      </c>
      <c r="B34" t="s">
        <v>203</v>
      </c>
      <c r="C34" t="s">
        <v>206</v>
      </c>
      <c r="D34" t="s">
        <v>140</v>
      </c>
    </row>
    <row r="35" spans="1:5" x14ac:dyDescent="0.25">
      <c r="A35" s="58">
        <v>44405</v>
      </c>
      <c r="B35" t="s">
        <v>22</v>
      </c>
      <c r="C35" t="s">
        <v>207</v>
      </c>
      <c r="D35" t="s">
        <v>140</v>
      </c>
    </row>
    <row r="36" spans="1:5" x14ac:dyDescent="0.25">
      <c r="A36" s="58">
        <v>44406</v>
      </c>
      <c r="B36" t="s">
        <v>22</v>
      </c>
      <c r="C36" t="s">
        <v>208</v>
      </c>
      <c r="D36" t="s">
        <v>133</v>
      </c>
    </row>
    <row r="37" spans="1:5" x14ac:dyDescent="0.25">
      <c r="A37" s="58">
        <v>44406</v>
      </c>
      <c r="B37" t="s">
        <v>22</v>
      </c>
      <c r="C37" t="s">
        <v>209</v>
      </c>
      <c r="D37" t="s">
        <v>133</v>
      </c>
    </row>
    <row r="38" spans="1:5" x14ac:dyDescent="0.25">
      <c r="A38" s="58">
        <v>44406</v>
      </c>
      <c r="B38" t="s">
        <v>21</v>
      </c>
      <c r="C38" t="s">
        <v>210</v>
      </c>
      <c r="D38" t="s">
        <v>133</v>
      </c>
    </row>
    <row r="39" spans="1:5" x14ac:dyDescent="0.25">
      <c r="A39" s="58">
        <v>44409</v>
      </c>
      <c r="B39" t="s">
        <v>211</v>
      </c>
      <c r="C39" t="s">
        <v>212</v>
      </c>
      <c r="D39" t="s">
        <v>133</v>
      </c>
    </row>
    <row r="40" spans="1:5" x14ac:dyDescent="0.25">
      <c r="A40" s="58">
        <v>44410</v>
      </c>
      <c r="B40" t="s">
        <v>213</v>
      </c>
      <c r="C40" t="s">
        <v>214</v>
      </c>
      <c r="D40" t="s">
        <v>140</v>
      </c>
    </row>
    <row r="41" spans="1:5" x14ac:dyDescent="0.25">
      <c r="A41" s="58">
        <v>44410</v>
      </c>
      <c r="B41" t="s">
        <v>20</v>
      </c>
      <c r="C41" t="s">
        <v>215</v>
      </c>
      <c r="D41" t="s">
        <v>140</v>
      </c>
    </row>
    <row r="42" spans="1:5" x14ac:dyDescent="0.25">
      <c r="A42" s="58">
        <v>44411</v>
      </c>
      <c r="B42" t="s">
        <v>216</v>
      </c>
      <c r="C42" t="s">
        <v>217</v>
      </c>
      <c r="D42" t="s">
        <v>133</v>
      </c>
    </row>
    <row r="43" spans="1:5" x14ac:dyDescent="0.25">
      <c r="A43" s="58">
        <v>44418</v>
      </c>
      <c r="B43" t="s">
        <v>20</v>
      </c>
      <c r="C43" t="s">
        <v>215</v>
      </c>
      <c r="D43" t="s">
        <v>133</v>
      </c>
    </row>
    <row r="44" spans="1:5" x14ac:dyDescent="0.25">
      <c r="A44" s="58">
        <v>44418</v>
      </c>
      <c r="B44" t="s">
        <v>22</v>
      </c>
      <c r="C44" t="s">
        <v>219</v>
      </c>
      <c r="D44" t="s">
        <v>133</v>
      </c>
    </row>
    <row r="45" spans="1:5" x14ac:dyDescent="0.25">
      <c r="A45" s="58">
        <v>44418</v>
      </c>
      <c r="B45" t="s">
        <v>22</v>
      </c>
      <c r="C45" t="s">
        <v>220</v>
      </c>
      <c r="D45" t="s">
        <v>133</v>
      </c>
    </row>
    <row r="46" spans="1:5" x14ac:dyDescent="0.25">
      <c r="A46" s="58">
        <v>44423</v>
      </c>
      <c r="B46" t="s">
        <v>22</v>
      </c>
      <c r="C46" t="s">
        <v>224</v>
      </c>
      <c r="D46" t="s">
        <v>133</v>
      </c>
    </row>
    <row r="47" spans="1:5" x14ac:dyDescent="0.25">
      <c r="A47" s="58">
        <v>44426</v>
      </c>
      <c r="B47" t="s">
        <v>20</v>
      </c>
      <c r="C47" t="s">
        <v>215</v>
      </c>
      <c r="D47" t="s">
        <v>140</v>
      </c>
    </row>
    <row r="48" spans="1:5" x14ac:dyDescent="0.25">
      <c r="A48" s="58">
        <v>44426</v>
      </c>
      <c r="B48" t="s">
        <v>22</v>
      </c>
      <c r="C48" t="s">
        <v>225</v>
      </c>
      <c r="D48" t="s">
        <v>133</v>
      </c>
      <c r="E48" t="s">
        <v>226</v>
      </c>
    </row>
    <row r="49" spans="1:5" x14ac:dyDescent="0.25">
      <c r="A49" s="58">
        <v>44430</v>
      </c>
      <c r="B49" t="s">
        <v>22</v>
      </c>
      <c r="C49" t="s">
        <v>234</v>
      </c>
      <c r="D49" t="s">
        <v>133</v>
      </c>
    </row>
    <row r="50" spans="1:5" x14ac:dyDescent="0.25">
      <c r="A50" s="58">
        <v>44433</v>
      </c>
      <c r="B50" t="s">
        <v>21</v>
      </c>
      <c r="C50" t="s">
        <v>239</v>
      </c>
      <c r="D50" t="s">
        <v>133</v>
      </c>
      <c r="E50" t="s">
        <v>240</v>
      </c>
    </row>
    <row r="51" spans="1:5" x14ac:dyDescent="0.25">
      <c r="A51" s="58">
        <v>44433</v>
      </c>
      <c r="B51" t="s">
        <v>22</v>
      </c>
      <c r="C51" t="s">
        <v>241</v>
      </c>
      <c r="D51" t="s">
        <v>133</v>
      </c>
    </row>
    <row r="52" spans="1:5" x14ac:dyDescent="0.25">
      <c r="A52" s="58">
        <v>44433</v>
      </c>
      <c r="B52" t="s">
        <v>19</v>
      </c>
      <c r="C52" t="s">
        <v>242</v>
      </c>
      <c r="D52" t="s">
        <v>140</v>
      </c>
    </row>
    <row r="53" spans="1:5" x14ac:dyDescent="0.25">
      <c r="A53" s="58">
        <v>44436</v>
      </c>
      <c r="B53" t="s">
        <v>21</v>
      </c>
      <c r="C53" t="s">
        <v>243</v>
      </c>
      <c r="D53" t="s">
        <v>140</v>
      </c>
    </row>
    <row r="54" spans="1:5" x14ac:dyDescent="0.25">
      <c r="A54" s="58">
        <v>44436</v>
      </c>
      <c r="B54" t="s">
        <v>22</v>
      </c>
      <c r="C54" t="s">
        <v>244</v>
      </c>
      <c r="D54" t="s">
        <v>140</v>
      </c>
    </row>
    <row r="55" spans="1:5" x14ac:dyDescent="0.25">
      <c r="A55" s="58">
        <v>44438</v>
      </c>
      <c r="B55" t="s">
        <v>21</v>
      </c>
      <c r="C55" t="s">
        <v>245</v>
      </c>
      <c r="D55" t="s">
        <v>133</v>
      </c>
    </row>
    <row r="56" spans="1:5" x14ac:dyDescent="0.25">
      <c r="A56" s="58">
        <v>44446</v>
      </c>
      <c r="B56" t="s">
        <v>203</v>
      </c>
      <c r="C56" t="s">
        <v>206</v>
      </c>
      <c r="D56" t="s">
        <v>133</v>
      </c>
      <c r="E56" t="s">
        <v>261</v>
      </c>
    </row>
    <row r="57" spans="1:5" x14ac:dyDescent="0.25">
      <c r="A57" s="58">
        <v>44446</v>
      </c>
      <c r="B57" t="s">
        <v>203</v>
      </c>
      <c r="C57" t="s">
        <v>262</v>
      </c>
      <c r="D57" t="s">
        <v>133</v>
      </c>
      <c r="E57" t="s">
        <v>263</v>
      </c>
    </row>
    <row r="58" spans="1:5" x14ac:dyDescent="0.25">
      <c r="A58" s="58">
        <v>44446</v>
      </c>
      <c r="B58" t="s">
        <v>21</v>
      </c>
      <c r="C58" t="s">
        <v>264</v>
      </c>
      <c r="D58" t="s">
        <v>133</v>
      </c>
    </row>
    <row r="59" spans="1:5" x14ac:dyDescent="0.25">
      <c r="A59" s="58">
        <v>44446</v>
      </c>
      <c r="B59" t="s">
        <v>21</v>
      </c>
      <c r="C59" t="s">
        <v>265</v>
      </c>
      <c r="D59" t="s">
        <v>133</v>
      </c>
    </row>
    <row r="60" spans="1:5" x14ac:dyDescent="0.25">
      <c r="A60" s="58">
        <v>44452</v>
      </c>
      <c r="B60" t="s">
        <v>20</v>
      </c>
      <c r="C60" t="s">
        <v>279</v>
      </c>
      <c r="D60" t="s">
        <v>278</v>
      </c>
    </row>
    <row r="61" spans="1:5" x14ac:dyDescent="0.25">
      <c r="A61" s="58">
        <v>44453</v>
      </c>
      <c r="B61" t="s">
        <v>269</v>
      </c>
      <c r="C61" t="s">
        <v>280</v>
      </c>
      <c r="D61" t="s">
        <v>278</v>
      </c>
    </row>
    <row r="62" spans="1:5" x14ac:dyDescent="0.25">
      <c r="A62" s="58">
        <v>44453</v>
      </c>
      <c r="B62" t="s">
        <v>22</v>
      </c>
      <c r="C62" t="s">
        <v>267</v>
      </c>
      <c r="D62" t="s">
        <v>140</v>
      </c>
    </row>
    <row r="63" spans="1:5" x14ac:dyDescent="0.25">
      <c r="A63" s="58">
        <v>44453</v>
      </c>
      <c r="B63" t="s">
        <v>203</v>
      </c>
      <c r="C63" t="s">
        <v>266</v>
      </c>
      <c r="D63" t="s">
        <v>140</v>
      </c>
    </row>
    <row r="64" spans="1:5" x14ac:dyDescent="0.25">
      <c r="A64" s="58">
        <v>44453</v>
      </c>
      <c r="B64" t="s">
        <v>19</v>
      </c>
      <c r="C64" t="s">
        <v>242</v>
      </c>
      <c r="D64" t="s">
        <v>140</v>
      </c>
    </row>
    <row r="65" spans="1:5" x14ac:dyDescent="0.25">
      <c r="A65" s="58">
        <v>44453</v>
      </c>
      <c r="B65" t="s">
        <v>21</v>
      </c>
      <c r="C65" t="s">
        <v>268</v>
      </c>
      <c r="D65" t="s">
        <v>140</v>
      </c>
    </row>
    <row r="66" spans="1:5" x14ac:dyDescent="0.25">
      <c r="A66" s="58">
        <v>44455</v>
      </c>
      <c r="B66" t="s">
        <v>19</v>
      </c>
      <c r="C66" t="s">
        <v>274</v>
      </c>
      <c r="D66" t="s">
        <v>140</v>
      </c>
    </row>
    <row r="67" spans="1:5" x14ac:dyDescent="0.25">
      <c r="A67" s="58">
        <v>44455</v>
      </c>
      <c r="B67" t="s">
        <v>270</v>
      </c>
      <c r="C67" t="s">
        <v>275</v>
      </c>
      <c r="D67" t="s">
        <v>140</v>
      </c>
    </row>
    <row r="68" spans="1:5" x14ac:dyDescent="0.25">
      <c r="A68" s="58">
        <v>44455</v>
      </c>
      <c r="B68" t="s">
        <v>22</v>
      </c>
      <c r="C68" t="s">
        <v>276</v>
      </c>
      <c r="D68" t="s">
        <v>140</v>
      </c>
    </row>
    <row r="69" spans="1:5" x14ac:dyDescent="0.25">
      <c r="A69" s="58">
        <v>44456</v>
      </c>
      <c r="B69" t="s">
        <v>21</v>
      </c>
      <c r="C69" t="s">
        <v>277</v>
      </c>
      <c r="D69" t="s">
        <v>278</v>
      </c>
    </row>
    <row r="70" spans="1:5" x14ac:dyDescent="0.25">
      <c r="A70" s="58">
        <v>44460</v>
      </c>
      <c r="B70" t="s">
        <v>22</v>
      </c>
      <c r="C70" t="s">
        <v>286</v>
      </c>
      <c r="D70" t="s">
        <v>278</v>
      </c>
    </row>
    <row r="71" spans="1:5" x14ac:dyDescent="0.25">
      <c r="A71" s="58">
        <v>44461</v>
      </c>
      <c r="B71" t="s">
        <v>269</v>
      </c>
      <c r="C71" t="s">
        <v>282</v>
      </c>
      <c r="D71" t="s">
        <v>133</v>
      </c>
    </row>
    <row r="72" spans="1:5" x14ac:dyDescent="0.25">
      <c r="A72" s="58">
        <v>44462</v>
      </c>
      <c r="B72" t="s">
        <v>203</v>
      </c>
      <c r="C72" t="s">
        <v>283</v>
      </c>
      <c r="D72" t="s">
        <v>278</v>
      </c>
    </row>
    <row r="73" spans="1:5" x14ac:dyDescent="0.25">
      <c r="A73" s="58">
        <v>44462</v>
      </c>
      <c r="B73" t="s">
        <v>203</v>
      </c>
      <c r="C73" t="s">
        <v>284</v>
      </c>
      <c r="D73" t="s">
        <v>278</v>
      </c>
    </row>
    <row r="74" spans="1:5" x14ac:dyDescent="0.25">
      <c r="A74" s="58">
        <v>44462</v>
      </c>
      <c r="B74" t="s">
        <v>203</v>
      </c>
      <c r="C74" t="s">
        <v>285</v>
      </c>
      <c r="D74" t="s">
        <v>278</v>
      </c>
    </row>
    <row r="75" spans="1:5" x14ac:dyDescent="0.25">
      <c r="A75" s="58">
        <v>44467</v>
      </c>
      <c r="B75" t="s">
        <v>22</v>
      </c>
      <c r="C75" t="s">
        <v>287</v>
      </c>
      <c r="D75" t="s">
        <v>133</v>
      </c>
    </row>
    <row r="76" spans="1:5" x14ac:dyDescent="0.25">
      <c r="A76" s="58">
        <v>44467</v>
      </c>
      <c r="B76" t="s">
        <v>203</v>
      </c>
      <c r="C76" t="s">
        <v>288</v>
      </c>
      <c r="D76" t="s">
        <v>133</v>
      </c>
      <c r="E76" t="s">
        <v>289</v>
      </c>
    </row>
    <row r="77" spans="1:5" x14ac:dyDescent="0.25">
      <c r="A77" s="58">
        <v>44467</v>
      </c>
      <c r="B77" t="s">
        <v>21</v>
      </c>
      <c r="C77" t="s">
        <v>290</v>
      </c>
      <c r="D77" t="s">
        <v>133</v>
      </c>
    </row>
    <row r="78" spans="1:5" x14ac:dyDescent="0.25">
      <c r="A78" s="58">
        <v>44467</v>
      </c>
      <c r="B78" t="s">
        <v>203</v>
      </c>
      <c r="C78" t="s">
        <v>291</v>
      </c>
      <c r="D78" t="s">
        <v>140</v>
      </c>
    </row>
    <row r="79" spans="1:5" x14ac:dyDescent="0.25">
      <c r="A79" s="58">
        <v>44468</v>
      </c>
      <c r="B79" t="s">
        <v>21</v>
      </c>
      <c r="C79" t="s">
        <v>292</v>
      </c>
      <c r="D79" t="s">
        <v>133</v>
      </c>
    </row>
    <row r="80" spans="1:5" x14ac:dyDescent="0.25">
      <c r="A80" s="58">
        <v>44468</v>
      </c>
      <c r="B80" t="s">
        <v>21</v>
      </c>
      <c r="C80" t="s">
        <v>293</v>
      </c>
      <c r="D80" t="s">
        <v>133</v>
      </c>
    </row>
    <row r="81" spans="1:5" x14ac:dyDescent="0.25">
      <c r="A81" s="58">
        <v>44468</v>
      </c>
      <c r="B81" t="s">
        <v>15</v>
      </c>
      <c r="C81" t="s">
        <v>294</v>
      </c>
      <c r="D81" t="s">
        <v>278</v>
      </c>
    </row>
    <row r="82" spans="1:5" x14ac:dyDescent="0.25">
      <c r="A82" s="58">
        <v>44469</v>
      </c>
      <c r="B82" t="s">
        <v>15</v>
      </c>
      <c r="C82" t="s">
        <v>295</v>
      </c>
      <c r="D82" t="s">
        <v>278</v>
      </c>
    </row>
    <row r="83" spans="1:5" x14ac:dyDescent="0.25">
      <c r="A83" s="58">
        <v>44470</v>
      </c>
      <c r="B83" t="s">
        <v>203</v>
      </c>
      <c r="C83" t="s">
        <v>296</v>
      </c>
      <c r="D83" t="s">
        <v>278</v>
      </c>
    </row>
    <row r="84" spans="1:5" x14ac:dyDescent="0.25">
      <c r="A84" s="58">
        <v>44470</v>
      </c>
      <c r="B84" t="s">
        <v>297</v>
      </c>
      <c r="C84" t="s">
        <v>298</v>
      </c>
      <c r="D84" t="s">
        <v>140</v>
      </c>
    </row>
    <row r="85" spans="1:5" x14ac:dyDescent="0.25">
      <c r="A85" s="58">
        <v>44471</v>
      </c>
      <c r="B85" t="s">
        <v>22</v>
      </c>
      <c r="C85" t="s">
        <v>300</v>
      </c>
      <c r="D85" t="s">
        <v>278</v>
      </c>
    </row>
    <row r="86" spans="1:5" x14ac:dyDescent="0.25">
      <c r="A86" s="58">
        <v>44471</v>
      </c>
      <c r="B86" t="s">
        <v>22</v>
      </c>
      <c r="C86" t="s">
        <v>299</v>
      </c>
      <c r="D86" t="s">
        <v>278</v>
      </c>
    </row>
    <row r="87" spans="1:5" x14ac:dyDescent="0.25">
      <c r="A87" s="58">
        <v>44474</v>
      </c>
      <c r="B87" t="s">
        <v>19</v>
      </c>
      <c r="C87" t="s">
        <v>301</v>
      </c>
      <c r="D87" t="s">
        <v>133</v>
      </c>
      <c r="E87" t="s">
        <v>302</v>
      </c>
    </row>
    <row r="88" spans="1:5" x14ac:dyDescent="0.25">
      <c r="A88" s="58">
        <v>44475</v>
      </c>
      <c r="B88" t="s">
        <v>135</v>
      </c>
      <c r="C88" t="s">
        <v>305</v>
      </c>
      <c r="D88" t="s">
        <v>140</v>
      </c>
    </row>
    <row r="89" spans="1:5" x14ac:dyDescent="0.25">
      <c r="A89" s="58">
        <v>44475</v>
      </c>
      <c r="B89" t="s">
        <v>22</v>
      </c>
      <c r="C89" t="s">
        <v>306</v>
      </c>
      <c r="D89" t="s">
        <v>140</v>
      </c>
    </row>
    <row r="90" spans="1:5" x14ac:dyDescent="0.25">
      <c r="A90" s="58">
        <v>44475</v>
      </c>
      <c r="B90" t="s">
        <v>19</v>
      </c>
      <c r="C90" t="s">
        <v>301</v>
      </c>
      <c r="D90" t="s">
        <v>140</v>
      </c>
    </row>
    <row r="91" spans="1:5" x14ac:dyDescent="0.25">
      <c r="A91" s="58">
        <v>44476</v>
      </c>
      <c r="B91" t="s">
        <v>21</v>
      </c>
      <c r="C91" t="s">
        <v>309</v>
      </c>
      <c r="D91" t="s">
        <v>133</v>
      </c>
    </row>
    <row r="92" spans="1:5" x14ac:dyDescent="0.25">
      <c r="A92" s="58">
        <v>44476</v>
      </c>
      <c r="B92" t="s">
        <v>269</v>
      </c>
      <c r="C92" t="s">
        <v>309</v>
      </c>
      <c r="D92" t="s">
        <v>133</v>
      </c>
    </row>
    <row r="93" spans="1:5" x14ac:dyDescent="0.25">
      <c r="A93" s="58">
        <v>44478</v>
      </c>
      <c r="B93" t="s">
        <v>203</v>
      </c>
      <c r="C93" t="s">
        <v>311</v>
      </c>
      <c r="D93" t="s">
        <v>278</v>
      </c>
    </row>
    <row r="94" spans="1:5" x14ac:dyDescent="0.25">
      <c r="A94" s="58">
        <v>44478</v>
      </c>
      <c r="B94" t="s">
        <v>20</v>
      </c>
      <c r="C94" t="s">
        <v>312</v>
      </c>
      <c r="D94" t="s">
        <v>278</v>
      </c>
    </row>
    <row r="95" spans="1:5" x14ac:dyDescent="0.25">
      <c r="A95" s="58">
        <v>44478</v>
      </c>
      <c r="B95" t="s">
        <v>22</v>
      </c>
      <c r="C95" t="s">
        <v>313</v>
      </c>
      <c r="D95" t="s">
        <v>140</v>
      </c>
    </row>
    <row r="96" spans="1:5" x14ac:dyDescent="0.25">
      <c r="A96" s="58">
        <v>44479</v>
      </c>
      <c r="B96" t="s">
        <v>22</v>
      </c>
      <c r="C96" t="s">
        <v>314</v>
      </c>
      <c r="D96" t="s">
        <v>133</v>
      </c>
    </row>
    <row r="97" spans="1:4" x14ac:dyDescent="0.25">
      <c r="A97" s="58">
        <v>44479</v>
      </c>
      <c r="B97" t="s">
        <v>269</v>
      </c>
      <c r="C97" t="s">
        <v>315</v>
      </c>
      <c r="D97" t="s">
        <v>133</v>
      </c>
    </row>
    <row r="98" spans="1:4" x14ac:dyDescent="0.25">
      <c r="A98" s="58">
        <v>44482</v>
      </c>
      <c r="B98" t="s">
        <v>203</v>
      </c>
      <c r="C98" t="s">
        <v>316</v>
      </c>
      <c r="D98" t="s">
        <v>133</v>
      </c>
    </row>
    <row r="99" spans="1:4" x14ac:dyDescent="0.25">
      <c r="A99" s="58">
        <v>44482</v>
      </c>
      <c r="B99" t="s">
        <v>20</v>
      </c>
      <c r="C99" t="s">
        <v>317</v>
      </c>
      <c r="D99" t="s">
        <v>133</v>
      </c>
    </row>
    <row r="100" spans="1:4" x14ac:dyDescent="0.25">
      <c r="A100" s="58">
        <v>44482</v>
      </c>
      <c r="B100" t="s">
        <v>203</v>
      </c>
      <c r="C100" t="s">
        <v>318</v>
      </c>
      <c r="D100" t="s">
        <v>278</v>
      </c>
    </row>
    <row r="101" spans="1:4" x14ac:dyDescent="0.25">
      <c r="A101" s="58">
        <v>44484</v>
      </c>
      <c r="B101" t="s">
        <v>21</v>
      </c>
      <c r="C101" t="s">
        <v>319</v>
      </c>
      <c r="D101" t="s">
        <v>140</v>
      </c>
    </row>
    <row r="102" spans="1:4" x14ac:dyDescent="0.25">
      <c r="A102" s="58">
        <v>44485</v>
      </c>
      <c r="B102" t="s">
        <v>22</v>
      </c>
      <c r="C102" t="s">
        <v>320</v>
      </c>
      <c r="D102" t="s">
        <v>278</v>
      </c>
    </row>
    <row r="103" spans="1:4" x14ac:dyDescent="0.25">
      <c r="A103" s="58">
        <v>44485</v>
      </c>
      <c r="B103" t="s">
        <v>21</v>
      </c>
      <c r="C103" t="s">
        <v>321</v>
      </c>
      <c r="D103" t="s">
        <v>278</v>
      </c>
    </row>
    <row r="104" spans="1:4" x14ac:dyDescent="0.25">
      <c r="A104" s="58">
        <v>44486</v>
      </c>
      <c r="B104" t="s">
        <v>15</v>
      </c>
      <c r="C104" t="s">
        <v>322</v>
      </c>
      <c r="D104" t="s">
        <v>133</v>
      </c>
    </row>
    <row r="105" spans="1:4" x14ac:dyDescent="0.25">
      <c r="A105" s="58">
        <v>44486</v>
      </c>
      <c r="B105" t="s">
        <v>20</v>
      </c>
      <c r="C105" t="s">
        <v>323</v>
      </c>
      <c r="D105" t="s">
        <v>133</v>
      </c>
    </row>
    <row r="106" spans="1:4" x14ac:dyDescent="0.25">
      <c r="A106" s="58">
        <v>44488</v>
      </c>
      <c r="B106" t="s">
        <v>269</v>
      </c>
      <c r="C106" t="s">
        <v>324</v>
      </c>
      <c r="D106" t="s">
        <v>133</v>
      </c>
    </row>
    <row r="107" spans="1:4" x14ac:dyDescent="0.25">
      <c r="A107" s="58">
        <v>44488</v>
      </c>
      <c r="B107" t="s">
        <v>20</v>
      </c>
      <c r="C107" t="s">
        <v>325</v>
      </c>
      <c r="D107" t="s">
        <v>133</v>
      </c>
    </row>
    <row r="108" spans="1:4" x14ac:dyDescent="0.25">
      <c r="A108" s="58">
        <v>44488</v>
      </c>
      <c r="B108" t="s">
        <v>22</v>
      </c>
      <c r="C108" t="s">
        <v>327</v>
      </c>
      <c r="D108" t="s">
        <v>278</v>
      </c>
    </row>
    <row r="109" spans="1:4" x14ac:dyDescent="0.25">
      <c r="A109" s="58">
        <v>44489</v>
      </c>
      <c r="B109" t="s">
        <v>156</v>
      </c>
      <c r="C109" t="s">
        <v>326</v>
      </c>
      <c r="D109" t="s">
        <v>278</v>
      </c>
    </row>
    <row r="110" spans="1:4" x14ac:dyDescent="0.25">
      <c r="A110" s="58">
        <v>44491</v>
      </c>
      <c r="B110" t="s">
        <v>203</v>
      </c>
      <c r="C110" t="s">
        <v>328</v>
      </c>
      <c r="D110" t="s">
        <v>140</v>
      </c>
    </row>
    <row r="111" spans="1:4" x14ac:dyDescent="0.25">
      <c r="A111" s="58">
        <v>44491</v>
      </c>
      <c r="B111" t="s">
        <v>22</v>
      </c>
      <c r="C111" t="s">
        <v>329</v>
      </c>
      <c r="D111" t="s">
        <v>140</v>
      </c>
    </row>
    <row r="112" spans="1:4" x14ac:dyDescent="0.25">
      <c r="A112" s="58">
        <v>44491</v>
      </c>
      <c r="B112" t="s">
        <v>330</v>
      </c>
      <c r="C112" t="s">
        <v>331</v>
      </c>
      <c r="D112" t="s">
        <v>140</v>
      </c>
    </row>
    <row r="113" spans="1:4" x14ac:dyDescent="0.25">
      <c r="A113" s="58">
        <v>44491</v>
      </c>
      <c r="B113" t="s">
        <v>135</v>
      </c>
      <c r="C113" t="s">
        <v>332</v>
      </c>
      <c r="D113" t="s">
        <v>140</v>
      </c>
    </row>
    <row r="114" spans="1:4" x14ac:dyDescent="0.25">
      <c r="A114" s="58">
        <v>44492</v>
      </c>
      <c r="B114" t="s">
        <v>269</v>
      </c>
      <c r="C114" t="s">
        <v>333</v>
      </c>
      <c r="D114" t="s">
        <v>278</v>
      </c>
    </row>
    <row r="115" spans="1:4" x14ac:dyDescent="0.25">
      <c r="A115" s="58">
        <v>44495</v>
      </c>
      <c r="B115" t="s">
        <v>269</v>
      </c>
      <c r="C115" t="s">
        <v>333</v>
      </c>
      <c r="D115" t="s">
        <v>336</v>
      </c>
    </row>
    <row r="116" spans="1:4" x14ac:dyDescent="0.25">
      <c r="A116" s="58">
        <v>44495</v>
      </c>
      <c r="B116" t="s">
        <v>337</v>
      </c>
      <c r="C116" t="s">
        <v>338</v>
      </c>
      <c r="D116" t="s">
        <v>336</v>
      </c>
    </row>
    <row r="117" spans="1:4" x14ac:dyDescent="0.25">
      <c r="A117" s="58">
        <v>44496</v>
      </c>
      <c r="B117" t="s">
        <v>20</v>
      </c>
      <c r="C117" t="s">
        <v>339</v>
      </c>
      <c r="D117" t="s">
        <v>278</v>
      </c>
    </row>
    <row r="118" spans="1:4" x14ac:dyDescent="0.25">
      <c r="A118" s="58">
        <v>44496</v>
      </c>
      <c r="B118" t="s">
        <v>203</v>
      </c>
      <c r="C118" t="s">
        <v>340</v>
      </c>
      <c r="D118" t="s">
        <v>278</v>
      </c>
    </row>
    <row r="119" spans="1:4" x14ac:dyDescent="0.25">
      <c r="A119" s="58">
        <v>44497</v>
      </c>
      <c r="B119" t="s">
        <v>156</v>
      </c>
      <c r="C119" t="s">
        <v>341</v>
      </c>
      <c r="D119" t="s">
        <v>278</v>
      </c>
    </row>
    <row r="120" spans="1:4" x14ac:dyDescent="0.25">
      <c r="A120" s="58">
        <v>44498</v>
      </c>
      <c r="B120" t="s">
        <v>203</v>
      </c>
      <c r="C120" t="s">
        <v>342</v>
      </c>
      <c r="D120" t="s">
        <v>278</v>
      </c>
    </row>
    <row r="121" spans="1:4" x14ac:dyDescent="0.25">
      <c r="A121" s="58">
        <v>44498</v>
      </c>
      <c r="B121" t="s">
        <v>269</v>
      </c>
      <c r="C121" t="s">
        <v>333</v>
      </c>
      <c r="D121" t="s">
        <v>278</v>
      </c>
    </row>
    <row r="122" spans="1:4" x14ac:dyDescent="0.25">
      <c r="A122" s="58">
        <v>44499</v>
      </c>
      <c r="B122" t="s">
        <v>203</v>
      </c>
      <c r="C122" t="s">
        <v>345</v>
      </c>
      <c r="D122" t="s">
        <v>140</v>
      </c>
    </row>
    <row r="123" spans="1:4" x14ac:dyDescent="0.25">
      <c r="A123" s="58">
        <v>44499</v>
      </c>
      <c r="B123" t="s">
        <v>344</v>
      </c>
      <c r="C123" t="s">
        <v>338</v>
      </c>
      <c r="D123" t="s">
        <v>140</v>
      </c>
    </row>
    <row r="124" spans="1:4" x14ac:dyDescent="0.25">
      <c r="A124" s="58">
        <v>44500</v>
      </c>
      <c r="B124" t="s">
        <v>348</v>
      </c>
      <c r="C124" t="s">
        <v>349</v>
      </c>
      <c r="D124" t="s">
        <v>336</v>
      </c>
    </row>
    <row r="125" spans="1:4" x14ac:dyDescent="0.25">
      <c r="A125" s="58">
        <v>44500</v>
      </c>
      <c r="B125" t="s">
        <v>21</v>
      </c>
      <c r="C125" t="s">
        <v>345</v>
      </c>
      <c r="D125" t="s">
        <v>336</v>
      </c>
    </row>
    <row r="126" spans="1:4" x14ac:dyDescent="0.25">
      <c r="A126" s="58">
        <v>44501</v>
      </c>
      <c r="B126" t="s">
        <v>21</v>
      </c>
      <c r="C126" t="s">
        <v>350</v>
      </c>
      <c r="D126" t="s">
        <v>336</v>
      </c>
    </row>
    <row r="127" spans="1:4" x14ac:dyDescent="0.25">
      <c r="A127" s="58">
        <v>44502</v>
      </c>
      <c r="B127" t="s">
        <v>156</v>
      </c>
      <c r="C127" t="s">
        <v>351</v>
      </c>
      <c r="D127" t="s">
        <v>278</v>
      </c>
    </row>
    <row r="128" spans="1:4" x14ac:dyDescent="0.25">
      <c r="A128" s="58">
        <v>44507</v>
      </c>
      <c r="B128" t="s">
        <v>203</v>
      </c>
      <c r="C128" t="s">
        <v>404</v>
      </c>
      <c r="D128" t="s">
        <v>336</v>
      </c>
    </row>
    <row r="129" spans="1:4" x14ac:dyDescent="0.25">
      <c r="A129" s="58">
        <v>44509</v>
      </c>
      <c r="B129" t="s">
        <v>269</v>
      </c>
      <c r="C129" t="s">
        <v>405</v>
      </c>
      <c r="D129" t="s">
        <v>336</v>
      </c>
    </row>
    <row r="130" spans="1:4" x14ac:dyDescent="0.25">
      <c r="A130" s="58">
        <v>44510</v>
      </c>
      <c r="B130" t="s">
        <v>203</v>
      </c>
      <c r="C130" t="s">
        <v>406</v>
      </c>
      <c r="D130" t="s">
        <v>407</v>
      </c>
    </row>
    <row r="131" spans="1:4" x14ac:dyDescent="0.25">
      <c r="A131" s="58">
        <v>44510</v>
      </c>
      <c r="B131" t="s">
        <v>19</v>
      </c>
      <c r="C131" t="s">
        <v>408</v>
      </c>
      <c r="D131" t="s">
        <v>407</v>
      </c>
    </row>
    <row r="132" spans="1:4" x14ac:dyDescent="0.25">
      <c r="A132" s="58">
        <v>44510</v>
      </c>
      <c r="B132" t="s">
        <v>135</v>
      </c>
      <c r="C132" t="s">
        <v>341</v>
      </c>
      <c r="D132" t="s">
        <v>407</v>
      </c>
    </row>
    <row r="133" spans="1:4" x14ac:dyDescent="0.25">
      <c r="A133" s="58">
        <v>44510</v>
      </c>
      <c r="B133" t="s">
        <v>410</v>
      </c>
      <c r="C133" t="s">
        <v>409</v>
      </c>
      <c r="D133" t="s">
        <v>407</v>
      </c>
    </row>
    <row r="134" spans="1:4" x14ac:dyDescent="0.25">
      <c r="A134" s="58">
        <v>44510</v>
      </c>
      <c r="B134" t="s">
        <v>411</v>
      </c>
      <c r="C134" t="s">
        <v>412</v>
      </c>
      <c r="D134" t="s">
        <v>336</v>
      </c>
    </row>
    <row r="135" spans="1:4" x14ac:dyDescent="0.25">
      <c r="A135" s="58">
        <v>44510</v>
      </c>
      <c r="B135" t="s">
        <v>270</v>
      </c>
      <c r="C135" t="s">
        <v>413</v>
      </c>
      <c r="D135" t="s">
        <v>336</v>
      </c>
    </row>
    <row r="136" spans="1:4" x14ac:dyDescent="0.25">
      <c r="A136" s="58">
        <v>44510</v>
      </c>
      <c r="B136" t="s">
        <v>19</v>
      </c>
      <c r="C136" t="s">
        <v>414</v>
      </c>
      <c r="D136" t="s">
        <v>336</v>
      </c>
    </row>
    <row r="137" spans="1:4" x14ac:dyDescent="0.25">
      <c r="A137" s="58">
        <v>44511</v>
      </c>
      <c r="B137" t="s">
        <v>21</v>
      </c>
      <c r="C137" t="s">
        <v>415</v>
      </c>
      <c r="D137" t="s">
        <v>336</v>
      </c>
    </row>
    <row r="138" spans="1:4" x14ac:dyDescent="0.25">
      <c r="A138" s="58">
        <v>44515</v>
      </c>
      <c r="B138" t="s">
        <v>20</v>
      </c>
      <c r="C138" t="s">
        <v>416</v>
      </c>
      <c r="D138" t="s">
        <v>336</v>
      </c>
    </row>
    <row r="139" spans="1:4" x14ac:dyDescent="0.25">
      <c r="A139" s="58">
        <v>44515</v>
      </c>
      <c r="B139" t="s">
        <v>417</v>
      </c>
      <c r="C139" t="s">
        <v>418</v>
      </c>
      <c r="D139" t="s">
        <v>336</v>
      </c>
    </row>
    <row r="140" spans="1:4" x14ac:dyDescent="0.25">
      <c r="A140" s="58">
        <v>44517</v>
      </c>
      <c r="B140" t="s">
        <v>20</v>
      </c>
      <c r="C140" t="s">
        <v>297</v>
      </c>
      <c r="D140" t="s">
        <v>133</v>
      </c>
    </row>
    <row r="141" spans="1:4" ht="12.4" customHeight="1" x14ac:dyDescent="0.25">
      <c r="A141" s="58">
        <v>44518</v>
      </c>
      <c r="B141" t="s">
        <v>19</v>
      </c>
      <c r="C141" t="s">
        <v>423</v>
      </c>
      <c r="D141" t="s">
        <v>336</v>
      </c>
    </row>
    <row r="142" spans="1:4" x14ac:dyDescent="0.25">
      <c r="A142" s="58">
        <v>44520</v>
      </c>
      <c r="B142" t="s">
        <v>269</v>
      </c>
      <c r="C142" t="s">
        <v>424</v>
      </c>
      <c r="D142" t="s">
        <v>140</v>
      </c>
    </row>
    <row r="143" spans="1:4" x14ac:dyDescent="0.25">
      <c r="A143" s="58">
        <v>44520</v>
      </c>
      <c r="B143" t="s">
        <v>20</v>
      </c>
      <c r="C143" t="s">
        <v>297</v>
      </c>
      <c r="D143" t="s">
        <v>140</v>
      </c>
    </row>
    <row r="144" spans="1:4" x14ac:dyDescent="0.25">
      <c r="A144" s="58">
        <v>44520</v>
      </c>
      <c r="B144" t="s">
        <v>269</v>
      </c>
      <c r="C144" t="s">
        <v>425</v>
      </c>
      <c r="D144" t="s">
        <v>140</v>
      </c>
    </row>
    <row r="145" spans="1:4" x14ac:dyDescent="0.25">
      <c r="A145" s="58">
        <v>44520</v>
      </c>
      <c r="B145" t="s">
        <v>20</v>
      </c>
      <c r="C145" t="s">
        <v>416</v>
      </c>
      <c r="D145" t="s">
        <v>140</v>
      </c>
    </row>
    <row r="146" spans="1:4" x14ac:dyDescent="0.25">
      <c r="A146" s="58">
        <v>44521</v>
      </c>
      <c r="B146" t="s">
        <v>426</v>
      </c>
      <c r="C146" t="s">
        <v>427</v>
      </c>
      <c r="D146" t="s">
        <v>336</v>
      </c>
    </row>
    <row r="147" spans="1:4" x14ac:dyDescent="0.25">
      <c r="A147" s="58">
        <v>44523</v>
      </c>
      <c r="B147" t="s">
        <v>269</v>
      </c>
      <c r="C147" t="s">
        <v>428</v>
      </c>
      <c r="D147" t="s">
        <v>336</v>
      </c>
    </row>
    <row r="148" spans="1:4" x14ac:dyDescent="0.25">
      <c r="A148" s="58">
        <v>44523</v>
      </c>
      <c r="B148" t="s">
        <v>20</v>
      </c>
      <c r="C148" t="s">
        <v>429</v>
      </c>
      <c r="D148" t="s">
        <v>336</v>
      </c>
    </row>
    <row r="149" spans="1:4" x14ac:dyDescent="0.25">
      <c r="A149" s="58">
        <v>44523</v>
      </c>
      <c r="B149" t="s">
        <v>203</v>
      </c>
      <c r="C149" t="s">
        <v>430</v>
      </c>
      <c r="D149" t="s">
        <v>336</v>
      </c>
    </row>
    <row r="150" spans="1:4" x14ac:dyDescent="0.25">
      <c r="A150" s="58">
        <v>44524</v>
      </c>
      <c r="B150" t="s">
        <v>20</v>
      </c>
      <c r="C150" t="s">
        <v>431</v>
      </c>
      <c r="D150" t="s">
        <v>133</v>
      </c>
    </row>
    <row r="151" spans="1:4" x14ac:dyDescent="0.25">
      <c r="A151" s="58">
        <v>44524</v>
      </c>
      <c r="B151" t="s">
        <v>20</v>
      </c>
      <c r="C151" t="s">
        <v>432</v>
      </c>
      <c r="D151" t="s">
        <v>133</v>
      </c>
    </row>
    <row r="152" spans="1:4" x14ac:dyDescent="0.25">
      <c r="A152" s="58">
        <v>44525</v>
      </c>
      <c r="B152" t="s">
        <v>22</v>
      </c>
      <c r="C152" t="s">
        <v>433</v>
      </c>
      <c r="D152" t="s">
        <v>133</v>
      </c>
    </row>
    <row r="153" spans="1:4" x14ac:dyDescent="0.25">
      <c r="A153" s="58">
        <v>44527</v>
      </c>
      <c r="B153" t="s">
        <v>135</v>
      </c>
      <c r="C153" t="s">
        <v>434</v>
      </c>
      <c r="D153" t="s">
        <v>278</v>
      </c>
    </row>
    <row r="154" spans="1:4" x14ac:dyDescent="0.25">
      <c r="A154" s="58">
        <v>44528</v>
      </c>
      <c r="B154" t="s">
        <v>269</v>
      </c>
      <c r="C154" t="s">
        <v>435</v>
      </c>
      <c r="D154" t="s">
        <v>336</v>
      </c>
    </row>
    <row r="155" spans="1:4" x14ac:dyDescent="0.25">
      <c r="A155" s="58">
        <v>44529</v>
      </c>
      <c r="B155" t="s">
        <v>203</v>
      </c>
      <c r="C155" t="s">
        <v>436</v>
      </c>
      <c r="D155" t="s">
        <v>133</v>
      </c>
    </row>
    <row r="156" spans="1:4" x14ac:dyDescent="0.25">
      <c r="A156" s="58">
        <v>44529</v>
      </c>
      <c r="B156" t="s">
        <v>269</v>
      </c>
      <c r="C156" t="s">
        <v>437</v>
      </c>
      <c r="D156" t="s">
        <v>336</v>
      </c>
    </row>
    <row r="157" spans="1:4" x14ac:dyDescent="0.25">
      <c r="A157" s="58">
        <v>44529</v>
      </c>
      <c r="B157" t="s">
        <v>21</v>
      </c>
      <c r="C157" t="s">
        <v>427</v>
      </c>
      <c r="D157" t="s">
        <v>133</v>
      </c>
    </row>
    <row r="158" spans="1:4" x14ac:dyDescent="0.25">
      <c r="A158" s="58">
        <v>44529</v>
      </c>
      <c r="B158" t="s">
        <v>22</v>
      </c>
      <c r="C158" t="s">
        <v>427</v>
      </c>
      <c r="D158" t="s">
        <v>133</v>
      </c>
    </row>
    <row r="159" spans="1:4" x14ac:dyDescent="0.25">
      <c r="A159" s="58">
        <v>44530</v>
      </c>
      <c r="B159" t="s">
        <v>20</v>
      </c>
      <c r="C159" t="s">
        <v>438</v>
      </c>
      <c r="D159" t="s">
        <v>336</v>
      </c>
    </row>
    <row r="160" spans="1:4" x14ac:dyDescent="0.25">
      <c r="A160" s="58">
        <v>44531</v>
      </c>
      <c r="B160" t="s">
        <v>203</v>
      </c>
      <c r="C160" t="s">
        <v>440</v>
      </c>
      <c r="D160" t="s">
        <v>133</v>
      </c>
    </row>
    <row r="161" spans="1:4" x14ac:dyDescent="0.25">
      <c r="A161" s="58">
        <v>44531</v>
      </c>
      <c r="B161" t="s">
        <v>20</v>
      </c>
      <c r="C161" t="s">
        <v>442</v>
      </c>
      <c r="D161" t="s">
        <v>336</v>
      </c>
    </row>
    <row r="162" spans="1:4" x14ac:dyDescent="0.25">
      <c r="A162" s="58">
        <v>44531</v>
      </c>
      <c r="B162" t="s">
        <v>269</v>
      </c>
      <c r="C162" t="s">
        <v>443</v>
      </c>
      <c r="D162" t="s">
        <v>278</v>
      </c>
    </row>
    <row r="163" spans="1:4" x14ac:dyDescent="0.25">
      <c r="A163" s="58">
        <v>44533</v>
      </c>
      <c r="B163" t="s">
        <v>22</v>
      </c>
      <c r="C163" t="s">
        <v>446</v>
      </c>
      <c r="D163" t="s">
        <v>278</v>
      </c>
    </row>
    <row r="164" spans="1:4" x14ac:dyDescent="0.25">
      <c r="A164" s="58">
        <v>44534</v>
      </c>
      <c r="B164" t="s">
        <v>203</v>
      </c>
      <c r="C164" t="s">
        <v>447</v>
      </c>
      <c r="D164" t="s">
        <v>278</v>
      </c>
    </row>
    <row r="165" spans="1:4" x14ac:dyDescent="0.25">
      <c r="A165" s="58">
        <v>44538</v>
      </c>
      <c r="B165" t="s">
        <v>203</v>
      </c>
      <c r="C165" t="s">
        <v>448</v>
      </c>
      <c r="D165" t="s">
        <v>278</v>
      </c>
    </row>
    <row r="166" spans="1:4" x14ac:dyDescent="0.25">
      <c r="A166" s="58">
        <v>44539</v>
      </c>
      <c r="B166" t="s">
        <v>203</v>
      </c>
      <c r="C166" t="s">
        <v>449</v>
      </c>
      <c r="D166" t="s">
        <v>278</v>
      </c>
    </row>
    <row r="167" spans="1:4" x14ac:dyDescent="0.25">
      <c r="A167" s="58">
        <v>44540</v>
      </c>
      <c r="B167" t="s">
        <v>19</v>
      </c>
      <c r="C167" t="s">
        <v>453</v>
      </c>
      <c r="D167" t="s">
        <v>278</v>
      </c>
    </row>
    <row r="168" spans="1:4" x14ac:dyDescent="0.25">
      <c r="A168" s="58">
        <v>41254</v>
      </c>
      <c r="B168" t="s">
        <v>203</v>
      </c>
      <c r="C168" t="s">
        <v>448</v>
      </c>
      <c r="D168" t="s">
        <v>278</v>
      </c>
    </row>
    <row r="169" spans="1:4" x14ac:dyDescent="0.25">
      <c r="A169" t="s">
        <v>454</v>
      </c>
      <c r="B169" t="s">
        <v>203</v>
      </c>
      <c r="C169" t="s">
        <v>455</v>
      </c>
      <c r="D169" t="s">
        <v>336</v>
      </c>
    </row>
    <row r="170" spans="1:4" x14ac:dyDescent="0.25">
      <c r="A170" s="58">
        <v>44544</v>
      </c>
      <c r="B170" t="s">
        <v>20</v>
      </c>
      <c r="C170" t="s">
        <v>456</v>
      </c>
      <c r="D170" t="s">
        <v>336</v>
      </c>
    </row>
    <row r="171" spans="1:4" x14ac:dyDescent="0.25">
      <c r="A171" s="58">
        <v>44544</v>
      </c>
      <c r="B171" t="s">
        <v>20</v>
      </c>
      <c r="C171" t="s">
        <v>457</v>
      </c>
      <c r="D171" t="s">
        <v>133</v>
      </c>
    </row>
    <row r="172" spans="1:4" x14ac:dyDescent="0.25">
      <c r="A172" s="58">
        <v>44544</v>
      </c>
      <c r="B172" t="s">
        <v>20</v>
      </c>
      <c r="C172" t="s">
        <v>458</v>
      </c>
      <c r="D172" t="s">
        <v>133</v>
      </c>
    </row>
    <row r="173" spans="1:4" x14ac:dyDescent="0.25">
      <c r="A173" s="58">
        <v>44544</v>
      </c>
      <c r="B173" t="s">
        <v>20</v>
      </c>
      <c r="C173" t="s">
        <v>459</v>
      </c>
      <c r="D173" t="s">
        <v>336</v>
      </c>
    </row>
    <row r="174" spans="1:4" x14ac:dyDescent="0.25">
      <c r="A174" s="58">
        <v>44544</v>
      </c>
      <c r="B174" t="s">
        <v>20</v>
      </c>
      <c r="C174" t="s">
        <v>460</v>
      </c>
      <c r="D174" t="s">
        <v>278</v>
      </c>
    </row>
    <row r="175" spans="1:4" x14ac:dyDescent="0.25">
      <c r="A175" s="58">
        <v>44547</v>
      </c>
      <c r="B175" t="s">
        <v>20</v>
      </c>
      <c r="C175" t="s">
        <v>468</v>
      </c>
      <c r="D175" t="s">
        <v>140</v>
      </c>
    </row>
    <row r="176" spans="1:4" x14ac:dyDescent="0.25">
      <c r="A176" s="58">
        <v>44547</v>
      </c>
      <c r="B176" t="s">
        <v>21</v>
      </c>
      <c r="C176" t="s">
        <v>469</v>
      </c>
      <c r="D176" t="s">
        <v>140</v>
      </c>
    </row>
    <row r="177" spans="1:5" x14ac:dyDescent="0.25">
      <c r="A177" s="58">
        <v>44547</v>
      </c>
      <c r="B177" t="s">
        <v>20</v>
      </c>
      <c r="C177" t="s">
        <v>470</v>
      </c>
      <c r="D177" t="s">
        <v>140</v>
      </c>
    </row>
    <row r="178" spans="1:5" x14ac:dyDescent="0.25">
      <c r="A178" s="58">
        <v>44547</v>
      </c>
      <c r="B178" t="s">
        <v>20</v>
      </c>
      <c r="C178" t="s">
        <v>471</v>
      </c>
      <c r="D178" t="s">
        <v>140</v>
      </c>
    </row>
    <row r="179" spans="1:5" x14ac:dyDescent="0.25">
      <c r="A179" s="58">
        <v>44548</v>
      </c>
      <c r="B179" t="s">
        <v>20</v>
      </c>
      <c r="C179" t="s">
        <v>472</v>
      </c>
      <c r="D179" t="s">
        <v>140</v>
      </c>
    </row>
    <row r="180" spans="1:5" x14ac:dyDescent="0.25">
      <c r="A180" s="58">
        <v>44550</v>
      </c>
      <c r="B180" t="s">
        <v>20</v>
      </c>
      <c r="C180" t="s">
        <v>485</v>
      </c>
      <c r="D180" t="s">
        <v>336</v>
      </c>
    </row>
    <row r="181" spans="1:5" x14ac:dyDescent="0.25">
      <c r="A181" s="58">
        <v>44564</v>
      </c>
      <c r="B181" t="s">
        <v>503</v>
      </c>
      <c r="C181" t="s">
        <v>502</v>
      </c>
      <c r="D181" t="s">
        <v>133</v>
      </c>
    </row>
    <row r="182" spans="1:5" x14ac:dyDescent="0.25">
      <c r="A182" s="58">
        <v>44565</v>
      </c>
      <c r="B182" t="s">
        <v>20</v>
      </c>
      <c r="C182" t="s">
        <v>504</v>
      </c>
      <c r="D182" t="s">
        <v>336</v>
      </c>
    </row>
    <row r="183" spans="1:5" x14ac:dyDescent="0.25">
      <c r="A183" s="58">
        <v>44565</v>
      </c>
      <c r="B183" t="s">
        <v>20</v>
      </c>
      <c r="C183" t="s">
        <v>485</v>
      </c>
      <c r="D183" t="s">
        <v>336</v>
      </c>
    </row>
    <row r="184" spans="1:5" x14ac:dyDescent="0.25">
      <c r="A184" s="58">
        <v>44565</v>
      </c>
      <c r="B184" t="s">
        <v>20</v>
      </c>
      <c r="C184" t="s">
        <v>429</v>
      </c>
      <c r="D184" t="s">
        <v>336</v>
      </c>
    </row>
    <row r="185" spans="1:5" x14ac:dyDescent="0.25">
      <c r="A185" s="58">
        <v>44565</v>
      </c>
      <c r="B185" t="s">
        <v>269</v>
      </c>
      <c r="C185" t="s">
        <v>505</v>
      </c>
      <c r="D185" t="s">
        <v>278</v>
      </c>
    </row>
    <row r="186" spans="1:5" x14ac:dyDescent="0.25">
      <c r="A186" s="58">
        <v>44566</v>
      </c>
      <c r="B186" t="s">
        <v>269</v>
      </c>
      <c r="C186" t="s">
        <v>506</v>
      </c>
      <c r="D186" t="s">
        <v>278</v>
      </c>
    </row>
    <row r="187" spans="1:5" x14ac:dyDescent="0.25">
      <c r="A187" s="58">
        <v>44568</v>
      </c>
      <c r="B187" t="s">
        <v>19</v>
      </c>
      <c r="C187" t="s">
        <v>508</v>
      </c>
      <c r="D187" t="s">
        <v>140</v>
      </c>
      <c r="E187" t="s">
        <v>507</v>
      </c>
    </row>
    <row r="188" spans="1:5" x14ac:dyDescent="0.25">
      <c r="A188" s="58">
        <v>44567</v>
      </c>
      <c r="B188" t="s">
        <v>135</v>
      </c>
      <c r="C188" t="s">
        <v>509</v>
      </c>
      <c r="D188" t="s">
        <v>278</v>
      </c>
    </row>
    <row r="189" spans="1:5" x14ac:dyDescent="0.25">
      <c r="A189" s="58">
        <v>44567</v>
      </c>
      <c r="B189" t="s">
        <v>135</v>
      </c>
      <c r="C189" t="s">
        <v>510</v>
      </c>
      <c r="D189" t="s">
        <v>278</v>
      </c>
    </row>
    <row r="190" spans="1:5" x14ac:dyDescent="0.25">
      <c r="A190" s="58">
        <v>44572</v>
      </c>
      <c r="B190" t="s">
        <v>20</v>
      </c>
      <c r="C190" t="s">
        <v>526</v>
      </c>
      <c r="D190" t="s">
        <v>336</v>
      </c>
    </row>
    <row r="191" spans="1:5" x14ac:dyDescent="0.25">
      <c r="A191" s="58">
        <v>44572</v>
      </c>
      <c r="B191" t="s">
        <v>527</v>
      </c>
      <c r="C191" t="s">
        <v>528</v>
      </c>
      <c r="D191" t="s">
        <v>336</v>
      </c>
    </row>
    <row r="192" spans="1:5" x14ac:dyDescent="0.25">
      <c r="A192" s="58">
        <v>44572</v>
      </c>
      <c r="B192" t="s">
        <v>269</v>
      </c>
      <c r="C192" t="s">
        <v>531</v>
      </c>
      <c r="D192" t="s">
        <v>278</v>
      </c>
    </row>
    <row r="193" spans="1:4" x14ac:dyDescent="0.25">
      <c r="A193" s="58">
        <v>44573</v>
      </c>
      <c r="B193" t="s">
        <v>269</v>
      </c>
      <c r="C193" t="s">
        <v>537</v>
      </c>
      <c r="D193" t="s">
        <v>336</v>
      </c>
    </row>
    <row r="194" spans="1:4" x14ac:dyDescent="0.25">
      <c r="A194" s="58">
        <v>44576</v>
      </c>
      <c r="B194" t="s">
        <v>135</v>
      </c>
      <c r="C194" t="s">
        <v>544</v>
      </c>
      <c r="D194" t="s">
        <v>278</v>
      </c>
    </row>
    <row r="195" spans="1:4" x14ac:dyDescent="0.25">
      <c r="A195" s="58">
        <v>44575</v>
      </c>
      <c r="B195" t="s">
        <v>269</v>
      </c>
      <c r="C195" t="s">
        <v>545</v>
      </c>
      <c r="D195" t="s">
        <v>278</v>
      </c>
    </row>
    <row r="196" spans="1:4" x14ac:dyDescent="0.25">
      <c r="A196" s="58">
        <v>44578</v>
      </c>
      <c r="B196" t="s">
        <v>269</v>
      </c>
      <c r="C196" t="s">
        <v>546</v>
      </c>
      <c r="D196" t="s">
        <v>336</v>
      </c>
    </row>
    <row r="197" spans="1:4" x14ac:dyDescent="0.25">
      <c r="A197" s="58">
        <v>44578</v>
      </c>
      <c r="B197" t="s">
        <v>547</v>
      </c>
      <c r="C197" t="s">
        <v>548</v>
      </c>
      <c r="D197" t="s">
        <v>534</v>
      </c>
    </row>
    <row r="198" spans="1:4" x14ac:dyDescent="0.25">
      <c r="A198" s="58">
        <v>44578</v>
      </c>
      <c r="B198" t="s">
        <v>135</v>
      </c>
      <c r="C198" t="s">
        <v>549</v>
      </c>
      <c r="D198" t="s">
        <v>133</v>
      </c>
    </row>
    <row r="199" spans="1:4" x14ac:dyDescent="0.25">
      <c r="A199" s="58">
        <v>44579</v>
      </c>
      <c r="B199" t="s">
        <v>20</v>
      </c>
      <c r="C199" t="s">
        <v>555</v>
      </c>
      <c r="D199" t="s">
        <v>556</v>
      </c>
    </row>
    <row r="200" spans="1:4" x14ac:dyDescent="0.25">
      <c r="A200" s="58">
        <v>44579</v>
      </c>
      <c r="B200" t="s">
        <v>557</v>
      </c>
      <c r="C200" t="s">
        <v>558</v>
      </c>
      <c r="D200" t="s">
        <v>534</v>
      </c>
    </row>
    <row r="201" spans="1:4" x14ac:dyDescent="0.25">
      <c r="A201" s="58">
        <v>44583</v>
      </c>
      <c r="B201" t="s">
        <v>20</v>
      </c>
      <c r="C201" t="s">
        <v>471</v>
      </c>
      <c r="D201" t="s">
        <v>140</v>
      </c>
    </row>
    <row r="202" spans="1:4" x14ac:dyDescent="0.25">
      <c r="A202" s="58">
        <v>44583</v>
      </c>
      <c r="B202" t="s">
        <v>19</v>
      </c>
      <c r="C202" t="s">
        <v>559</v>
      </c>
      <c r="D202" t="s">
        <v>140</v>
      </c>
    </row>
    <row r="203" spans="1:4" x14ac:dyDescent="0.25">
      <c r="A203" s="58">
        <v>44583</v>
      </c>
      <c r="B203" t="s">
        <v>561</v>
      </c>
      <c r="C203" t="s">
        <v>560</v>
      </c>
      <c r="D203" t="s">
        <v>140</v>
      </c>
    </row>
    <row r="204" spans="1:4" x14ac:dyDescent="0.25">
      <c r="A204" s="58">
        <v>44583</v>
      </c>
      <c r="B204" t="s">
        <v>562</v>
      </c>
      <c r="C204" t="s">
        <v>563</v>
      </c>
      <c r="D204" t="s">
        <v>140</v>
      </c>
    </row>
    <row r="205" spans="1:4" x14ac:dyDescent="0.25">
      <c r="A205" s="58">
        <v>44219</v>
      </c>
      <c r="B205" t="s">
        <v>269</v>
      </c>
      <c r="C205" t="s">
        <v>571</v>
      </c>
      <c r="D205" t="s">
        <v>133</v>
      </c>
    </row>
    <row r="206" spans="1:4" x14ac:dyDescent="0.25">
      <c r="A206" s="58">
        <v>44585</v>
      </c>
      <c r="B206" t="s">
        <v>564</v>
      </c>
      <c r="C206" t="s">
        <v>565</v>
      </c>
      <c r="D206" t="s">
        <v>534</v>
      </c>
    </row>
    <row r="207" spans="1:4" x14ac:dyDescent="0.25">
      <c r="A207" s="58">
        <v>44586</v>
      </c>
      <c r="B207" t="s">
        <v>269</v>
      </c>
      <c r="C207" t="s">
        <v>572</v>
      </c>
      <c r="D207" t="s">
        <v>336</v>
      </c>
    </row>
    <row r="208" spans="1:4" x14ac:dyDescent="0.25">
      <c r="A208" s="58">
        <v>44586</v>
      </c>
      <c r="B208" t="s">
        <v>269</v>
      </c>
      <c r="C208" t="s">
        <v>573</v>
      </c>
      <c r="D208" t="s">
        <v>336</v>
      </c>
    </row>
    <row r="209" spans="1:4" x14ac:dyDescent="0.25">
      <c r="A209" s="58">
        <v>44586</v>
      </c>
      <c r="B209" t="s">
        <v>568</v>
      </c>
      <c r="C209" t="s">
        <v>570</v>
      </c>
      <c r="D209" t="s">
        <v>569</v>
      </c>
    </row>
    <row r="210" spans="1:4" x14ac:dyDescent="0.25">
      <c r="A210" s="58">
        <v>44587</v>
      </c>
      <c r="B210" t="s">
        <v>576</v>
      </c>
      <c r="C210" t="s">
        <v>577</v>
      </c>
      <c r="D210" t="s">
        <v>569</v>
      </c>
    </row>
    <row r="211" spans="1:4" x14ac:dyDescent="0.25">
      <c r="A211" s="58">
        <v>44592</v>
      </c>
      <c r="B211" t="s">
        <v>579</v>
      </c>
      <c r="C211" t="s">
        <v>580</v>
      </c>
      <c r="D211" t="s">
        <v>336</v>
      </c>
    </row>
    <row r="212" spans="1:4" x14ac:dyDescent="0.25">
      <c r="A212" s="58">
        <v>44592</v>
      </c>
      <c r="B212" t="s">
        <v>19</v>
      </c>
      <c r="C212" t="s">
        <v>581</v>
      </c>
      <c r="D212" t="s">
        <v>569</v>
      </c>
    </row>
    <row r="213" spans="1:4" x14ac:dyDescent="0.25">
      <c r="A213" s="58">
        <v>44597</v>
      </c>
      <c r="B213" t="s">
        <v>20</v>
      </c>
      <c r="C213" t="s">
        <v>584</v>
      </c>
      <c r="D213" t="s">
        <v>278</v>
      </c>
    </row>
    <row r="214" spans="1:4" x14ac:dyDescent="0.25">
      <c r="A214" s="58">
        <v>44599</v>
      </c>
      <c r="B214" t="s">
        <v>20</v>
      </c>
      <c r="C214" t="s">
        <v>585</v>
      </c>
      <c r="D214" t="s">
        <v>336</v>
      </c>
    </row>
    <row r="215" spans="1:4" x14ac:dyDescent="0.25">
      <c r="A215" s="58">
        <v>44599</v>
      </c>
      <c r="B215" t="s">
        <v>269</v>
      </c>
      <c r="C215" t="s">
        <v>586</v>
      </c>
      <c r="D215" t="s">
        <v>569</v>
      </c>
    </row>
    <row r="216" spans="1:4" x14ac:dyDescent="0.25">
      <c r="A216" s="58">
        <v>44600</v>
      </c>
      <c r="B216" t="s">
        <v>22</v>
      </c>
      <c r="C216" t="s">
        <v>587</v>
      </c>
      <c r="D216" t="s">
        <v>569</v>
      </c>
    </row>
    <row r="217" spans="1:4" x14ac:dyDescent="0.25">
      <c r="A217" s="58">
        <v>44600</v>
      </c>
      <c r="B217" t="s">
        <v>20</v>
      </c>
      <c r="C217" t="s">
        <v>589</v>
      </c>
      <c r="D217" t="s">
        <v>278</v>
      </c>
    </row>
    <row r="218" spans="1:4" x14ac:dyDescent="0.25">
      <c r="A218" s="58">
        <v>44601</v>
      </c>
      <c r="B218" t="s">
        <v>22</v>
      </c>
      <c r="C218" t="s">
        <v>590</v>
      </c>
      <c r="D218" t="s">
        <v>534</v>
      </c>
    </row>
    <row r="219" spans="1:4" x14ac:dyDescent="0.25">
      <c r="A219" s="58">
        <v>44603</v>
      </c>
      <c r="B219" t="s">
        <v>19</v>
      </c>
      <c r="C219" t="s">
        <v>591</v>
      </c>
      <c r="D219" t="s">
        <v>140</v>
      </c>
    </row>
    <row r="220" spans="1:4" x14ac:dyDescent="0.25">
      <c r="A220" s="58">
        <v>44603</v>
      </c>
      <c r="B220" t="s">
        <v>20</v>
      </c>
      <c r="C220" t="s">
        <v>592</v>
      </c>
      <c r="D220" t="s">
        <v>140</v>
      </c>
    </row>
    <row r="221" spans="1:4" x14ac:dyDescent="0.25">
      <c r="A221" s="58">
        <v>44603</v>
      </c>
      <c r="B221" t="s">
        <v>20</v>
      </c>
      <c r="C221" t="s">
        <v>593</v>
      </c>
      <c r="D221" t="s">
        <v>140</v>
      </c>
    </row>
    <row r="222" spans="1:4" x14ac:dyDescent="0.25">
      <c r="A222" s="58">
        <v>44603</v>
      </c>
      <c r="B222" t="s">
        <v>20</v>
      </c>
      <c r="C222" t="s">
        <v>594</v>
      </c>
      <c r="D222" t="s">
        <v>140</v>
      </c>
    </row>
    <row r="223" spans="1:4" x14ac:dyDescent="0.25">
      <c r="A223" s="58">
        <v>44603</v>
      </c>
      <c r="B223" t="s">
        <v>22</v>
      </c>
      <c r="C223" t="s">
        <v>595</v>
      </c>
      <c r="D223" t="s">
        <v>569</v>
      </c>
    </row>
    <row r="224" spans="1:4" x14ac:dyDescent="0.25">
      <c r="A224" s="58">
        <v>44603</v>
      </c>
      <c r="B224" t="s">
        <v>269</v>
      </c>
      <c r="C224" t="s">
        <v>596</v>
      </c>
      <c r="D224" t="s">
        <v>534</v>
      </c>
    </row>
    <row r="225" spans="1:5" x14ac:dyDescent="0.25">
      <c r="A225" s="58">
        <v>44603</v>
      </c>
      <c r="B225" t="s">
        <v>213</v>
      </c>
      <c r="C225" t="s">
        <v>597</v>
      </c>
      <c r="D225" t="s">
        <v>534</v>
      </c>
    </row>
    <row r="226" spans="1:5" x14ac:dyDescent="0.25">
      <c r="A226" s="58">
        <v>44605</v>
      </c>
      <c r="B226" t="s">
        <v>269</v>
      </c>
      <c r="C226" t="s">
        <v>598</v>
      </c>
      <c r="D226" t="s">
        <v>133</v>
      </c>
    </row>
    <row r="227" spans="1:5" x14ac:dyDescent="0.25">
      <c r="A227" s="58">
        <v>44606</v>
      </c>
      <c r="B227" t="s">
        <v>22</v>
      </c>
      <c r="C227" t="s">
        <v>599</v>
      </c>
      <c r="D227" t="s">
        <v>569</v>
      </c>
    </row>
    <row r="228" spans="1:5" x14ac:dyDescent="0.25">
      <c r="A228" s="58">
        <v>44607</v>
      </c>
      <c r="B228" t="s">
        <v>20</v>
      </c>
      <c r="C228" t="s">
        <v>604</v>
      </c>
      <c r="D228" t="s">
        <v>133</v>
      </c>
      <c r="E228" t="s">
        <v>605</v>
      </c>
    </row>
    <row r="229" spans="1:5" x14ac:dyDescent="0.25">
      <c r="A229" s="58">
        <v>44607</v>
      </c>
      <c r="B229" t="s">
        <v>22</v>
      </c>
      <c r="C229" t="s">
        <v>607</v>
      </c>
      <c r="D229" t="s">
        <v>336</v>
      </c>
      <c r="E229" t="s">
        <v>608</v>
      </c>
    </row>
    <row r="230" spans="1:5" x14ac:dyDescent="0.25">
      <c r="A230" s="58">
        <v>44608</v>
      </c>
      <c r="B230" t="s">
        <v>20</v>
      </c>
      <c r="C230" t="s">
        <v>609</v>
      </c>
      <c r="D230" t="s">
        <v>278</v>
      </c>
    </row>
    <row r="231" spans="1:5" x14ac:dyDescent="0.25">
      <c r="A231" s="58">
        <v>44608</v>
      </c>
      <c r="B231" t="s">
        <v>269</v>
      </c>
      <c r="C231" t="s">
        <v>610</v>
      </c>
      <c r="D231" t="s">
        <v>534</v>
      </c>
    </row>
    <row r="232" spans="1:5" x14ac:dyDescent="0.25">
      <c r="A232" s="58">
        <v>44610</v>
      </c>
      <c r="B232" t="s">
        <v>20</v>
      </c>
      <c r="C232" t="s">
        <v>614</v>
      </c>
      <c r="D232" t="s">
        <v>140</v>
      </c>
    </row>
    <row r="233" spans="1:5" x14ac:dyDescent="0.25">
      <c r="A233" s="58">
        <v>44610</v>
      </c>
      <c r="B233" t="s">
        <v>269</v>
      </c>
      <c r="C233" t="s">
        <v>615</v>
      </c>
      <c r="D233" t="s">
        <v>140</v>
      </c>
    </row>
    <row r="234" spans="1:5" x14ac:dyDescent="0.25">
      <c r="A234" s="58">
        <v>44615</v>
      </c>
      <c r="B234" t="s">
        <v>269</v>
      </c>
      <c r="C234" t="s">
        <v>636</v>
      </c>
      <c r="D234" t="s">
        <v>336</v>
      </c>
      <c r="E234" t="s">
        <v>638</v>
      </c>
    </row>
    <row r="235" spans="1:5" x14ac:dyDescent="0.25">
      <c r="A235" s="58">
        <v>44615</v>
      </c>
      <c r="B235" t="s">
        <v>20</v>
      </c>
      <c r="C235" t="s">
        <v>637</v>
      </c>
      <c r="D235" t="s">
        <v>336</v>
      </c>
      <c r="E235" t="s">
        <v>639</v>
      </c>
    </row>
    <row r="236" spans="1:5" x14ac:dyDescent="0.25">
      <c r="A236" s="58">
        <v>44615</v>
      </c>
      <c r="B236" t="s">
        <v>22</v>
      </c>
      <c r="C236" t="s">
        <v>641</v>
      </c>
      <c r="D236" t="s">
        <v>278</v>
      </c>
    </row>
    <row r="237" spans="1:5" x14ac:dyDescent="0.25">
      <c r="A237" s="58">
        <v>44616</v>
      </c>
      <c r="B237" t="s">
        <v>22</v>
      </c>
      <c r="C237" t="s">
        <v>642</v>
      </c>
      <c r="D237" t="s">
        <v>569</v>
      </c>
    </row>
    <row r="238" spans="1:5" x14ac:dyDescent="0.25">
      <c r="A238" s="58">
        <v>44616</v>
      </c>
      <c r="B238" t="s">
        <v>20</v>
      </c>
      <c r="C238" s="189" t="s">
        <v>643</v>
      </c>
      <c r="D238" t="s">
        <v>336</v>
      </c>
    </row>
    <row r="239" spans="1:5" x14ac:dyDescent="0.25">
      <c r="A239" s="58">
        <v>44616</v>
      </c>
      <c r="B239" t="s">
        <v>644</v>
      </c>
      <c r="C239" t="s">
        <v>645</v>
      </c>
      <c r="D239" t="s">
        <v>336</v>
      </c>
    </row>
    <row r="240" spans="1:5" x14ac:dyDescent="0.25">
      <c r="A240" s="58">
        <v>44616</v>
      </c>
      <c r="B240" t="s">
        <v>135</v>
      </c>
      <c r="C240" t="s">
        <v>646</v>
      </c>
      <c r="D240" t="s">
        <v>336</v>
      </c>
    </row>
    <row r="241" spans="1:5" x14ac:dyDescent="0.25">
      <c r="A241" s="58">
        <v>44617</v>
      </c>
      <c r="B241" t="s">
        <v>135</v>
      </c>
      <c r="C241" t="s">
        <v>655</v>
      </c>
      <c r="D241" t="s">
        <v>278</v>
      </c>
    </row>
    <row r="242" spans="1:5" x14ac:dyDescent="0.25">
      <c r="A242" s="58">
        <v>44619</v>
      </c>
      <c r="B242" t="s">
        <v>269</v>
      </c>
      <c r="C242" t="s">
        <v>659</v>
      </c>
      <c r="D242" t="s">
        <v>336</v>
      </c>
    </row>
    <row r="243" spans="1:5" x14ac:dyDescent="0.25">
      <c r="A243" s="58">
        <v>44620</v>
      </c>
      <c r="B243" t="s">
        <v>22</v>
      </c>
      <c r="C243" t="s">
        <v>660</v>
      </c>
      <c r="D243" t="s">
        <v>569</v>
      </c>
      <c r="E243" t="s">
        <v>661</v>
      </c>
    </row>
    <row r="244" spans="1:5" x14ac:dyDescent="0.25">
      <c r="A244" s="58">
        <v>44620</v>
      </c>
      <c r="B244" t="s">
        <v>135</v>
      </c>
      <c r="C244" t="s">
        <v>662</v>
      </c>
      <c r="D244" t="s">
        <v>133</v>
      </c>
    </row>
    <row r="245" spans="1:5" x14ac:dyDescent="0.25">
      <c r="A245" s="58">
        <v>44621</v>
      </c>
      <c r="B245" t="s">
        <v>20</v>
      </c>
      <c r="C245" t="s">
        <v>663</v>
      </c>
      <c r="D245" t="s">
        <v>336</v>
      </c>
    </row>
    <row r="246" spans="1:5" x14ac:dyDescent="0.25">
      <c r="A246" s="58">
        <v>44621</v>
      </c>
      <c r="B246" t="s">
        <v>20</v>
      </c>
      <c r="C246" t="s">
        <v>664</v>
      </c>
      <c r="D246" t="s">
        <v>336</v>
      </c>
    </row>
    <row r="247" spans="1:5" x14ac:dyDescent="0.25">
      <c r="A247" s="58">
        <v>44622</v>
      </c>
      <c r="B247" t="s">
        <v>667</v>
      </c>
      <c r="C247" t="s">
        <v>668</v>
      </c>
      <c r="D247" t="s">
        <v>569</v>
      </c>
    </row>
    <row r="248" spans="1:5" x14ac:dyDescent="0.25">
      <c r="A248" s="58">
        <v>44622</v>
      </c>
      <c r="B248" t="s">
        <v>22</v>
      </c>
      <c r="C248" t="s">
        <v>675</v>
      </c>
      <c r="D248" t="s">
        <v>569</v>
      </c>
    </row>
    <row r="249" spans="1:5" x14ac:dyDescent="0.25">
      <c r="A249" s="58">
        <v>44623</v>
      </c>
      <c r="B249" t="s">
        <v>269</v>
      </c>
      <c r="C249" t="s">
        <v>669</v>
      </c>
      <c r="D249" t="s">
        <v>336</v>
      </c>
    </row>
    <row r="250" spans="1:5" x14ac:dyDescent="0.25">
      <c r="A250" s="58">
        <v>44623</v>
      </c>
      <c r="B250" t="s">
        <v>568</v>
      </c>
      <c r="C250" t="s">
        <v>676</v>
      </c>
      <c r="D250" t="s">
        <v>569</v>
      </c>
    </row>
    <row r="251" spans="1:5" x14ac:dyDescent="0.25">
      <c r="A251" s="58">
        <v>44624</v>
      </c>
      <c r="B251" t="s">
        <v>677</v>
      </c>
      <c r="C251" t="s">
        <v>678</v>
      </c>
      <c r="D251" t="s">
        <v>569</v>
      </c>
    </row>
    <row r="252" spans="1:5" x14ac:dyDescent="0.25">
      <c r="A252" s="58">
        <v>44626</v>
      </c>
      <c r="B252" t="s">
        <v>269</v>
      </c>
      <c r="C252" t="s">
        <v>679</v>
      </c>
      <c r="D252" t="s">
        <v>336</v>
      </c>
    </row>
    <row r="253" spans="1:5" x14ac:dyDescent="0.25">
      <c r="A253" s="58">
        <v>44626</v>
      </c>
      <c r="B253" t="s">
        <v>22</v>
      </c>
      <c r="C253" t="s">
        <v>680</v>
      </c>
      <c r="D253" t="s">
        <v>336</v>
      </c>
    </row>
    <row r="254" spans="1:5" x14ac:dyDescent="0.25">
      <c r="A254" s="58">
        <v>44631</v>
      </c>
      <c r="B254" t="s">
        <v>688</v>
      </c>
      <c r="C254" t="s">
        <v>689</v>
      </c>
      <c r="D254" t="s">
        <v>534</v>
      </c>
    </row>
    <row r="255" spans="1:5" x14ac:dyDescent="0.25">
      <c r="A255" s="58">
        <v>44633</v>
      </c>
      <c r="B255" t="s">
        <v>135</v>
      </c>
      <c r="C255" t="s">
        <v>693</v>
      </c>
      <c r="D255" t="s">
        <v>336</v>
      </c>
    </row>
    <row r="256" spans="1:5" x14ac:dyDescent="0.25">
      <c r="A256" s="58">
        <v>44635</v>
      </c>
      <c r="B256" t="s">
        <v>644</v>
      </c>
      <c r="C256" t="s">
        <v>694</v>
      </c>
      <c r="D256" t="s">
        <v>569</v>
      </c>
    </row>
    <row r="257" spans="1:4" x14ac:dyDescent="0.25">
      <c r="A257" s="58">
        <v>44639</v>
      </c>
      <c r="B257" t="s">
        <v>22</v>
      </c>
      <c r="C257" t="s">
        <v>696</v>
      </c>
      <c r="D257" t="s">
        <v>278</v>
      </c>
    </row>
    <row r="258" spans="1:4" x14ac:dyDescent="0.25">
      <c r="A258" s="58">
        <v>44642</v>
      </c>
      <c r="B258" t="s">
        <v>269</v>
      </c>
      <c r="C258" t="s">
        <v>697</v>
      </c>
      <c r="D258" t="s">
        <v>133</v>
      </c>
    </row>
    <row r="259" spans="1:4" x14ac:dyDescent="0.25">
      <c r="A259" s="58">
        <v>44642</v>
      </c>
      <c r="B259" t="s">
        <v>699</v>
      </c>
      <c r="C259" t="s">
        <v>698</v>
      </c>
      <c r="D259" t="s">
        <v>569</v>
      </c>
    </row>
    <row r="260" spans="1:4" x14ac:dyDescent="0.25">
      <c r="A260" s="58">
        <v>44643</v>
      </c>
      <c r="B260" t="s">
        <v>700</v>
      </c>
      <c r="C260" t="s">
        <v>662</v>
      </c>
      <c r="D260" t="s">
        <v>133</v>
      </c>
    </row>
    <row r="261" spans="1:4" x14ac:dyDescent="0.25">
      <c r="A261" s="58">
        <v>44646</v>
      </c>
      <c r="B261" t="s">
        <v>20</v>
      </c>
      <c r="C261" t="s">
        <v>701</v>
      </c>
      <c r="D261" t="s">
        <v>278</v>
      </c>
    </row>
    <row r="262" spans="1:4" x14ac:dyDescent="0.25">
      <c r="A262" s="58">
        <v>44649</v>
      </c>
      <c r="B262" t="s">
        <v>702</v>
      </c>
      <c r="C262" t="s">
        <v>694</v>
      </c>
      <c r="D262" t="s">
        <v>569</v>
      </c>
    </row>
    <row r="263" spans="1:4" x14ac:dyDescent="0.25">
      <c r="A263" s="58">
        <v>44656</v>
      </c>
      <c r="B263" t="s">
        <v>702</v>
      </c>
      <c r="C263" t="s">
        <v>704</v>
      </c>
      <c r="D263" t="s">
        <v>569</v>
      </c>
    </row>
    <row r="264" spans="1:4" x14ac:dyDescent="0.25">
      <c r="A264" s="58">
        <v>44663</v>
      </c>
      <c r="B264" t="s">
        <v>702</v>
      </c>
      <c r="C264" t="s">
        <v>694</v>
      </c>
      <c r="D264" t="s">
        <v>569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93D1-990C-4DD0-8DF6-9636648BC112}">
  <dimension ref="A1:P85"/>
  <sheetViews>
    <sheetView tabSelected="1" zoomScale="80" zoomScaleNormal="80" workbookViewId="0">
      <pane ySplit="1" topLeftCell="A2" activePane="bottomLeft" state="frozen"/>
      <selection pane="bottomLeft" activeCell="R13" sqref="R13"/>
    </sheetView>
  </sheetViews>
  <sheetFormatPr defaultRowHeight="15" x14ac:dyDescent="0.25"/>
  <cols>
    <col min="1" max="1" width="14.85546875" customWidth="1"/>
    <col min="2" max="2" width="74" customWidth="1"/>
    <col min="3" max="3" width="17.28515625" customWidth="1"/>
    <col min="4" max="4" width="19.85546875" customWidth="1"/>
    <col min="5" max="6" width="10.28515625" customWidth="1"/>
    <col min="7" max="7" width="6.85546875" customWidth="1"/>
    <col min="8" max="8" width="12.5703125" bestFit="1" customWidth="1"/>
    <col min="9" max="9" width="14.85546875" style="221" bestFit="1" customWidth="1"/>
    <col min="10" max="10" width="11.28515625" customWidth="1"/>
    <col min="11" max="13" width="14.85546875" bestFit="1" customWidth="1"/>
    <col min="14" max="14" width="19.140625" bestFit="1" customWidth="1"/>
  </cols>
  <sheetData>
    <row r="1" spans="1:16" ht="15.75" thickBot="1" x14ac:dyDescent="0.3">
      <c r="A1" s="290" t="s">
        <v>147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2"/>
    </row>
    <row r="2" spans="1:16" ht="15.75" thickBot="1" x14ac:dyDescent="0.3">
      <c r="A2" s="59" t="s">
        <v>14</v>
      </c>
      <c r="B2" s="60" t="s">
        <v>24</v>
      </c>
      <c r="C2" s="60" t="s">
        <v>12</v>
      </c>
      <c r="D2" s="59" t="s">
        <v>99</v>
      </c>
      <c r="E2" s="61" t="s">
        <v>246</v>
      </c>
      <c r="F2" s="61" t="s">
        <v>247</v>
      </c>
      <c r="G2" s="104" t="s">
        <v>148</v>
      </c>
      <c r="H2" s="62" t="s">
        <v>149</v>
      </c>
      <c r="I2" s="209" t="s">
        <v>150</v>
      </c>
      <c r="J2" s="62" t="s">
        <v>151</v>
      </c>
      <c r="K2" s="63" t="s">
        <v>152</v>
      </c>
      <c r="L2" s="62" t="s">
        <v>153</v>
      </c>
      <c r="M2" s="63" t="s">
        <v>154</v>
      </c>
      <c r="N2" s="63" t="s">
        <v>155</v>
      </c>
    </row>
    <row r="3" spans="1:16" x14ac:dyDescent="0.25">
      <c r="A3" s="230" t="s">
        <v>15</v>
      </c>
      <c r="B3" s="17" t="s">
        <v>82</v>
      </c>
      <c r="C3" s="17" t="s">
        <v>83</v>
      </c>
      <c r="D3" s="25" t="s">
        <v>84</v>
      </c>
      <c r="E3" s="17">
        <v>1</v>
      </c>
      <c r="F3" s="17">
        <v>1</v>
      </c>
      <c r="G3" s="99">
        <v>10</v>
      </c>
      <c r="H3" s="64">
        <v>41.5</v>
      </c>
      <c r="I3" s="210">
        <f>G3/H3</f>
        <v>0.24096385542168675</v>
      </c>
      <c r="J3" s="18">
        <v>23100</v>
      </c>
      <c r="K3" s="17">
        <f>I3/J3*1000</f>
        <v>1.0431335732540551E-2</v>
      </c>
      <c r="L3" s="18">
        <f>K3*1000</f>
        <v>10.431335732540552</v>
      </c>
      <c r="M3" s="17">
        <f>L3*1000</f>
        <v>10431.335732540552</v>
      </c>
      <c r="N3" s="17">
        <v>3</v>
      </c>
    </row>
    <row r="4" spans="1:16" x14ac:dyDescent="0.25">
      <c r="A4" s="231"/>
      <c r="B4" s="5" t="s">
        <v>303</v>
      </c>
      <c r="C4" s="5" t="s">
        <v>33</v>
      </c>
      <c r="D4" s="27">
        <v>6760002</v>
      </c>
      <c r="E4" s="5">
        <v>1</v>
      </c>
      <c r="F4" s="5">
        <v>2</v>
      </c>
      <c r="G4" s="100"/>
      <c r="H4" s="8"/>
      <c r="I4" s="211">
        <v>5</v>
      </c>
      <c r="J4" s="8"/>
      <c r="K4" s="5"/>
      <c r="L4" s="8"/>
      <c r="M4" s="5"/>
      <c r="N4" s="5">
        <v>0.06</v>
      </c>
    </row>
    <row r="5" spans="1:16" x14ac:dyDescent="0.25">
      <c r="A5" s="231"/>
      <c r="B5" s="5" t="s">
        <v>85</v>
      </c>
      <c r="C5" s="5" t="s">
        <v>33</v>
      </c>
      <c r="D5" s="27" t="s">
        <v>86</v>
      </c>
      <c r="E5" s="5">
        <v>1</v>
      </c>
      <c r="F5" s="5">
        <v>2</v>
      </c>
      <c r="G5" s="100"/>
      <c r="H5" s="8"/>
      <c r="I5" s="211">
        <v>5</v>
      </c>
      <c r="J5" s="8"/>
      <c r="K5" s="5"/>
      <c r="L5" s="8"/>
      <c r="M5" s="5"/>
      <c r="N5" s="5">
        <v>0.06</v>
      </c>
    </row>
    <row r="6" spans="1:16" ht="15.75" thickBot="1" x14ac:dyDescent="0.3">
      <c r="A6" s="237"/>
      <c r="B6" s="9" t="s">
        <v>88</v>
      </c>
      <c r="C6" s="9"/>
      <c r="D6" s="36"/>
      <c r="E6" s="9">
        <v>0</v>
      </c>
      <c r="F6" s="9"/>
      <c r="G6" s="105"/>
      <c r="H6" s="10"/>
      <c r="I6" s="212">
        <v>10</v>
      </c>
      <c r="J6" s="10">
        <v>55814</v>
      </c>
      <c r="K6" s="9"/>
      <c r="L6" s="10"/>
      <c r="M6" s="9"/>
      <c r="N6" s="9">
        <v>100</v>
      </c>
    </row>
    <row r="7" spans="1:16" x14ac:dyDescent="0.25">
      <c r="A7" s="227" t="s">
        <v>18</v>
      </c>
      <c r="B7" s="13" t="s">
        <v>191</v>
      </c>
      <c r="C7" s="18" t="s">
        <v>192</v>
      </c>
      <c r="D7" s="25" t="s">
        <v>193</v>
      </c>
      <c r="E7" s="17">
        <v>1</v>
      </c>
      <c r="F7" s="17">
        <v>1</v>
      </c>
      <c r="G7" s="18">
        <v>100</v>
      </c>
      <c r="H7" s="92">
        <v>500</v>
      </c>
      <c r="I7" s="213">
        <f>G7/H7</f>
        <v>0.2</v>
      </c>
      <c r="J7" s="17">
        <v>14500</v>
      </c>
      <c r="K7" s="18">
        <f>I7/J7*1000</f>
        <v>1.3793103448275864E-2</v>
      </c>
      <c r="L7" s="17">
        <f>K7*1000</f>
        <v>13.793103448275863</v>
      </c>
      <c r="M7" s="18">
        <f>L7*1000</f>
        <v>13793.103448275862</v>
      </c>
      <c r="N7" s="17">
        <v>30</v>
      </c>
    </row>
    <row r="8" spans="1:16" x14ac:dyDescent="0.25">
      <c r="A8" s="228"/>
      <c r="B8" s="4" t="s">
        <v>304</v>
      </c>
      <c r="C8" s="7" t="s">
        <v>33</v>
      </c>
      <c r="D8" s="30">
        <v>6760002</v>
      </c>
      <c r="E8" s="5">
        <v>1</v>
      </c>
      <c r="F8" s="5">
        <v>2</v>
      </c>
      <c r="G8" s="7"/>
      <c r="H8" s="4"/>
      <c r="I8" s="214">
        <v>5</v>
      </c>
      <c r="J8" s="93"/>
      <c r="K8" s="7"/>
      <c r="L8" s="4"/>
      <c r="M8" s="7"/>
      <c r="N8" s="4">
        <v>0.06</v>
      </c>
      <c r="P8" s="66"/>
    </row>
    <row r="9" spans="1:16" x14ac:dyDescent="0.25">
      <c r="A9" s="228"/>
      <c r="B9" s="5" t="s">
        <v>80</v>
      </c>
      <c r="C9" s="8" t="s">
        <v>33</v>
      </c>
      <c r="D9" s="27" t="s">
        <v>81</v>
      </c>
      <c r="E9" s="5">
        <v>1</v>
      </c>
      <c r="F9" s="5">
        <v>2</v>
      </c>
      <c r="G9" s="8"/>
      <c r="H9" s="5"/>
      <c r="I9" s="215">
        <v>5</v>
      </c>
      <c r="J9" s="5"/>
      <c r="K9" s="8"/>
      <c r="L9" s="5"/>
      <c r="M9" s="8"/>
      <c r="N9" s="5">
        <v>0.06</v>
      </c>
    </row>
    <row r="10" spans="1:16" ht="15.75" thickBot="1" x14ac:dyDescent="0.3">
      <c r="A10" s="229"/>
      <c r="B10" s="6" t="s">
        <v>89</v>
      </c>
      <c r="C10" s="16"/>
      <c r="D10" s="28" t="s">
        <v>18</v>
      </c>
      <c r="E10" s="6">
        <v>0</v>
      </c>
      <c r="F10" s="6"/>
      <c r="G10" s="16"/>
      <c r="H10" s="6"/>
      <c r="I10" s="216">
        <v>8.9</v>
      </c>
      <c r="J10" s="6">
        <v>146814.4074</v>
      </c>
      <c r="K10" s="16"/>
      <c r="L10" s="6"/>
      <c r="M10" s="16"/>
      <c r="N10" s="6">
        <v>100</v>
      </c>
    </row>
    <row r="11" spans="1:16" ht="15" customHeight="1" x14ac:dyDescent="0.25">
      <c r="A11" s="239" t="s">
        <v>269</v>
      </c>
      <c r="B11" s="17" t="s">
        <v>248</v>
      </c>
      <c r="C11" s="18" t="s">
        <v>33</v>
      </c>
      <c r="D11" s="17" t="s">
        <v>34</v>
      </c>
      <c r="E11" s="17">
        <v>0</v>
      </c>
      <c r="F11" s="25">
        <v>2</v>
      </c>
      <c r="G11" s="17"/>
      <c r="H11" s="18"/>
      <c r="I11" s="210">
        <v>5</v>
      </c>
      <c r="J11" s="18"/>
      <c r="K11" s="17"/>
      <c r="L11" s="18"/>
      <c r="M11" s="17"/>
      <c r="N11" s="222">
        <v>0.09</v>
      </c>
    </row>
    <row r="12" spans="1:16" x14ac:dyDescent="0.25">
      <c r="A12" s="240"/>
      <c r="B12" s="5" t="s">
        <v>57</v>
      </c>
      <c r="C12" s="8" t="s">
        <v>33</v>
      </c>
      <c r="D12" s="5" t="s">
        <v>35</v>
      </c>
      <c r="E12" s="5">
        <v>0</v>
      </c>
      <c r="F12" s="27">
        <v>2</v>
      </c>
      <c r="G12" s="5"/>
      <c r="H12" s="8"/>
      <c r="I12" s="211">
        <v>5</v>
      </c>
      <c r="J12" s="8"/>
      <c r="K12" s="5"/>
      <c r="L12" s="8"/>
      <c r="M12" s="5"/>
      <c r="N12" s="223">
        <v>0.09</v>
      </c>
    </row>
    <row r="13" spans="1:16" x14ac:dyDescent="0.25">
      <c r="A13" s="240"/>
      <c r="B13" s="5" t="s">
        <v>250</v>
      </c>
      <c r="C13" s="8" t="s">
        <v>72</v>
      </c>
      <c r="D13" s="5" t="s">
        <v>251</v>
      </c>
      <c r="E13" s="5">
        <v>1</v>
      </c>
      <c r="F13" s="27">
        <v>1</v>
      </c>
      <c r="G13" s="5">
        <v>20</v>
      </c>
      <c r="H13" s="8">
        <v>100</v>
      </c>
      <c r="I13" s="211">
        <v>1</v>
      </c>
      <c r="J13" s="8">
        <v>150000</v>
      </c>
      <c r="K13" s="5">
        <f>I13/J13*1000</f>
        <v>6.6666666666666662E-3</v>
      </c>
      <c r="L13" s="8">
        <f>K13*1000</f>
        <v>6.6666666666666661</v>
      </c>
      <c r="M13" s="5">
        <f>L13*1000</f>
        <v>6666.6666666666661</v>
      </c>
      <c r="N13" s="5">
        <v>1.1000000000000001</v>
      </c>
    </row>
    <row r="14" spans="1:16" x14ac:dyDescent="0.25">
      <c r="A14" s="240"/>
      <c r="B14" s="5" t="s">
        <v>249</v>
      </c>
      <c r="C14" s="8" t="s">
        <v>252</v>
      </c>
      <c r="D14" s="5" t="s">
        <v>253</v>
      </c>
      <c r="E14" s="5">
        <v>1</v>
      </c>
      <c r="F14" s="27">
        <v>1</v>
      </c>
      <c r="G14" s="5">
        <v>2.5</v>
      </c>
      <c r="H14" s="8">
        <v>100</v>
      </c>
      <c r="I14" s="211">
        <v>0.13</v>
      </c>
      <c r="J14" s="8">
        <v>150000</v>
      </c>
      <c r="K14" s="5">
        <f>I14/J14*1000</f>
        <v>8.6666666666666674E-4</v>
      </c>
      <c r="L14" s="8">
        <f>K14*1000</f>
        <v>0.8666666666666667</v>
      </c>
      <c r="M14" s="5">
        <f>L14*1000</f>
        <v>866.66666666666674</v>
      </c>
      <c r="N14" s="5">
        <v>0.37</v>
      </c>
    </row>
    <row r="15" spans="1:16" x14ac:dyDescent="0.25">
      <c r="A15" s="240"/>
      <c r="B15" s="5" t="s">
        <v>254</v>
      </c>
      <c r="C15" s="8" t="s">
        <v>72</v>
      </c>
      <c r="D15" s="5" t="s">
        <v>251</v>
      </c>
      <c r="E15" s="5">
        <v>2</v>
      </c>
      <c r="F15" s="27">
        <v>1</v>
      </c>
      <c r="G15" s="5">
        <v>100</v>
      </c>
      <c r="H15" s="8">
        <v>100</v>
      </c>
      <c r="I15" s="211">
        <f>G15/H15</f>
        <v>1</v>
      </c>
      <c r="J15" s="8">
        <v>150000</v>
      </c>
      <c r="K15" s="5">
        <f t="shared" ref="K15" si="0">I15/J15*1000</f>
        <v>6.6666666666666662E-3</v>
      </c>
      <c r="L15" s="8">
        <f t="shared" ref="L15:M15" si="1">K15*1000</f>
        <v>6.6666666666666661</v>
      </c>
      <c r="M15" s="5">
        <f t="shared" si="1"/>
        <v>6666.6666666666661</v>
      </c>
      <c r="N15" s="5">
        <v>0.37</v>
      </c>
    </row>
    <row r="16" spans="1:16" x14ac:dyDescent="0.25">
      <c r="A16" s="240"/>
      <c r="B16" s="5" t="s">
        <v>255</v>
      </c>
      <c r="C16" s="8" t="s">
        <v>252</v>
      </c>
      <c r="D16" s="5" t="s">
        <v>256</v>
      </c>
      <c r="E16" s="5">
        <v>2</v>
      </c>
      <c r="F16" s="27">
        <v>1</v>
      </c>
      <c r="G16" s="5">
        <v>100</v>
      </c>
      <c r="H16" s="8">
        <v>100</v>
      </c>
      <c r="I16" s="211">
        <f>G16/H16</f>
        <v>1</v>
      </c>
      <c r="J16" s="8">
        <v>150000</v>
      </c>
      <c r="K16" s="5">
        <f>I16/J16*1000</f>
        <v>6.6666666666666662E-3</v>
      </c>
      <c r="L16" s="8">
        <f>K16*1000</f>
        <v>6.6666666666666661</v>
      </c>
      <c r="M16" s="5">
        <f>L16*1000</f>
        <v>6666.6666666666661</v>
      </c>
      <c r="N16" s="5">
        <v>1.1000000000000001</v>
      </c>
    </row>
    <row r="17" spans="1:14" ht="15.75" thickBot="1" x14ac:dyDescent="0.3">
      <c r="A17" s="241"/>
      <c r="B17" s="6" t="s">
        <v>259</v>
      </c>
      <c r="C17" s="16"/>
      <c r="D17" s="6"/>
      <c r="E17" s="6">
        <v>0</v>
      </c>
      <c r="F17" s="28"/>
      <c r="G17" s="6"/>
      <c r="H17" s="16"/>
      <c r="I17" s="217">
        <v>2</v>
      </c>
      <c r="J17" s="16">
        <v>69000</v>
      </c>
      <c r="K17" s="6"/>
      <c r="L17" s="16"/>
      <c r="M17" s="6"/>
      <c r="N17" s="6">
        <v>30</v>
      </c>
    </row>
    <row r="18" spans="1:14" x14ac:dyDescent="0.25">
      <c r="A18" s="239" t="s">
        <v>270</v>
      </c>
      <c r="B18" s="119" t="s">
        <v>271</v>
      </c>
      <c r="C18" s="17" t="s">
        <v>72</v>
      </c>
      <c r="D18" s="117" t="s">
        <v>272</v>
      </c>
      <c r="E18" s="17">
        <v>1</v>
      </c>
      <c r="F18" s="17">
        <v>1</v>
      </c>
      <c r="G18" s="4">
        <v>100</v>
      </c>
      <c r="H18" s="8">
        <v>200</v>
      </c>
      <c r="I18" s="211">
        <f>G18/H18</f>
        <v>0.5</v>
      </c>
      <c r="J18" s="8">
        <v>72600</v>
      </c>
      <c r="K18" s="5">
        <f>I18/J18*1000</f>
        <v>6.8870523415977963E-3</v>
      </c>
      <c r="L18" s="8">
        <v>100</v>
      </c>
      <c r="M18" s="5">
        <f>L18*1000</f>
        <v>100000</v>
      </c>
      <c r="N18" s="122">
        <v>6.6</v>
      </c>
    </row>
    <row r="19" spans="1:14" x14ac:dyDescent="0.25">
      <c r="A19" s="240"/>
      <c r="B19" s="120" t="s">
        <v>303</v>
      </c>
      <c r="C19" s="5" t="s">
        <v>33</v>
      </c>
      <c r="D19" s="103">
        <v>6760002</v>
      </c>
      <c r="E19" s="9">
        <v>1</v>
      </c>
      <c r="F19" s="9">
        <v>2</v>
      </c>
      <c r="G19" s="9"/>
      <c r="H19" s="10"/>
      <c r="I19" s="212">
        <v>5</v>
      </c>
      <c r="J19" s="10"/>
      <c r="K19" s="9"/>
      <c r="L19" s="10"/>
      <c r="M19" s="9"/>
      <c r="N19" s="105">
        <v>0.04</v>
      </c>
    </row>
    <row r="20" spans="1:14" x14ac:dyDescent="0.25">
      <c r="A20" s="240"/>
      <c r="B20" s="120" t="s">
        <v>43</v>
      </c>
      <c r="C20" s="5" t="s">
        <v>33</v>
      </c>
      <c r="D20" s="118" t="s">
        <v>44</v>
      </c>
      <c r="E20" s="9">
        <v>1</v>
      </c>
      <c r="F20" s="9">
        <v>2</v>
      </c>
      <c r="G20" s="9"/>
      <c r="H20" s="10"/>
      <c r="I20" s="212">
        <v>5</v>
      </c>
      <c r="J20" s="10"/>
      <c r="K20" s="9"/>
      <c r="L20" s="10"/>
      <c r="M20" s="9"/>
      <c r="N20" s="105">
        <v>0.04</v>
      </c>
    </row>
    <row r="21" spans="1:14" ht="15.75" thickBot="1" x14ac:dyDescent="0.3">
      <c r="A21" s="241"/>
      <c r="B21" s="28" t="s">
        <v>260</v>
      </c>
      <c r="C21" s="6"/>
      <c r="D21" s="83"/>
      <c r="E21" s="6">
        <v>0</v>
      </c>
      <c r="F21" s="6"/>
      <c r="G21" s="6"/>
      <c r="H21" s="16"/>
      <c r="I21" s="217">
        <v>2</v>
      </c>
      <c r="J21" s="16">
        <v>148000</v>
      </c>
      <c r="K21" s="6"/>
      <c r="L21" s="16"/>
      <c r="M21" s="6"/>
      <c r="N21" s="83">
        <v>20</v>
      </c>
    </row>
    <row r="22" spans="1:14" x14ac:dyDescent="0.25">
      <c r="A22" s="234" t="s">
        <v>135</v>
      </c>
      <c r="B22" s="4" t="s">
        <v>74</v>
      </c>
      <c r="C22" s="7" t="s">
        <v>75</v>
      </c>
      <c r="D22" s="30"/>
      <c r="E22" s="4">
        <v>1</v>
      </c>
      <c r="F22" s="4">
        <v>1</v>
      </c>
      <c r="G22" s="106">
        <v>5000</v>
      </c>
      <c r="H22" s="65">
        <v>1000</v>
      </c>
      <c r="I22" s="218">
        <f>G22/H22</f>
        <v>5</v>
      </c>
      <c r="J22" s="7">
        <v>929.56700000000001</v>
      </c>
      <c r="K22" s="4">
        <f>I22/J22*1000</f>
        <v>5.3788484315815861</v>
      </c>
      <c r="L22" s="7">
        <v>100</v>
      </c>
      <c r="M22" s="4">
        <f>L22*1000</f>
        <v>100000</v>
      </c>
      <c r="N22" s="67">
        <v>20</v>
      </c>
    </row>
    <row r="23" spans="1:14" x14ac:dyDescent="0.25">
      <c r="A23" s="235"/>
      <c r="B23" s="5" t="s">
        <v>76</v>
      </c>
      <c r="C23" s="8" t="s">
        <v>77</v>
      </c>
      <c r="D23" s="27" t="s">
        <v>78</v>
      </c>
      <c r="E23" s="5">
        <v>1</v>
      </c>
      <c r="F23" s="5">
        <v>1</v>
      </c>
      <c r="G23" s="100">
        <v>536</v>
      </c>
      <c r="H23" s="8">
        <v>1000</v>
      </c>
      <c r="I23" s="211">
        <f>G23/H23</f>
        <v>0.53600000000000003</v>
      </c>
      <c r="J23" s="8">
        <v>150000</v>
      </c>
      <c r="K23" s="5">
        <f>I23/J23*1000</f>
        <v>3.5733333333333337E-3</v>
      </c>
      <c r="L23" s="8">
        <f>K23*1000</f>
        <v>3.5733333333333337</v>
      </c>
      <c r="M23" s="5">
        <f>L23*1000</f>
        <v>3573.3333333333335</v>
      </c>
      <c r="N23" s="5">
        <v>2.2000000000000002</v>
      </c>
    </row>
    <row r="24" spans="1:14" x14ac:dyDescent="0.25">
      <c r="A24" s="235"/>
      <c r="B24" s="5" t="s">
        <v>303</v>
      </c>
      <c r="C24" s="8" t="s">
        <v>33</v>
      </c>
      <c r="D24" s="27">
        <v>6760002</v>
      </c>
      <c r="E24" s="5">
        <v>1</v>
      </c>
      <c r="F24" s="5">
        <v>1</v>
      </c>
      <c r="G24" s="100"/>
      <c r="H24" s="8"/>
      <c r="I24" s="211">
        <v>5</v>
      </c>
      <c r="J24" s="8"/>
      <c r="K24" s="5"/>
      <c r="L24" s="8"/>
      <c r="M24" s="5"/>
      <c r="N24" s="5">
        <v>0.06</v>
      </c>
    </row>
    <row r="25" spans="1:14" x14ac:dyDescent="0.25">
      <c r="A25" s="235"/>
      <c r="B25" s="5" t="s">
        <v>80</v>
      </c>
      <c r="C25" s="8" t="s">
        <v>33</v>
      </c>
      <c r="D25" s="27" t="s">
        <v>81</v>
      </c>
      <c r="E25" s="5">
        <v>1</v>
      </c>
      <c r="F25" s="5">
        <v>1</v>
      </c>
      <c r="G25" s="100"/>
      <c r="H25" s="8"/>
      <c r="I25" s="211">
        <v>5</v>
      </c>
      <c r="J25" s="8"/>
      <c r="K25" s="5"/>
      <c r="L25" s="8"/>
      <c r="M25" s="5"/>
      <c r="N25" s="5">
        <v>0.06</v>
      </c>
    </row>
    <row r="26" spans="1:14" ht="15.75" thickBot="1" x14ac:dyDescent="0.3">
      <c r="A26" s="284"/>
      <c r="B26" s="9" t="s">
        <v>90</v>
      </c>
      <c r="C26" s="10"/>
      <c r="D26" s="36" t="s">
        <v>98</v>
      </c>
      <c r="E26" s="9">
        <v>0</v>
      </c>
      <c r="F26" s="9"/>
      <c r="G26" s="105"/>
      <c r="H26" s="10"/>
      <c r="I26" s="212">
        <v>2</v>
      </c>
      <c r="J26" s="10">
        <v>47422.28</v>
      </c>
      <c r="K26" s="9"/>
      <c r="L26" s="10"/>
      <c r="M26" s="9"/>
      <c r="N26" s="9">
        <v>100</v>
      </c>
    </row>
    <row r="27" spans="1:14" x14ac:dyDescent="0.25">
      <c r="A27" s="227" t="s">
        <v>19</v>
      </c>
      <c r="B27" s="13" t="s">
        <v>126</v>
      </c>
      <c r="C27" s="18" t="s">
        <v>55</v>
      </c>
      <c r="D27" s="25">
        <v>844886</v>
      </c>
      <c r="E27" s="17">
        <v>1</v>
      </c>
      <c r="F27" s="17">
        <v>1</v>
      </c>
      <c r="G27" s="18">
        <v>240</v>
      </c>
      <c r="H27" s="17">
        <v>500</v>
      </c>
      <c r="I27" s="213">
        <f t="shared" ref="I27:I28" si="2">G27/H27</f>
        <v>0.48</v>
      </c>
      <c r="J27" s="17">
        <v>150000</v>
      </c>
      <c r="K27" s="18">
        <f t="shared" ref="K27:K29" si="3">I27/J27*1000</f>
        <v>3.1999999999999997E-3</v>
      </c>
      <c r="L27" s="17">
        <f t="shared" ref="L27:M29" si="4">K27*1000</f>
        <v>3.1999999999999997</v>
      </c>
      <c r="M27" s="18">
        <f t="shared" si="4"/>
        <v>3199.9999999999995</v>
      </c>
      <c r="N27" s="17">
        <v>4</v>
      </c>
    </row>
    <row r="28" spans="1:14" x14ac:dyDescent="0.25">
      <c r="A28" s="228"/>
      <c r="B28" s="12" t="s">
        <v>127</v>
      </c>
      <c r="C28" s="8" t="s">
        <v>55</v>
      </c>
      <c r="D28" s="27">
        <v>844887</v>
      </c>
      <c r="E28" s="5">
        <v>1</v>
      </c>
      <c r="F28" s="5">
        <v>1</v>
      </c>
      <c r="G28" s="8">
        <v>60</v>
      </c>
      <c r="H28" s="5">
        <v>500</v>
      </c>
      <c r="I28" s="215">
        <f t="shared" si="2"/>
        <v>0.12</v>
      </c>
      <c r="J28" s="5">
        <v>150000</v>
      </c>
      <c r="K28" s="8">
        <f t="shared" si="3"/>
        <v>7.9999999999999993E-4</v>
      </c>
      <c r="L28" s="5">
        <f t="shared" si="4"/>
        <v>0.79999999999999993</v>
      </c>
      <c r="M28" s="8">
        <f t="shared" si="4"/>
        <v>799.99999999999989</v>
      </c>
      <c r="N28" s="5">
        <f>3*4</f>
        <v>12</v>
      </c>
    </row>
    <row r="29" spans="1:14" x14ac:dyDescent="0.25">
      <c r="A29" s="228"/>
      <c r="B29" s="12" t="s">
        <v>176</v>
      </c>
      <c r="C29" s="8" t="s">
        <v>177</v>
      </c>
      <c r="D29" s="27" t="s">
        <v>178</v>
      </c>
      <c r="E29" s="5">
        <v>1</v>
      </c>
      <c r="F29" s="5">
        <v>1</v>
      </c>
      <c r="G29" s="8">
        <v>10000</v>
      </c>
      <c r="H29" s="5">
        <v>10000</v>
      </c>
      <c r="I29" s="215">
        <v>1</v>
      </c>
      <c r="J29" s="80">
        <v>150000</v>
      </c>
      <c r="K29" s="8">
        <f t="shared" si="3"/>
        <v>6.6666666666666662E-3</v>
      </c>
      <c r="L29" s="5">
        <f t="shared" si="4"/>
        <v>6.6666666666666661</v>
      </c>
      <c r="M29" s="8">
        <f t="shared" si="4"/>
        <v>6666.6666666666661</v>
      </c>
      <c r="N29" s="5">
        <v>80</v>
      </c>
    </row>
    <row r="30" spans="1:14" x14ac:dyDescent="0.25">
      <c r="A30" s="228"/>
      <c r="B30" s="5" t="s">
        <v>61</v>
      </c>
      <c r="C30" s="8" t="s">
        <v>33</v>
      </c>
      <c r="D30" s="27" t="s">
        <v>62</v>
      </c>
      <c r="E30" s="5">
        <v>1</v>
      </c>
      <c r="F30" s="5">
        <v>1</v>
      </c>
      <c r="G30" s="8"/>
      <c r="H30" s="5"/>
      <c r="I30" s="215">
        <v>5</v>
      </c>
      <c r="J30" s="5"/>
      <c r="K30" s="8"/>
      <c r="L30" s="5"/>
      <c r="M30" s="8"/>
      <c r="N30" s="5">
        <v>0.08</v>
      </c>
    </row>
    <row r="31" spans="1:14" x14ac:dyDescent="0.25">
      <c r="A31" s="228"/>
      <c r="B31" s="68" t="s">
        <v>43</v>
      </c>
      <c r="C31" s="69" t="s">
        <v>33</v>
      </c>
      <c r="D31" s="70" t="s">
        <v>44</v>
      </c>
      <c r="E31" s="68">
        <v>1</v>
      </c>
      <c r="F31" s="68">
        <v>1</v>
      </c>
      <c r="G31" s="69"/>
      <c r="H31" s="5"/>
      <c r="I31" s="215">
        <v>5</v>
      </c>
      <c r="J31" s="5"/>
      <c r="K31" s="8"/>
      <c r="L31" s="5"/>
      <c r="M31" s="8"/>
      <c r="N31" s="5">
        <v>0.08</v>
      </c>
    </row>
    <row r="32" spans="1:14" ht="15.75" thickBot="1" x14ac:dyDescent="0.3">
      <c r="A32" s="229"/>
      <c r="B32" s="6" t="s">
        <v>91</v>
      </c>
      <c r="C32" s="16"/>
      <c r="D32" s="28"/>
      <c r="E32" s="6">
        <v>0</v>
      </c>
      <c r="F32" s="6"/>
      <c r="G32" s="16"/>
      <c r="H32" s="6"/>
      <c r="I32" s="216">
        <v>0.25</v>
      </c>
      <c r="J32" s="6">
        <v>22600</v>
      </c>
      <c r="K32" s="16"/>
      <c r="L32" s="6"/>
      <c r="M32" s="16"/>
      <c r="N32" s="6">
        <v>100</v>
      </c>
    </row>
    <row r="33" spans="1:14" x14ac:dyDescent="0.25">
      <c r="A33" s="245" t="s">
        <v>20</v>
      </c>
      <c r="B33" s="78" t="s">
        <v>164</v>
      </c>
      <c r="C33" s="4" t="s">
        <v>165</v>
      </c>
      <c r="D33" s="30" t="s">
        <v>166</v>
      </c>
      <c r="E33" s="4">
        <v>1</v>
      </c>
      <c r="F33" s="4">
        <v>1</v>
      </c>
      <c r="G33" s="7">
        <v>200</v>
      </c>
      <c r="H33" s="89">
        <v>1000</v>
      </c>
      <c r="I33" s="214">
        <f>G33/H33</f>
        <v>0.2</v>
      </c>
      <c r="J33" s="80">
        <v>49900</v>
      </c>
      <c r="K33" s="90">
        <f>I33/J33*1000</f>
        <v>4.0080160320641279E-3</v>
      </c>
      <c r="L33" s="91">
        <f>K33*1000</f>
        <v>4.0080160320641278</v>
      </c>
      <c r="M33" s="90">
        <f>L33*1000</f>
        <v>4008.016032064128</v>
      </c>
      <c r="N33" s="4">
        <f>1.1*3</f>
        <v>3.3000000000000003</v>
      </c>
    </row>
    <row r="34" spans="1:14" x14ac:dyDescent="0.25">
      <c r="A34" s="245"/>
      <c r="B34" s="12" t="s">
        <v>170</v>
      </c>
      <c r="C34" s="5" t="s">
        <v>165</v>
      </c>
      <c r="D34" s="27" t="s">
        <v>171</v>
      </c>
      <c r="E34" s="5">
        <v>2</v>
      </c>
      <c r="F34" s="5">
        <v>1</v>
      </c>
      <c r="G34" s="8">
        <v>200</v>
      </c>
      <c r="H34" s="85">
        <v>1000</v>
      </c>
      <c r="I34" s="215">
        <f>G34/H34</f>
        <v>0.2</v>
      </c>
      <c r="J34" s="5">
        <v>18600</v>
      </c>
      <c r="K34" s="8">
        <f t="shared" ref="K34" si="5">I34/J34*1000</f>
        <v>1.0752688172043012E-2</v>
      </c>
      <c r="L34" s="5">
        <f t="shared" ref="L34:M34" si="6">K34*1000</f>
        <v>10.752688172043012</v>
      </c>
      <c r="M34" s="8">
        <f t="shared" si="6"/>
        <v>10752.688172043012</v>
      </c>
      <c r="N34" s="5">
        <f>1.1*3</f>
        <v>3.3000000000000003</v>
      </c>
    </row>
    <row r="35" spans="1:14" x14ac:dyDescent="0.25">
      <c r="A35" s="245"/>
      <c r="B35" s="12" t="s">
        <v>164</v>
      </c>
      <c r="C35" s="5" t="s">
        <v>165</v>
      </c>
      <c r="D35" s="27" t="s">
        <v>166</v>
      </c>
      <c r="E35" s="5">
        <v>3</v>
      </c>
      <c r="F35" s="5">
        <v>1</v>
      </c>
      <c r="G35" s="8">
        <v>200</v>
      </c>
      <c r="H35" s="86">
        <v>1000</v>
      </c>
      <c r="I35" s="215">
        <f>G35/H35</f>
        <v>0.2</v>
      </c>
      <c r="J35" s="80">
        <v>49900</v>
      </c>
      <c r="K35" s="87">
        <f>I35/J35*1000</f>
        <v>4.0080160320641279E-3</v>
      </c>
      <c r="L35" s="88">
        <f>K35*1000</f>
        <v>4.0080160320641278</v>
      </c>
      <c r="M35" s="87">
        <f>L35*1000</f>
        <v>4008.016032064128</v>
      </c>
      <c r="N35" s="5">
        <f>1.1*3</f>
        <v>3.3000000000000003</v>
      </c>
    </row>
    <row r="36" spans="1:14" x14ac:dyDescent="0.25">
      <c r="A36" s="245"/>
      <c r="B36" s="12" t="s">
        <v>167</v>
      </c>
      <c r="C36" s="5" t="s">
        <v>165</v>
      </c>
      <c r="D36" s="27" t="s">
        <v>168</v>
      </c>
      <c r="E36" s="5">
        <v>3</v>
      </c>
      <c r="F36" s="5">
        <v>1</v>
      </c>
      <c r="G36" s="8">
        <v>100</v>
      </c>
      <c r="H36" s="85">
        <v>500</v>
      </c>
      <c r="I36" s="215">
        <f>G36/H36</f>
        <v>0.2</v>
      </c>
      <c r="J36" s="5">
        <v>85000</v>
      </c>
      <c r="K36" s="87">
        <f>I36/J36*1000</f>
        <v>2.3529411764705885E-3</v>
      </c>
      <c r="L36" s="88">
        <f>K36*1000</f>
        <v>2.3529411764705883</v>
      </c>
      <c r="M36" s="87">
        <f>L36*1000</f>
        <v>2352.9411764705883</v>
      </c>
      <c r="N36" s="5">
        <f>0.37*3</f>
        <v>1.1099999999999999</v>
      </c>
    </row>
    <row r="37" spans="1:14" x14ac:dyDescent="0.25">
      <c r="A37" s="245"/>
      <c r="B37" s="4" t="s">
        <v>303</v>
      </c>
      <c r="C37" s="4" t="s">
        <v>33</v>
      </c>
      <c r="D37" s="30">
        <v>6760002</v>
      </c>
      <c r="E37" s="4">
        <v>0</v>
      </c>
      <c r="F37" s="4">
        <v>2</v>
      </c>
      <c r="G37" s="7"/>
      <c r="H37" s="4"/>
      <c r="I37" s="214">
        <v>5</v>
      </c>
      <c r="J37" s="4"/>
      <c r="K37" s="7"/>
      <c r="L37" s="4"/>
      <c r="M37" s="7"/>
      <c r="N37" s="4">
        <v>0.06</v>
      </c>
    </row>
    <row r="38" spans="1:14" x14ac:dyDescent="0.25">
      <c r="A38" s="245"/>
      <c r="B38" s="5" t="s">
        <v>80</v>
      </c>
      <c r="C38" s="5" t="s">
        <v>33</v>
      </c>
      <c r="D38" s="5" t="s">
        <v>81</v>
      </c>
      <c r="E38" s="5">
        <v>1</v>
      </c>
      <c r="F38" s="5">
        <v>2</v>
      </c>
      <c r="G38" s="8"/>
      <c r="H38" s="5"/>
      <c r="I38" s="215">
        <v>5</v>
      </c>
      <c r="J38" s="5"/>
      <c r="K38" s="8"/>
      <c r="L38" s="5"/>
      <c r="M38" s="8"/>
      <c r="N38" s="5">
        <v>0.06</v>
      </c>
    </row>
    <row r="39" spans="1:14" x14ac:dyDescent="0.25">
      <c r="A39" s="245"/>
      <c r="B39" s="5" t="s">
        <v>80</v>
      </c>
      <c r="C39" s="5" t="s">
        <v>33</v>
      </c>
      <c r="D39" s="5" t="s">
        <v>81</v>
      </c>
      <c r="E39" s="5">
        <v>2</v>
      </c>
      <c r="F39" s="5">
        <v>2</v>
      </c>
      <c r="G39" s="8"/>
      <c r="H39" s="5"/>
      <c r="I39" s="215">
        <v>5</v>
      </c>
      <c r="J39" s="5"/>
      <c r="K39" s="8"/>
      <c r="L39" s="5"/>
      <c r="M39" s="8"/>
      <c r="N39" s="5">
        <v>0.06</v>
      </c>
    </row>
    <row r="40" spans="1:14" x14ac:dyDescent="0.25">
      <c r="A40" s="245"/>
      <c r="B40" s="5" t="s">
        <v>103</v>
      </c>
      <c r="C40" s="5" t="s">
        <v>33</v>
      </c>
      <c r="D40" s="27" t="s">
        <v>35</v>
      </c>
      <c r="E40" s="5">
        <v>3</v>
      </c>
      <c r="F40" s="5">
        <v>2</v>
      </c>
      <c r="G40" s="8"/>
      <c r="H40" s="5"/>
      <c r="I40" s="215">
        <v>5</v>
      </c>
      <c r="J40" s="5"/>
      <c r="K40" s="8"/>
      <c r="L40" s="5"/>
      <c r="M40" s="8"/>
      <c r="N40" s="5">
        <v>0.06</v>
      </c>
    </row>
    <row r="41" spans="1:14" ht="15.75" thickBot="1" x14ac:dyDescent="0.3">
      <c r="A41" s="277"/>
      <c r="B41" s="6" t="s">
        <v>92</v>
      </c>
      <c r="C41" s="6"/>
      <c r="D41" s="28" t="s">
        <v>97</v>
      </c>
      <c r="E41" s="9">
        <v>0</v>
      </c>
      <c r="F41" s="9"/>
      <c r="G41" s="10"/>
      <c r="H41" s="6"/>
      <c r="I41" s="219">
        <v>2</v>
      </c>
      <c r="J41" s="6">
        <v>146320.4</v>
      </c>
      <c r="K41" s="10"/>
      <c r="L41" s="6"/>
      <c r="M41" s="10"/>
      <c r="N41" s="6">
        <v>300</v>
      </c>
    </row>
    <row r="42" spans="1:14" x14ac:dyDescent="0.25">
      <c r="A42" s="233" t="s">
        <v>21</v>
      </c>
      <c r="B42" s="17" t="s">
        <v>58</v>
      </c>
      <c r="C42" s="18" t="s">
        <v>59</v>
      </c>
      <c r="D42" s="25" t="s">
        <v>60</v>
      </c>
      <c r="E42" s="17">
        <v>2</v>
      </c>
      <c r="F42" s="17">
        <v>1</v>
      </c>
      <c r="G42" s="99">
        <v>100</v>
      </c>
      <c r="H42" s="18">
        <v>100</v>
      </c>
      <c r="I42" s="210">
        <f>G42/H42</f>
        <v>1</v>
      </c>
      <c r="J42" s="18">
        <v>150000</v>
      </c>
      <c r="K42" s="17">
        <f>I42/J42*1000</f>
        <v>6.6666666666666662E-3</v>
      </c>
      <c r="L42" s="18">
        <f t="shared" ref="L42:M43" si="7">K42*1000</f>
        <v>6.6666666666666661</v>
      </c>
      <c r="M42" s="17">
        <f t="shared" si="7"/>
        <v>6666.6666666666661</v>
      </c>
      <c r="N42" s="17">
        <v>1.1000000000000001</v>
      </c>
    </row>
    <row r="43" spans="1:14" x14ac:dyDescent="0.25">
      <c r="A43" s="235"/>
      <c r="B43" s="5" t="s">
        <v>54</v>
      </c>
      <c r="C43" s="8" t="s">
        <v>55</v>
      </c>
      <c r="D43" s="27" t="s">
        <v>56</v>
      </c>
      <c r="E43" s="5">
        <v>2</v>
      </c>
      <c r="F43" s="5">
        <v>1</v>
      </c>
      <c r="G43" s="100">
        <v>100</v>
      </c>
      <c r="H43" s="8">
        <v>100</v>
      </c>
      <c r="I43" s="211">
        <f>G43/H43</f>
        <v>1</v>
      </c>
      <c r="J43" s="8">
        <v>150000</v>
      </c>
      <c r="K43" s="5">
        <f>I43/J43*1000</f>
        <v>6.6666666666666662E-3</v>
      </c>
      <c r="L43" s="8">
        <f t="shared" si="7"/>
        <v>6.6666666666666661</v>
      </c>
      <c r="M43" s="5">
        <f t="shared" si="7"/>
        <v>6666.6666666666661</v>
      </c>
      <c r="N43" s="5">
        <v>1.1000000000000001</v>
      </c>
    </row>
    <row r="44" spans="1:14" x14ac:dyDescent="0.25">
      <c r="A44" s="235"/>
      <c r="B44" s="5" t="s">
        <v>61</v>
      </c>
      <c r="C44" s="8" t="s">
        <v>33</v>
      </c>
      <c r="D44" s="27" t="s">
        <v>62</v>
      </c>
      <c r="E44" s="5">
        <v>2</v>
      </c>
      <c r="F44" s="5">
        <v>2</v>
      </c>
      <c r="G44" s="100"/>
      <c r="H44" s="8"/>
      <c r="I44" s="211">
        <v>5</v>
      </c>
      <c r="J44" s="8"/>
      <c r="K44" s="5"/>
      <c r="L44" s="8"/>
      <c r="M44" s="5"/>
      <c r="N44" s="5">
        <v>0.06</v>
      </c>
    </row>
    <row r="45" spans="1:14" x14ac:dyDescent="0.25">
      <c r="A45" s="235"/>
      <c r="B45" s="5" t="s">
        <v>63</v>
      </c>
      <c r="C45" s="8" t="s">
        <v>33</v>
      </c>
      <c r="D45" s="27" t="s">
        <v>64</v>
      </c>
      <c r="E45" s="5">
        <v>2</v>
      </c>
      <c r="F45" s="5">
        <v>2</v>
      </c>
      <c r="G45" s="100"/>
      <c r="H45" s="8"/>
      <c r="I45" s="211">
        <v>5</v>
      </c>
      <c r="J45" s="8"/>
      <c r="K45" s="5"/>
      <c r="L45" s="8"/>
      <c r="M45" s="5"/>
      <c r="N45" s="5">
        <v>0.06</v>
      </c>
    </row>
    <row r="46" spans="1:14" x14ac:dyDescent="0.25">
      <c r="A46" s="235"/>
      <c r="B46" s="5" t="s">
        <v>51</v>
      </c>
      <c r="C46" s="8" t="s">
        <v>52</v>
      </c>
      <c r="D46" s="27" t="s">
        <v>53</v>
      </c>
      <c r="E46" s="5">
        <v>1</v>
      </c>
      <c r="F46" s="5">
        <v>1</v>
      </c>
      <c r="G46" s="100">
        <v>25</v>
      </c>
      <c r="H46" s="8">
        <v>200</v>
      </c>
      <c r="I46" s="211">
        <f>G46/H46</f>
        <v>0.125</v>
      </c>
      <c r="J46" s="8">
        <v>20800</v>
      </c>
      <c r="K46" s="5">
        <f>I46/J46*1000</f>
        <v>6.0096153846153849E-3</v>
      </c>
      <c r="L46" s="8">
        <f t="shared" ref="L46:M47" si="8">K46*1000</f>
        <v>6.009615384615385</v>
      </c>
      <c r="M46" s="5">
        <f t="shared" si="8"/>
        <v>6009.6153846153848</v>
      </c>
      <c r="N46" s="5">
        <v>10</v>
      </c>
    </row>
    <row r="47" spans="1:14" x14ac:dyDescent="0.25">
      <c r="A47" s="235"/>
      <c r="B47" s="5" t="s">
        <v>54</v>
      </c>
      <c r="C47" s="8" t="s">
        <v>55</v>
      </c>
      <c r="D47" s="27" t="s">
        <v>56</v>
      </c>
      <c r="E47" s="5">
        <v>1</v>
      </c>
      <c r="F47" s="5">
        <v>1</v>
      </c>
      <c r="G47" s="100">
        <v>100</v>
      </c>
      <c r="H47" s="8">
        <v>100</v>
      </c>
      <c r="I47" s="211">
        <f>G47/H47</f>
        <v>1</v>
      </c>
      <c r="J47" s="8">
        <v>150000</v>
      </c>
      <c r="K47" s="5">
        <f>I47/J47*1000</f>
        <v>6.6666666666666662E-3</v>
      </c>
      <c r="L47" s="8">
        <f t="shared" si="8"/>
        <v>6.6666666666666661</v>
      </c>
      <c r="M47" s="5">
        <f t="shared" si="8"/>
        <v>6666.6666666666661</v>
      </c>
      <c r="N47" s="5">
        <v>1.1000000000000001</v>
      </c>
    </row>
    <row r="48" spans="1:14" x14ac:dyDescent="0.25">
      <c r="A48" s="235"/>
      <c r="B48" s="68" t="s">
        <v>42</v>
      </c>
      <c r="C48" s="69" t="s">
        <v>33</v>
      </c>
      <c r="D48" s="70">
        <v>6760002</v>
      </c>
      <c r="E48" s="68">
        <v>1</v>
      </c>
      <c r="F48" s="68">
        <v>2</v>
      </c>
      <c r="G48" s="107"/>
      <c r="H48" s="8"/>
      <c r="I48" s="211">
        <v>5</v>
      </c>
      <c r="J48" s="8"/>
      <c r="K48" s="5"/>
      <c r="L48" s="8"/>
      <c r="M48" s="5"/>
      <c r="N48" s="5">
        <v>0.06</v>
      </c>
    </row>
    <row r="49" spans="1:14" x14ac:dyDescent="0.25">
      <c r="A49" s="235"/>
      <c r="B49" s="68" t="s">
        <v>57</v>
      </c>
      <c r="C49" s="69" t="s">
        <v>33</v>
      </c>
      <c r="D49" s="70" t="s">
        <v>35</v>
      </c>
      <c r="E49" s="68">
        <v>1</v>
      </c>
      <c r="F49" s="68">
        <v>2</v>
      </c>
      <c r="G49" s="107"/>
      <c r="H49" s="8"/>
      <c r="I49" s="211">
        <v>5</v>
      </c>
      <c r="J49" s="8"/>
      <c r="K49" s="5"/>
      <c r="L49" s="8"/>
      <c r="M49" s="5"/>
      <c r="N49" s="5">
        <v>0.06</v>
      </c>
    </row>
    <row r="50" spans="1:14" ht="15.75" thickBot="1" x14ac:dyDescent="0.3">
      <c r="A50" s="236"/>
      <c r="B50" s="71" t="s">
        <v>93</v>
      </c>
      <c r="C50" s="72"/>
      <c r="D50" s="73" t="s">
        <v>96</v>
      </c>
      <c r="E50" s="71">
        <v>0</v>
      </c>
      <c r="F50" s="71"/>
      <c r="G50" s="108"/>
      <c r="H50" s="16"/>
      <c r="I50" s="217">
        <v>0.62</v>
      </c>
      <c r="J50" s="111">
        <v>450600</v>
      </c>
      <c r="K50" s="110">
        <f>I50/J50*1000</f>
        <v>1.3759431868619618E-3</v>
      </c>
      <c r="L50" s="109">
        <f>K50*1000</f>
        <v>1.3759431868619618</v>
      </c>
      <c r="M50" s="109">
        <f>L50*1000</f>
        <v>1375.9431868619617</v>
      </c>
      <c r="N50" s="6">
        <v>30</v>
      </c>
    </row>
    <row r="51" spans="1:14" x14ac:dyDescent="0.25">
      <c r="A51" s="233" t="s">
        <v>22</v>
      </c>
      <c r="B51" s="17" t="s">
        <v>69</v>
      </c>
      <c r="C51" s="18" t="s">
        <v>52</v>
      </c>
      <c r="D51" s="17" t="s">
        <v>70</v>
      </c>
      <c r="E51" s="17">
        <v>1</v>
      </c>
      <c r="F51" s="17">
        <v>1</v>
      </c>
      <c r="G51" s="18">
        <v>25</v>
      </c>
      <c r="H51" s="92">
        <v>250</v>
      </c>
      <c r="I51" s="213">
        <f t="shared" ref="I51" si="9">G51/H51</f>
        <v>0.1</v>
      </c>
      <c r="J51" s="17">
        <v>16900</v>
      </c>
      <c r="K51" s="18">
        <f t="shared" ref="K51" si="10">I51/J51*1000</f>
        <v>5.9171597633136093E-3</v>
      </c>
      <c r="L51" s="17">
        <f t="shared" ref="L51:M51" si="11">K51*1000</f>
        <v>5.9171597633136095</v>
      </c>
      <c r="M51" s="18">
        <f t="shared" si="11"/>
        <v>5917.1597633136098</v>
      </c>
      <c r="N51" s="17">
        <v>9.9</v>
      </c>
    </row>
    <row r="52" spans="1:14" x14ac:dyDescent="0.25">
      <c r="A52" s="235"/>
      <c r="B52" s="5" t="s">
        <v>71</v>
      </c>
      <c r="C52" s="8" t="s">
        <v>72</v>
      </c>
      <c r="D52" s="5" t="s">
        <v>73</v>
      </c>
      <c r="E52" s="5">
        <v>1</v>
      </c>
      <c r="F52" s="5">
        <v>1</v>
      </c>
      <c r="G52" s="8">
        <v>100</v>
      </c>
      <c r="H52" s="5">
        <v>100</v>
      </c>
      <c r="I52" s="215">
        <f>G52/H52</f>
        <v>1</v>
      </c>
      <c r="J52" s="5">
        <v>150000</v>
      </c>
      <c r="K52" s="8">
        <f>I52/J52*1000</f>
        <v>6.6666666666666662E-3</v>
      </c>
      <c r="L52" s="5">
        <f>K52*1000</f>
        <v>6.6666666666666661</v>
      </c>
      <c r="M52" s="8">
        <f>L52*1000</f>
        <v>6666.6666666666661</v>
      </c>
      <c r="N52" s="80">
        <f>0.37*3</f>
        <v>1.1099999999999999</v>
      </c>
    </row>
    <row r="53" spans="1:14" x14ac:dyDescent="0.25">
      <c r="A53" s="235"/>
      <c r="B53" s="189" t="s">
        <v>42</v>
      </c>
      <c r="C53" s="189" t="s">
        <v>33</v>
      </c>
      <c r="D53" s="189">
        <v>6760002</v>
      </c>
      <c r="E53" s="189">
        <v>1</v>
      </c>
      <c r="F53" s="5">
        <v>2</v>
      </c>
      <c r="G53" s="8"/>
      <c r="H53" s="5"/>
      <c r="I53" s="215">
        <v>5</v>
      </c>
      <c r="J53" s="5"/>
      <c r="K53" s="8"/>
      <c r="L53" s="5"/>
      <c r="M53" s="8"/>
      <c r="N53" s="5">
        <v>0.06</v>
      </c>
    </row>
    <row r="54" spans="1:14" x14ac:dyDescent="0.25">
      <c r="A54" s="235"/>
      <c r="B54" s="5" t="s">
        <v>42</v>
      </c>
      <c r="C54" s="8" t="s">
        <v>33</v>
      </c>
      <c r="D54" s="5">
        <v>6760002</v>
      </c>
      <c r="E54" s="5">
        <v>2</v>
      </c>
      <c r="F54" s="5">
        <v>2</v>
      </c>
      <c r="G54" s="8"/>
      <c r="H54" s="5"/>
      <c r="I54" s="215">
        <v>5</v>
      </c>
      <c r="J54" s="5"/>
      <c r="K54" s="8"/>
      <c r="L54" s="5"/>
      <c r="M54" s="8"/>
      <c r="N54" s="5">
        <v>0.06</v>
      </c>
    </row>
    <row r="55" spans="1:14" x14ac:dyDescent="0.25">
      <c r="A55" s="235"/>
      <c r="B55" s="5" t="s">
        <v>63</v>
      </c>
      <c r="C55" s="8" t="s">
        <v>33</v>
      </c>
      <c r="D55" s="27" t="s">
        <v>64</v>
      </c>
      <c r="E55" s="5">
        <v>3</v>
      </c>
      <c r="F55" s="5">
        <v>2</v>
      </c>
      <c r="G55" s="8"/>
      <c r="H55" s="5"/>
      <c r="I55" s="215">
        <v>5</v>
      </c>
      <c r="J55" s="5"/>
      <c r="K55" s="8"/>
      <c r="L55" s="5"/>
      <c r="M55" s="8"/>
      <c r="N55" s="5">
        <v>0.06</v>
      </c>
    </row>
    <row r="56" spans="1:14" x14ac:dyDescent="0.25">
      <c r="A56" s="235"/>
      <c r="B56" s="5" t="s">
        <v>63</v>
      </c>
      <c r="C56" s="8" t="s">
        <v>33</v>
      </c>
      <c r="D56" s="27" t="s">
        <v>64</v>
      </c>
      <c r="E56" s="5">
        <v>1</v>
      </c>
      <c r="F56" s="5">
        <v>2</v>
      </c>
      <c r="G56" s="8"/>
      <c r="H56" s="5"/>
      <c r="I56" s="215">
        <v>5</v>
      </c>
      <c r="J56" s="5"/>
      <c r="K56" s="8"/>
      <c r="L56" s="5"/>
      <c r="M56" s="8"/>
      <c r="N56" s="5">
        <v>0.06</v>
      </c>
    </row>
    <row r="57" spans="1:14" x14ac:dyDescent="0.25">
      <c r="A57" s="284"/>
      <c r="B57" s="5" t="s">
        <v>606</v>
      </c>
      <c r="C57" s="8" t="s">
        <v>33</v>
      </c>
      <c r="D57" s="27" t="s">
        <v>62</v>
      </c>
      <c r="E57" s="5">
        <v>3</v>
      </c>
      <c r="F57" s="5">
        <v>2</v>
      </c>
      <c r="G57" s="8"/>
      <c r="H57" s="5"/>
      <c r="I57" s="215">
        <v>5</v>
      </c>
      <c r="J57" s="4"/>
      <c r="K57" s="8"/>
      <c r="L57" s="5"/>
      <c r="M57" s="8"/>
      <c r="N57" s="5">
        <v>0.06</v>
      </c>
    </row>
    <row r="58" spans="1:14" s="189" customFormat="1" x14ac:dyDescent="0.25">
      <c r="A58" s="284"/>
      <c r="B58" s="5" t="s">
        <v>601</v>
      </c>
      <c r="C58" s="8" t="s">
        <v>59</v>
      </c>
      <c r="D58" s="5" t="s">
        <v>463</v>
      </c>
      <c r="E58" s="5">
        <v>3</v>
      </c>
      <c r="F58" s="5">
        <v>1</v>
      </c>
      <c r="G58" s="188">
        <v>100</v>
      </c>
      <c r="H58" s="5">
        <v>200</v>
      </c>
      <c r="I58" s="215">
        <v>0.5</v>
      </c>
      <c r="J58" s="5">
        <v>150000</v>
      </c>
      <c r="K58" s="8">
        <v>3.3333333333333331E-3</v>
      </c>
      <c r="L58" s="5">
        <v>3.333333333333333</v>
      </c>
      <c r="M58" s="8">
        <v>3333.333333333333</v>
      </c>
      <c r="N58" s="94">
        <v>3.3</v>
      </c>
    </row>
    <row r="59" spans="1:14" s="189" customFormat="1" x14ac:dyDescent="0.25">
      <c r="A59" s="284"/>
      <c r="B59" s="5" t="s">
        <v>602</v>
      </c>
      <c r="C59" s="8" t="s">
        <v>603</v>
      </c>
      <c r="D59" s="5" t="s">
        <v>467</v>
      </c>
      <c r="E59" s="5">
        <v>3</v>
      </c>
      <c r="F59" s="5">
        <v>1</v>
      </c>
      <c r="G59" s="188">
        <v>100</v>
      </c>
      <c r="H59" s="5">
        <v>100</v>
      </c>
      <c r="I59" s="215">
        <v>1</v>
      </c>
      <c r="J59" s="5">
        <v>150000</v>
      </c>
      <c r="K59" s="190">
        <v>6.6666666666666662E-3</v>
      </c>
      <c r="L59" s="9">
        <v>6.6666666666666661</v>
      </c>
      <c r="M59" s="190">
        <v>6666.6666666666661</v>
      </c>
      <c r="N59" s="94">
        <v>3.3</v>
      </c>
    </row>
    <row r="60" spans="1:14" x14ac:dyDescent="0.25">
      <c r="A60" s="284"/>
      <c r="B60" s="12" t="s">
        <v>343</v>
      </c>
      <c r="C60" s="8" t="s">
        <v>52</v>
      </c>
      <c r="D60" s="144" t="s">
        <v>334</v>
      </c>
      <c r="E60" s="5">
        <v>2</v>
      </c>
      <c r="F60" s="5">
        <v>1</v>
      </c>
      <c r="G60" s="188">
        <v>50</v>
      </c>
      <c r="H60" s="5">
        <v>125</v>
      </c>
      <c r="I60" s="215">
        <f>G60/H60</f>
        <v>0.4</v>
      </c>
      <c r="J60" s="4">
        <v>15600</v>
      </c>
      <c r="K60" s="8">
        <f>I60/J60*1000</f>
        <v>2.5641025641025644E-2</v>
      </c>
      <c r="L60" s="5">
        <f>K60*1000</f>
        <v>25.641025641025642</v>
      </c>
      <c r="M60" s="8">
        <f>L60*1000</f>
        <v>25641.025641025641</v>
      </c>
      <c r="N60" s="5">
        <v>3.3</v>
      </c>
    </row>
    <row r="61" spans="1:14" x14ac:dyDescent="0.25">
      <c r="A61" s="284"/>
      <c r="B61" s="12" t="s">
        <v>445</v>
      </c>
      <c r="C61" s="8" t="s">
        <v>52</v>
      </c>
      <c r="D61" s="144" t="s">
        <v>444</v>
      </c>
      <c r="E61" s="5">
        <v>2</v>
      </c>
      <c r="F61" s="5">
        <v>1</v>
      </c>
      <c r="G61" s="191">
        <v>200</v>
      </c>
      <c r="H61" s="9">
        <v>500</v>
      </c>
      <c r="I61" s="215">
        <f>G61/H61</f>
        <v>0.4</v>
      </c>
      <c r="J61" s="5">
        <v>45300</v>
      </c>
      <c r="K61" s="8">
        <f>I61/J61*1000</f>
        <v>8.8300220750551876E-3</v>
      </c>
      <c r="L61" s="5">
        <f>K61*1000</f>
        <v>8.8300220750551883</v>
      </c>
      <c r="M61" s="8">
        <f>L61*1000</f>
        <v>8830.0220750551889</v>
      </c>
      <c r="N61" s="5">
        <v>1.1000000000000001</v>
      </c>
    </row>
    <row r="62" spans="1:14" x14ac:dyDescent="0.25">
      <c r="A62" s="284"/>
      <c r="B62" s="5" t="s">
        <v>346</v>
      </c>
      <c r="C62" s="8" t="s">
        <v>33</v>
      </c>
      <c r="D62" s="5" t="s">
        <v>347</v>
      </c>
      <c r="E62" s="5"/>
      <c r="F62" s="5"/>
      <c r="G62" s="8"/>
      <c r="H62" s="5"/>
      <c r="I62" s="215">
        <v>5</v>
      </c>
      <c r="J62" s="5"/>
      <c r="K62" s="8"/>
      <c r="L62" s="5"/>
      <c r="M62" s="8"/>
      <c r="N62" s="5">
        <v>0.06</v>
      </c>
    </row>
    <row r="63" spans="1:14" x14ac:dyDescent="0.25">
      <c r="A63" s="284"/>
      <c r="B63" s="20" t="s">
        <v>163</v>
      </c>
      <c r="C63" s="69" t="s">
        <v>33</v>
      </c>
      <c r="D63" s="68" t="s">
        <v>635</v>
      </c>
      <c r="E63" s="68">
        <v>2</v>
      </c>
      <c r="F63" s="68">
        <v>2</v>
      </c>
      <c r="G63" s="8"/>
      <c r="H63" s="5"/>
      <c r="I63" s="215">
        <v>5</v>
      </c>
      <c r="J63" s="5"/>
      <c r="K63" s="8"/>
      <c r="L63" s="5"/>
      <c r="M63" s="190"/>
      <c r="N63" s="9">
        <v>0.06</v>
      </c>
    </row>
    <row r="64" spans="1:14" ht="15.75" thickBot="1" x14ac:dyDescent="0.3">
      <c r="A64" s="236"/>
      <c r="B64" s="6" t="s">
        <v>110</v>
      </c>
      <c r="C64" s="16"/>
      <c r="D64" s="6" t="s">
        <v>111</v>
      </c>
      <c r="E64" s="6">
        <v>0</v>
      </c>
      <c r="F64" s="6"/>
      <c r="G64" s="16"/>
      <c r="H64" s="6"/>
      <c r="I64" s="216">
        <v>2</v>
      </c>
      <c r="J64" s="6">
        <v>528600</v>
      </c>
      <c r="K64" s="16"/>
      <c r="L64" s="6"/>
      <c r="M64" s="16">
        <v>18445</v>
      </c>
      <c r="N64" s="6">
        <v>30</v>
      </c>
    </row>
    <row r="65" spans="1:14" x14ac:dyDescent="0.25">
      <c r="A65" s="234" t="s">
        <v>100</v>
      </c>
      <c r="B65" s="4" t="s">
        <v>16</v>
      </c>
      <c r="C65" s="7"/>
      <c r="D65" s="30"/>
      <c r="E65" s="4"/>
      <c r="F65" s="4"/>
      <c r="G65" s="106"/>
      <c r="H65" s="7"/>
      <c r="I65" s="218"/>
      <c r="J65" s="7"/>
      <c r="K65" s="4"/>
      <c r="L65" s="7"/>
      <c r="M65" s="4"/>
      <c r="N65" s="4"/>
    </row>
    <row r="66" spans="1:14" x14ac:dyDescent="0.25">
      <c r="A66" s="235"/>
      <c r="B66" s="5" t="s">
        <v>16</v>
      </c>
      <c r="C66" s="8"/>
      <c r="D66" s="27"/>
      <c r="E66" s="5"/>
      <c r="F66" s="5"/>
      <c r="G66" s="100"/>
      <c r="H66" s="8"/>
      <c r="I66" s="211"/>
      <c r="J66" s="8"/>
      <c r="K66" s="5"/>
      <c r="L66" s="8"/>
      <c r="M66" s="5"/>
      <c r="N66" s="5"/>
    </row>
    <row r="67" spans="1:14" x14ac:dyDescent="0.25">
      <c r="A67" s="235"/>
      <c r="B67" s="5" t="s">
        <v>17</v>
      </c>
      <c r="C67" s="8"/>
      <c r="D67" s="27"/>
      <c r="E67" s="5"/>
      <c r="F67" s="5"/>
      <c r="G67" s="100"/>
      <c r="H67" s="8"/>
      <c r="I67" s="211"/>
      <c r="J67" s="8"/>
      <c r="K67" s="5"/>
      <c r="L67" s="8"/>
      <c r="M67" s="5"/>
      <c r="N67" s="5"/>
    </row>
    <row r="68" spans="1:14" x14ac:dyDescent="0.25">
      <c r="A68" s="235"/>
      <c r="B68" s="5" t="s">
        <v>17</v>
      </c>
      <c r="C68" s="8"/>
      <c r="D68" s="27"/>
      <c r="E68" s="5"/>
      <c r="F68" s="5"/>
      <c r="G68" s="100"/>
      <c r="H68" s="8"/>
      <c r="I68" s="211"/>
      <c r="J68" s="8"/>
      <c r="K68" s="5"/>
      <c r="L68" s="8"/>
      <c r="M68" s="5"/>
      <c r="N68" s="5"/>
    </row>
    <row r="69" spans="1:14" ht="15.75" thickBot="1" x14ac:dyDescent="0.3">
      <c r="A69" s="284"/>
      <c r="B69" s="9" t="s">
        <v>94</v>
      </c>
      <c r="C69" s="10"/>
      <c r="D69" s="36"/>
      <c r="E69" s="9"/>
      <c r="F69" s="9"/>
      <c r="G69" s="105"/>
      <c r="H69" s="10"/>
      <c r="I69" s="212"/>
      <c r="J69" s="10"/>
      <c r="K69" s="9"/>
      <c r="L69" s="10"/>
      <c r="M69" s="9"/>
      <c r="N69" s="9"/>
    </row>
    <row r="70" spans="1:14" x14ac:dyDescent="0.25">
      <c r="A70" s="233" t="s">
        <v>101</v>
      </c>
      <c r="B70" s="17" t="s">
        <v>16</v>
      </c>
      <c r="C70" s="18"/>
      <c r="D70" s="25"/>
      <c r="E70" s="17"/>
      <c r="F70" s="17"/>
      <c r="G70" s="99"/>
      <c r="H70" s="18"/>
      <c r="I70" s="210"/>
      <c r="J70" s="18"/>
      <c r="K70" s="17"/>
      <c r="L70" s="18"/>
      <c r="M70" s="17"/>
      <c r="N70" s="17"/>
    </row>
    <row r="71" spans="1:14" x14ac:dyDescent="0.25">
      <c r="A71" s="235"/>
      <c r="B71" s="5" t="s">
        <v>16</v>
      </c>
      <c r="C71" s="8"/>
      <c r="D71" s="27"/>
      <c r="E71" s="5"/>
      <c r="F71" s="5"/>
      <c r="G71" s="100"/>
      <c r="H71" s="8"/>
      <c r="I71" s="211"/>
      <c r="J71" s="8"/>
      <c r="K71" s="5"/>
      <c r="L71" s="8"/>
      <c r="M71" s="5"/>
      <c r="N71" s="5"/>
    </row>
    <row r="72" spans="1:14" x14ac:dyDescent="0.25">
      <c r="A72" s="235"/>
      <c r="B72" s="5" t="s">
        <v>17</v>
      </c>
      <c r="C72" s="8"/>
      <c r="D72" s="27"/>
      <c r="E72" s="5"/>
      <c r="F72" s="5"/>
      <c r="G72" s="100"/>
      <c r="H72" s="8"/>
      <c r="I72" s="211"/>
      <c r="J72" s="8"/>
      <c r="K72" s="5"/>
      <c r="L72" s="8"/>
      <c r="M72" s="5"/>
      <c r="N72" s="5"/>
    </row>
    <row r="73" spans="1:14" x14ac:dyDescent="0.25">
      <c r="A73" s="235"/>
      <c r="B73" s="5" t="s">
        <v>17</v>
      </c>
      <c r="C73" s="8"/>
      <c r="D73" s="27"/>
      <c r="E73" s="5"/>
      <c r="F73" s="5"/>
      <c r="G73" s="100"/>
      <c r="H73" s="8"/>
      <c r="I73" s="211"/>
      <c r="J73" s="8"/>
      <c r="K73" s="5"/>
      <c r="L73" s="8"/>
      <c r="M73" s="5"/>
      <c r="N73" s="5"/>
    </row>
    <row r="74" spans="1:14" ht="15.75" thickBot="1" x14ac:dyDescent="0.3">
      <c r="A74" s="236"/>
      <c r="B74" s="6" t="s">
        <v>94</v>
      </c>
      <c r="C74" s="16"/>
      <c r="D74" s="28"/>
      <c r="E74" s="6"/>
      <c r="F74" s="6"/>
      <c r="G74" s="83"/>
      <c r="H74" s="16"/>
      <c r="I74" s="217"/>
      <c r="J74" s="16"/>
      <c r="K74" s="6"/>
      <c r="L74" s="16"/>
      <c r="M74" s="6"/>
      <c r="N74" s="6"/>
    </row>
    <row r="75" spans="1:14" x14ac:dyDescent="0.25">
      <c r="A75" s="233" t="s">
        <v>203</v>
      </c>
      <c r="B75" s="17" t="s">
        <v>25</v>
      </c>
      <c r="C75" s="18" t="s">
        <v>27</v>
      </c>
      <c r="D75" s="25" t="s">
        <v>29</v>
      </c>
      <c r="E75" s="17">
        <v>1</v>
      </c>
      <c r="F75" s="17">
        <v>1</v>
      </c>
      <c r="G75" s="99">
        <v>100</v>
      </c>
      <c r="H75" s="18">
        <v>100</v>
      </c>
      <c r="I75" s="210">
        <f t="shared" ref="I75" si="12">G75/H75</f>
        <v>1</v>
      </c>
      <c r="J75" s="18">
        <v>150000</v>
      </c>
      <c r="K75" s="17">
        <f t="shared" ref="K75" si="13">I75/J75*1000</f>
        <v>6.6666666666666662E-3</v>
      </c>
      <c r="L75" s="18">
        <f t="shared" ref="L75:M75" si="14">K75*1000</f>
        <v>6.6666666666666661</v>
      </c>
      <c r="M75" s="17">
        <f t="shared" si="14"/>
        <v>6666.6666666666661</v>
      </c>
      <c r="N75" s="17">
        <v>0.99</v>
      </c>
    </row>
    <row r="76" spans="1:14" x14ac:dyDescent="0.25">
      <c r="A76" s="235"/>
      <c r="B76" s="5" t="s">
        <v>26</v>
      </c>
      <c r="C76" s="8" t="s">
        <v>28</v>
      </c>
      <c r="D76" s="27" t="s">
        <v>30</v>
      </c>
      <c r="E76" s="5">
        <v>1</v>
      </c>
      <c r="F76" s="5">
        <v>1</v>
      </c>
      <c r="G76" s="103">
        <v>500</v>
      </c>
      <c r="H76" s="77">
        <v>500</v>
      </c>
      <c r="I76" s="220">
        <f>G76/H76</f>
        <v>1</v>
      </c>
      <c r="J76" s="29">
        <v>150000</v>
      </c>
      <c r="K76" s="29">
        <f>I76/J76*1000</f>
        <v>6.6666666666666662E-3</v>
      </c>
      <c r="L76" s="29">
        <f>K76*1000</f>
        <v>6.6666666666666661</v>
      </c>
      <c r="M76" s="29">
        <f>L76*1000</f>
        <v>6666.6666666666661</v>
      </c>
      <c r="N76" s="29">
        <f>0.11*3</f>
        <v>0.33</v>
      </c>
    </row>
    <row r="77" spans="1:14" x14ac:dyDescent="0.25">
      <c r="A77" s="235"/>
      <c r="B77" s="5" t="s">
        <v>31</v>
      </c>
      <c r="C77" s="8" t="s">
        <v>33</v>
      </c>
      <c r="D77" s="27" t="s">
        <v>34</v>
      </c>
      <c r="E77" s="5">
        <v>1</v>
      </c>
      <c r="F77" s="5">
        <v>2</v>
      </c>
      <c r="G77" s="100"/>
      <c r="H77" s="8"/>
      <c r="I77" s="211">
        <v>5</v>
      </c>
      <c r="J77" s="8"/>
      <c r="K77" s="5"/>
      <c r="L77" s="8"/>
      <c r="M77" s="5"/>
      <c r="N77" s="5">
        <v>0.06</v>
      </c>
    </row>
    <row r="78" spans="1:14" x14ac:dyDescent="0.25">
      <c r="A78" s="235"/>
      <c r="B78" s="5" t="s">
        <v>32</v>
      </c>
      <c r="C78" s="8" t="s">
        <v>33</v>
      </c>
      <c r="D78" s="27" t="s">
        <v>35</v>
      </c>
      <c r="E78" s="5">
        <v>1</v>
      </c>
      <c r="F78" s="5">
        <v>2</v>
      </c>
      <c r="G78" s="100"/>
      <c r="H78" s="8"/>
      <c r="I78" s="211">
        <v>5</v>
      </c>
      <c r="J78" s="8"/>
      <c r="K78" s="5"/>
      <c r="L78" s="8"/>
      <c r="M78" s="5"/>
      <c r="N78" s="5">
        <v>0.06</v>
      </c>
    </row>
    <row r="79" spans="1:14" x14ac:dyDescent="0.25">
      <c r="A79" s="235"/>
      <c r="B79" s="5" t="s">
        <v>36</v>
      </c>
      <c r="C79" s="8" t="s">
        <v>37</v>
      </c>
      <c r="D79" s="27" t="s">
        <v>38</v>
      </c>
      <c r="E79" s="5">
        <v>2</v>
      </c>
      <c r="F79" s="5">
        <v>1</v>
      </c>
      <c r="G79" s="100">
        <v>25</v>
      </c>
      <c r="H79" s="8">
        <v>200</v>
      </c>
      <c r="I79" s="211">
        <f>G79/H79</f>
        <v>0.125</v>
      </c>
      <c r="J79" s="8">
        <v>33700</v>
      </c>
      <c r="K79" s="5">
        <f>I79/J79*1000</f>
        <v>3.70919881305638E-3</v>
      </c>
      <c r="L79" s="8">
        <f>K79*1000</f>
        <v>3.7091988130563798</v>
      </c>
      <c r="M79" s="5">
        <f>L79*1000</f>
        <v>3709.1988130563795</v>
      </c>
      <c r="N79" s="5">
        <v>30</v>
      </c>
    </row>
    <row r="80" spans="1:14" x14ac:dyDescent="0.25">
      <c r="A80" s="235"/>
      <c r="B80" s="5" t="s">
        <v>39</v>
      </c>
      <c r="C80" s="8" t="s">
        <v>40</v>
      </c>
      <c r="D80" s="27" t="s">
        <v>41</v>
      </c>
      <c r="E80" s="5">
        <v>3</v>
      </c>
      <c r="F80" s="5">
        <v>1</v>
      </c>
      <c r="G80" s="100">
        <v>100</v>
      </c>
      <c r="H80" s="8">
        <v>200</v>
      </c>
      <c r="I80" s="211">
        <f>G80/H80</f>
        <v>0.5</v>
      </c>
      <c r="J80" s="8">
        <v>150000</v>
      </c>
      <c r="K80" s="5">
        <f>I80/J80*1000</f>
        <v>3.3333333333333331E-3</v>
      </c>
      <c r="L80" s="8">
        <f>K80*1000</f>
        <v>3.333333333333333</v>
      </c>
      <c r="M80" s="5">
        <f>L80*1000</f>
        <v>3333.333333333333</v>
      </c>
      <c r="N80" s="5">
        <f>4.5*3</f>
        <v>13.5</v>
      </c>
    </row>
    <row r="81" spans="1:14" x14ac:dyDescent="0.25">
      <c r="A81" s="235"/>
      <c r="B81" s="68" t="s">
        <v>42</v>
      </c>
      <c r="C81" s="69" t="s">
        <v>33</v>
      </c>
      <c r="D81" s="70">
        <v>6760002</v>
      </c>
      <c r="E81" s="68">
        <v>2</v>
      </c>
      <c r="F81" s="68">
        <v>2</v>
      </c>
      <c r="G81" s="107"/>
      <c r="H81" s="8"/>
      <c r="I81" s="211">
        <v>5</v>
      </c>
      <c r="J81" s="8"/>
      <c r="K81" s="5"/>
      <c r="L81" s="8"/>
      <c r="M81" s="5"/>
      <c r="N81" s="5">
        <v>0.06</v>
      </c>
    </row>
    <row r="82" spans="1:14" x14ac:dyDescent="0.25">
      <c r="A82" s="235"/>
      <c r="B82" s="68" t="s">
        <v>43</v>
      </c>
      <c r="C82" s="69" t="s">
        <v>33</v>
      </c>
      <c r="D82" s="70" t="s">
        <v>44</v>
      </c>
      <c r="E82" s="68">
        <v>2</v>
      </c>
      <c r="F82" s="68">
        <v>2</v>
      </c>
      <c r="G82" s="107"/>
      <c r="H82" s="8"/>
      <c r="I82" s="211">
        <v>5</v>
      </c>
      <c r="J82" s="8"/>
      <c r="K82" s="5"/>
      <c r="L82" s="8"/>
      <c r="M82" s="5"/>
      <c r="N82" s="5">
        <v>0.06</v>
      </c>
    </row>
    <row r="83" spans="1:14" ht="15.75" thickBot="1" x14ac:dyDescent="0.3">
      <c r="A83" s="235"/>
      <c r="B83" s="68" t="s">
        <v>95</v>
      </c>
      <c r="C83" s="8"/>
      <c r="D83" s="70" t="s">
        <v>705</v>
      </c>
      <c r="E83" s="68">
        <v>0</v>
      </c>
      <c r="F83" s="68"/>
      <c r="G83" s="107"/>
      <c r="H83" s="8"/>
      <c r="I83" s="211">
        <v>2.7</v>
      </c>
      <c r="J83" s="8">
        <v>188267</v>
      </c>
      <c r="K83" s="5"/>
      <c r="L83" s="8"/>
      <c r="M83" s="5"/>
      <c r="N83" s="5">
        <v>300</v>
      </c>
    </row>
    <row r="84" spans="1:14" x14ac:dyDescent="0.25">
      <c r="A84" s="276" t="s">
        <v>238</v>
      </c>
      <c r="B84" s="13" t="s">
        <v>45</v>
      </c>
      <c r="C84" s="15" t="s">
        <v>46</v>
      </c>
      <c r="D84" s="51" t="s">
        <v>47</v>
      </c>
      <c r="E84" s="13"/>
      <c r="F84" s="13"/>
      <c r="G84" s="18"/>
      <c r="H84" s="17"/>
      <c r="I84" s="213" t="s">
        <v>235</v>
      </c>
      <c r="J84" s="17"/>
      <c r="K84" s="18"/>
      <c r="L84" s="17"/>
      <c r="M84" s="17"/>
      <c r="N84" s="99" t="s">
        <v>236</v>
      </c>
    </row>
    <row r="85" spans="1:14" ht="15.75" thickBot="1" x14ac:dyDescent="0.3">
      <c r="A85" s="277"/>
      <c r="B85" s="14" t="s">
        <v>48</v>
      </c>
      <c r="C85" s="19" t="s">
        <v>49</v>
      </c>
      <c r="D85" s="102" t="s">
        <v>50</v>
      </c>
      <c r="E85" s="14"/>
      <c r="F85" s="14"/>
      <c r="G85" s="16"/>
      <c r="H85" s="6"/>
      <c r="I85" s="216" t="s">
        <v>237</v>
      </c>
      <c r="J85" s="6"/>
      <c r="K85" s="16"/>
      <c r="L85" s="6"/>
      <c r="M85" s="6"/>
      <c r="N85" s="83" t="s">
        <v>236</v>
      </c>
    </row>
  </sheetData>
  <mergeCells count="14">
    <mergeCell ref="A84:A85"/>
    <mergeCell ref="A75:A83"/>
    <mergeCell ref="A1:N1"/>
    <mergeCell ref="A3:A6"/>
    <mergeCell ref="A22:A26"/>
    <mergeCell ref="A42:A50"/>
    <mergeCell ref="A51:A64"/>
    <mergeCell ref="A65:A69"/>
    <mergeCell ref="A70:A74"/>
    <mergeCell ref="A33:A41"/>
    <mergeCell ref="A27:A32"/>
    <mergeCell ref="A7:A10"/>
    <mergeCell ref="A11:A17"/>
    <mergeCell ref="A18:A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471B-38E0-4E36-9D1C-3046CACC3740}">
  <dimension ref="A1:G25"/>
  <sheetViews>
    <sheetView workbookViewId="0">
      <selection activeCell="D31" sqref="D31"/>
    </sheetView>
  </sheetViews>
  <sheetFormatPr defaultRowHeight="15" x14ac:dyDescent="0.25"/>
  <cols>
    <col min="1" max="1" width="11.85546875" bestFit="1" customWidth="1"/>
    <col min="2" max="2" width="9.42578125" bestFit="1" customWidth="1"/>
    <col min="3" max="3" width="95.140625" bestFit="1" customWidth="1"/>
    <col min="4" max="4" width="16.140625" bestFit="1" customWidth="1"/>
    <col min="5" max="5" width="13.5703125" bestFit="1" customWidth="1"/>
    <col min="6" max="6" width="25" bestFit="1" customWidth="1"/>
    <col min="7" max="7" width="23.42578125" bestFit="1" customWidth="1"/>
  </cols>
  <sheetData>
    <row r="1" spans="1:7" x14ac:dyDescent="0.25">
      <c r="A1" s="146" t="s">
        <v>516</v>
      </c>
      <c r="B1" s="146" t="s">
        <v>246</v>
      </c>
      <c r="C1" s="146" t="s">
        <v>17</v>
      </c>
      <c r="D1" s="146" t="s">
        <v>12</v>
      </c>
      <c r="E1" s="146" t="s">
        <v>517</v>
      </c>
      <c r="F1" s="146" t="s">
        <v>518</v>
      </c>
      <c r="G1" s="146" t="s">
        <v>519</v>
      </c>
    </row>
    <row r="2" spans="1:7" x14ac:dyDescent="0.25">
      <c r="A2" s="293" t="s">
        <v>269</v>
      </c>
      <c r="B2" s="294" t="s">
        <v>257</v>
      </c>
      <c r="C2" s="29" t="s">
        <v>250</v>
      </c>
      <c r="D2" s="29" t="s">
        <v>72</v>
      </c>
      <c r="E2" s="29" t="s">
        <v>251</v>
      </c>
      <c r="F2" s="29">
        <v>1398</v>
      </c>
      <c r="G2" s="29">
        <v>932</v>
      </c>
    </row>
    <row r="3" spans="1:7" x14ac:dyDescent="0.25">
      <c r="A3" s="293"/>
      <c r="B3" s="295"/>
      <c r="C3" s="29" t="s">
        <v>520</v>
      </c>
      <c r="D3" s="29" t="s">
        <v>252</v>
      </c>
      <c r="E3" s="29" t="s">
        <v>253</v>
      </c>
      <c r="F3" s="29">
        <v>2794</v>
      </c>
      <c r="G3" s="29">
        <v>1863</v>
      </c>
    </row>
    <row r="4" spans="1:7" x14ac:dyDescent="0.25">
      <c r="A4" s="293"/>
      <c r="B4" s="294" t="s">
        <v>258</v>
      </c>
      <c r="C4" s="29" t="s">
        <v>255</v>
      </c>
      <c r="D4" s="29" t="s">
        <v>252</v>
      </c>
      <c r="E4" s="29" t="s">
        <v>256</v>
      </c>
      <c r="F4" s="29">
        <v>1398</v>
      </c>
      <c r="G4" s="29">
        <v>932</v>
      </c>
    </row>
    <row r="5" spans="1:7" x14ac:dyDescent="0.25">
      <c r="A5" s="293"/>
      <c r="B5" s="295"/>
      <c r="C5" s="29" t="s">
        <v>254</v>
      </c>
      <c r="D5" s="29" t="s">
        <v>72</v>
      </c>
      <c r="E5" s="29" t="s">
        <v>251</v>
      </c>
      <c r="F5" s="29">
        <v>2794</v>
      </c>
      <c r="G5" s="29">
        <v>1863</v>
      </c>
    </row>
    <row r="6" spans="1:7" x14ac:dyDescent="0.25">
      <c r="A6" s="293" t="s">
        <v>20</v>
      </c>
      <c r="B6" s="294" t="s">
        <v>521</v>
      </c>
      <c r="C6" s="29" t="s">
        <v>164</v>
      </c>
      <c r="D6" s="29" t="s">
        <v>165</v>
      </c>
      <c r="E6" s="29" t="s">
        <v>166</v>
      </c>
      <c r="F6" s="29">
        <v>340.82999999999993</v>
      </c>
      <c r="G6" s="29">
        <v>227.21999999999997</v>
      </c>
    </row>
    <row r="7" spans="1:7" x14ac:dyDescent="0.25">
      <c r="A7" s="293"/>
      <c r="B7" s="295"/>
      <c r="C7" s="29" t="s">
        <v>167</v>
      </c>
      <c r="D7" s="29" t="s">
        <v>165</v>
      </c>
      <c r="E7" s="29" t="s">
        <v>168</v>
      </c>
      <c r="F7" s="29">
        <v>195.29999999999998</v>
      </c>
      <c r="G7" s="29">
        <v>130.19999999999999</v>
      </c>
    </row>
    <row r="8" spans="1:7" x14ac:dyDescent="0.25">
      <c r="A8" s="293"/>
      <c r="B8" s="147" t="s">
        <v>310</v>
      </c>
      <c r="C8" s="29" t="s">
        <v>170</v>
      </c>
      <c r="D8" s="29" t="s">
        <v>165</v>
      </c>
      <c r="E8" s="29" t="s">
        <v>171</v>
      </c>
      <c r="F8" s="29">
        <v>69.03</v>
      </c>
      <c r="G8" s="29">
        <v>46.019999999999996</v>
      </c>
    </row>
    <row r="9" spans="1:7" x14ac:dyDescent="0.25">
      <c r="A9" s="293"/>
      <c r="B9" s="147" t="s">
        <v>172</v>
      </c>
      <c r="C9" s="29" t="s">
        <v>164</v>
      </c>
      <c r="D9" s="29" t="s">
        <v>165</v>
      </c>
      <c r="E9" s="29" t="s">
        <v>166</v>
      </c>
      <c r="F9" s="29">
        <v>185.21999999999997</v>
      </c>
      <c r="G9" s="29">
        <v>123.47999999999999</v>
      </c>
    </row>
    <row r="10" spans="1:7" x14ac:dyDescent="0.25">
      <c r="A10" s="293" t="s">
        <v>21</v>
      </c>
      <c r="B10" s="29"/>
      <c r="C10" s="29" t="s">
        <v>51</v>
      </c>
      <c r="D10" s="29" t="s">
        <v>52</v>
      </c>
      <c r="E10" s="29" t="s">
        <v>53</v>
      </c>
      <c r="F10" s="29">
        <f>76.54*3*3</f>
        <v>688.86</v>
      </c>
      <c r="G10" s="29">
        <f>76.54*3*2</f>
        <v>459.24</v>
      </c>
    </row>
    <row r="11" spans="1:7" x14ac:dyDescent="0.25">
      <c r="A11" s="293"/>
      <c r="B11" s="29"/>
      <c r="C11" s="29" t="s">
        <v>54</v>
      </c>
      <c r="D11" s="29" t="s">
        <v>55</v>
      </c>
      <c r="E11" s="29" t="s">
        <v>56</v>
      </c>
      <c r="F11" s="29">
        <f>7.59*3*3</f>
        <v>68.31</v>
      </c>
      <c r="G11" s="29">
        <f>7.59*3*2</f>
        <v>45.54</v>
      </c>
    </row>
    <row r="12" spans="1:7" x14ac:dyDescent="0.25">
      <c r="A12" s="293" t="s">
        <v>22</v>
      </c>
      <c r="B12" s="294" t="s">
        <v>522</v>
      </c>
      <c r="C12" s="29" t="s">
        <v>69</v>
      </c>
      <c r="D12" s="29" t="s">
        <v>52</v>
      </c>
      <c r="E12" s="29" t="s">
        <v>70</v>
      </c>
      <c r="F12" s="29">
        <f>77*3*3</f>
        <v>693</v>
      </c>
      <c r="G12" s="29">
        <f>77*3*2</f>
        <v>462</v>
      </c>
    </row>
    <row r="13" spans="1:7" x14ac:dyDescent="0.25">
      <c r="A13" s="293"/>
      <c r="B13" s="295"/>
      <c r="C13" s="29" t="s">
        <v>71</v>
      </c>
      <c r="D13" s="29" t="s">
        <v>72</v>
      </c>
      <c r="E13" s="29" t="s">
        <v>73</v>
      </c>
      <c r="F13" s="29">
        <f>7.7*3*3</f>
        <v>69.300000000000011</v>
      </c>
      <c r="G13" s="29">
        <f>7.7*3*2</f>
        <v>46.2</v>
      </c>
    </row>
    <row r="14" spans="1:7" x14ac:dyDescent="0.25">
      <c r="A14" s="293"/>
      <c r="B14" s="294" t="s">
        <v>523</v>
      </c>
      <c r="C14" s="29" t="s">
        <v>159</v>
      </c>
      <c r="D14" s="29" t="s">
        <v>72</v>
      </c>
      <c r="E14" s="29" t="s">
        <v>160</v>
      </c>
      <c r="F14" s="29">
        <f>300.15*3*3</f>
        <v>2701.35</v>
      </c>
      <c r="G14" s="29">
        <f>300.15*3*2</f>
        <v>1800.8999999999999</v>
      </c>
    </row>
    <row r="15" spans="1:7" x14ac:dyDescent="0.25">
      <c r="A15" s="293"/>
      <c r="B15" s="295"/>
      <c r="C15" s="29" t="s">
        <v>161</v>
      </c>
      <c r="D15" s="29" t="s">
        <v>52</v>
      </c>
      <c r="E15" s="29" t="s">
        <v>162</v>
      </c>
      <c r="F15" s="29">
        <f>48.53*3*3</f>
        <v>436.77</v>
      </c>
      <c r="G15" s="29">
        <f>48.53*3*2</f>
        <v>291.18</v>
      </c>
    </row>
    <row r="16" spans="1:7" x14ac:dyDescent="0.25">
      <c r="A16" s="293"/>
      <c r="B16" s="294" t="s">
        <v>524</v>
      </c>
      <c r="C16" s="29" t="s">
        <v>343</v>
      </c>
      <c r="D16" s="29" t="s">
        <v>52</v>
      </c>
      <c r="E16" s="29" t="s">
        <v>334</v>
      </c>
      <c r="F16" s="29">
        <f>53.82*3*3</f>
        <v>484.38</v>
      </c>
      <c r="G16" s="29">
        <f>53.82*3*2</f>
        <v>322.92</v>
      </c>
    </row>
    <row r="17" spans="1:7" x14ac:dyDescent="0.25">
      <c r="A17" s="293"/>
      <c r="B17" s="295"/>
      <c r="C17" s="29" t="s">
        <v>445</v>
      </c>
      <c r="D17" s="29" t="s">
        <v>52</v>
      </c>
      <c r="E17" s="29" t="s">
        <v>444</v>
      </c>
      <c r="F17" s="29">
        <f>165.945*3*3</f>
        <v>1493.5049999999999</v>
      </c>
      <c r="G17" s="29">
        <f>165.945*3*2</f>
        <v>995.67</v>
      </c>
    </row>
    <row r="18" spans="1:7" x14ac:dyDescent="0.25">
      <c r="A18" s="293" t="s">
        <v>203</v>
      </c>
      <c r="B18" s="294" t="s">
        <v>525</v>
      </c>
      <c r="C18" s="29" t="s">
        <v>25</v>
      </c>
      <c r="D18" s="29" t="s">
        <v>27</v>
      </c>
      <c r="E18" s="29" t="s">
        <v>29</v>
      </c>
      <c r="F18" s="29">
        <f>6.8*3*3</f>
        <v>61.199999999999996</v>
      </c>
      <c r="G18" s="29">
        <f>6.8*3*2</f>
        <v>40.799999999999997</v>
      </c>
    </row>
    <row r="19" spans="1:7" x14ac:dyDescent="0.25">
      <c r="A19" s="293"/>
      <c r="B19" s="295"/>
      <c r="C19" s="29" t="s">
        <v>26</v>
      </c>
      <c r="D19" s="29" t="s">
        <v>28</v>
      </c>
      <c r="E19" s="29" t="s">
        <v>30</v>
      </c>
      <c r="F19" s="29">
        <f>2.3*3*3</f>
        <v>20.7</v>
      </c>
      <c r="G19" s="29">
        <f>2.3*3*2</f>
        <v>13.799999999999999</v>
      </c>
    </row>
    <row r="20" spans="1:7" x14ac:dyDescent="0.25">
      <c r="A20" s="293"/>
      <c r="B20" s="147" t="s">
        <v>68</v>
      </c>
      <c r="C20" s="29" t="s">
        <v>36</v>
      </c>
      <c r="D20" s="29" t="s">
        <v>37</v>
      </c>
      <c r="E20" s="29" t="s">
        <v>38</v>
      </c>
      <c r="F20" s="29">
        <f>372*3*3</f>
        <v>3348</v>
      </c>
      <c r="G20" s="29">
        <f>372*3*2</f>
        <v>2232</v>
      </c>
    </row>
    <row r="21" spans="1:7" x14ac:dyDescent="0.25">
      <c r="A21" s="293" t="s">
        <v>135</v>
      </c>
      <c r="B21" s="29"/>
      <c r="C21" s="148" t="s">
        <v>514</v>
      </c>
      <c r="D21" s="29" t="s">
        <v>75</v>
      </c>
      <c r="E21" s="29"/>
      <c r="F21" s="29">
        <f>10.2*3*3</f>
        <v>91.8</v>
      </c>
      <c r="G21" s="29">
        <f>10.2*3*2</f>
        <v>61.199999999999996</v>
      </c>
    </row>
    <row r="22" spans="1:7" x14ac:dyDescent="0.25">
      <c r="A22" s="293"/>
      <c r="B22" s="29"/>
      <c r="C22" s="29" t="s">
        <v>76</v>
      </c>
      <c r="D22" s="29" t="s">
        <v>77</v>
      </c>
      <c r="E22" s="29" t="s">
        <v>78</v>
      </c>
      <c r="F22" s="29">
        <f>31.4*3*3</f>
        <v>282.59999999999997</v>
      </c>
      <c r="G22" s="29">
        <f>31.4*3*2</f>
        <v>188.39999999999998</v>
      </c>
    </row>
    <row r="23" spans="1:7" x14ac:dyDescent="0.25">
      <c r="A23" s="293" t="s">
        <v>19</v>
      </c>
      <c r="B23" s="29"/>
      <c r="C23" s="29" t="s">
        <v>126</v>
      </c>
      <c r="D23" s="29" t="s">
        <v>55</v>
      </c>
      <c r="E23" s="29">
        <v>844886</v>
      </c>
      <c r="F23" s="29">
        <f>57.5*3*3</f>
        <v>517.5</v>
      </c>
      <c r="G23" s="29">
        <f>57.5*3*2</f>
        <v>345</v>
      </c>
    </row>
    <row r="24" spans="1:7" x14ac:dyDescent="0.25">
      <c r="A24" s="293"/>
      <c r="B24" s="29"/>
      <c r="C24" s="29" t="s">
        <v>127</v>
      </c>
      <c r="D24" s="29" t="s">
        <v>55</v>
      </c>
      <c r="E24" s="29">
        <v>844887</v>
      </c>
      <c r="F24" s="29">
        <f>690*3*3</f>
        <v>6210</v>
      </c>
      <c r="G24" s="29">
        <f>690*3*2</f>
        <v>4140</v>
      </c>
    </row>
    <row r="25" spans="1:7" x14ac:dyDescent="0.25">
      <c r="A25" s="293"/>
      <c r="B25" s="29"/>
      <c r="C25" s="29" t="s">
        <v>176</v>
      </c>
      <c r="D25" s="29" t="s">
        <v>177</v>
      </c>
      <c r="E25" s="29" t="s">
        <v>178</v>
      </c>
      <c r="F25" s="29">
        <f>736*3*3</f>
        <v>6624</v>
      </c>
      <c r="G25" s="29">
        <f>736*3*2</f>
        <v>4416</v>
      </c>
    </row>
  </sheetData>
  <mergeCells count="14">
    <mergeCell ref="A21:A22"/>
    <mergeCell ref="A23:A25"/>
    <mergeCell ref="A12:A17"/>
    <mergeCell ref="B12:B13"/>
    <mergeCell ref="B14:B15"/>
    <mergeCell ref="B16:B17"/>
    <mergeCell ref="A18:A20"/>
    <mergeCell ref="B18:B19"/>
    <mergeCell ref="A10:A11"/>
    <mergeCell ref="A2:A5"/>
    <mergeCell ref="B2:B3"/>
    <mergeCell ref="B4:B5"/>
    <mergeCell ref="A6:A9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C38C-A360-47E9-96E2-89496CE0C6E4}">
  <sheetPr codeName="Sheet1"/>
  <dimension ref="A1:H153"/>
  <sheetViews>
    <sheetView workbookViewId="0">
      <selection activeCell="D16" sqref="D16"/>
    </sheetView>
  </sheetViews>
  <sheetFormatPr defaultRowHeight="15" x14ac:dyDescent="0.25"/>
  <cols>
    <col min="1" max="1" width="9.140625" style="189"/>
    <col min="2" max="2" width="18.7109375" customWidth="1"/>
    <col min="3" max="3" width="14.5703125" customWidth="1"/>
    <col min="4" max="4" width="15.85546875" customWidth="1"/>
    <col min="5" max="5" width="18.28515625" bestFit="1" customWidth="1"/>
    <col min="6" max="6" width="13.85546875" customWidth="1"/>
    <col min="7" max="7" width="17.28515625" customWidth="1"/>
    <col min="8" max="8" width="12" bestFit="1" customWidth="1"/>
  </cols>
  <sheetData>
    <row r="1" spans="2:8" s="189" customFormat="1" ht="15.75" thickBot="1" x14ac:dyDescent="0.3"/>
    <row r="2" spans="2:8" ht="15.75" thickBot="1" x14ac:dyDescent="0.3">
      <c r="B2" s="193" t="s">
        <v>616</v>
      </c>
      <c r="C2" s="193" t="s">
        <v>516</v>
      </c>
      <c r="D2" s="193" t="s">
        <v>617</v>
      </c>
      <c r="E2" s="193" t="s">
        <v>618</v>
      </c>
      <c r="F2" s="193" t="s">
        <v>619</v>
      </c>
      <c r="G2" s="193" t="s">
        <v>620</v>
      </c>
      <c r="H2" s="193" t="s">
        <v>682</v>
      </c>
    </row>
    <row r="3" spans="2:8" x14ac:dyDescent="0.25">
      <c r="B3" t="s">
        <v>621</v>
      </c>
      <c r="C3" t="s">
        <v>269</v>
      </c>
      <c r="D3" s="192" t="s">
        <v>622</v>
      </c>
      <c r="E3" s="194" t="s">
        <v>623</v>
      </c>
      <c r="F3" s="192">
        <v>3</v>
      </c>
      <c r="G3" t="s">
        <v>624</v>
      </c>
    </row>
    <row r="4" spans="2:8" x14ac:dyDescent="0.25">
      <c r="B4" t="s">
        <v>625</v>
      </c>
      <c r="C4" t="s">
        <v>269</v>
      </c>
      <c r="D4" s="192" t="s">
        <v>626</v>
      </c>
      <c r="E4" s="192" t="s">
        <v>623</v>
      </c>
      <c r="F4" s="192">
        <v>2</v>
      </c>
      <c r="G4" s="195" t="s">
        <v>627</v>
      </c>
    </row>
    <row r="5" spans="2:8" x14ac:dyDescent="0.25">
      <c r="B5" t="s">
        <v>628</v>
      </c>
      <c r="C5" t="s">
        <v>20</v>
      </c>
      <c r="D5" s="192" t="s">
        <v>629</v>
      </c>
      <c r="E5" s="192" t="s">
        <v>630</v>
      </c>
      <c r="F5" s="192" t="s">
        <v>631</v>
      </c>
      <c r="G5" s="196" t="s">
        <v>632</v>
      </c>
    </row>
    <row r="6" spans="2:8" x14ac:dyDescent="0.25">
      <c r="B6" s="189" t="s">
        <v>584</v>
      </c>
      <c r="C6" s="189" t="s">
        <v>20</v>
      </c>
      <c r="D6" s="196" t="s">
        <v>629</v>
      </c>
      <c r="E6" s="196" t="s">
        <v>633</v>
      </c>
      <c r="F6" s="196" t="s">
        <v>631</v>
      </c>
      <c r="G6" s="196" t="s">
        <v>634</v>
      </c>
    </row>
    <row r="7" spans="2:8" x14ac:dyDescent="0.25">
      <c r="B7" s="1" t="s">
        <v>648</v>
      </c>
      <c r="C7" s="1" t="s">
        <v>135</v>
      </c>
      <c r="D7" s="192">
        <v>24</v>
      </c>
      <c r="E7" s="192" t="s">
        <v>650</v>
      </c>
      <c r="F7" s="192" t="s">
        <v>649</v>
      </c>
      <c r="G7" t="s">
        <v>634</v>
      </c>
    </row>
    <row r="8" spans="2:8" x14ac:dyDescent="0.25">
      <c r="B8" s="1" t="s">
        <v>651</v>
      </c>
      <c r="C8" s="1" t="s">
        <v>20</v>
      </c>
      <c r="D8" s="192" t="s">
        <v>652</v>
      </c>
      <c r="E8" s="192" t="s">
        <v>653</v>
      </c>
      <c r="F8" s="192">
        <v>4</v>
      </c>
      <c r="G8" s="196" t="s">
        <v>654</v>
      </c>
      <c r="H8" s="58">
        <v>44617</v>
      </c>
    </row>
    <row r="9" spans="2:8" x14ac:dyDescent="0.25">
      <c r="B9" s="1" t="s">
        <v>664</v>
      </c>
      <c r="C9" s="1" t="s">
        <v>20</v>
      </c>
      <c r="D9" s="192" t="s">
        <v>629</v>
      </c>
      <c r="E9" s="192" t="s">
        <v>665</v>
      </c>
      <c r="F9" s="192">
        <v>2</v>
      </c>
      <c r="G9" s="196" t="s">
        <v>666</v>
      </c>
      <c r="H9" s="58">
        <v>44621</v>
      </c>
    </row>
    <row r="10" spans="2:8" x14ac:dyDescent="0.25">
      <c r="B10" s="1" t="s">
        <v>669</v>
      </c>
      <c r="C10" s="1" t="s">
        <v>269</v>
      </c>
      <c r="D10" s="192" t="s">
        <v>670</v>
      </c>
      <c r="E10" s="192" t="s">
        <v>623</v>
      </c>
      <c r="F10" s="192">
        <v>2</v>
      </c>
      <c r="G10" s="196" t="s">
        <v>671</v>
      </c>
      <c r="H10" s="58">
        <v>44622</v>
      </c>
    </row>
    <row r="11" spans="2:8" x14ac:dyDescent="0.25">
      <c r="B11" s="1" t="s">
        <v>591</v>
      </c>
      <c r="C11" s="1" t="s">
        <v>19</v>
      </c>
      <c r="D11" s="192" t="s">
        <v>674</v>
      </c>
      <c r="E11" s="192" t="s">
        <v>673</v>
      </c>
      <c r="F11" s="192">
        <v>1</v>
      </c>
      <c r="G11" s="196" t="s">
        <v>672</v>
      </c>
      <c r="H11" s="58">
        <v>44623</v>
      </c>
    </row>
    <row r="12" spans="2:8" x14ac:dyDescent="0.25">
      <c r="B12" s="1" t="s">
        <v>267</v>
      </c>
      <c r="C12" s="1" t="s">
        <v>269</v>
      </c>
      <c r="D12" s="192" t="s">
        <v>681</v>
      </c>
      <c r="E12" s="192" t="s">
        <v>683</v>
      </c>
      <c r="F12" s="192">
        <v>4</v>
      </c>
      <c r="G12" s="196" t="s">
        <v>672</v>
      </c>
      <c r="H12" s="58">
        <v>44627</v>
      </c>
    </row>
    <row r="13" spans="2:8" x14ac:dyDescent="0.25">
      <c r="B13" s="1" t="s">
        <v>690</v>
      </c>
      <c r="C13" s="1" t="s">
        <v>135</v>
      </c>
      <c r="D13" s="192">
        <v>48</v>
      </c>
      <c r="E13" s="196" t="s">
        <v>650</v>
      </c>
      <c r="F13" s="192">
        <v>4</v>
      </c>
      <c r="G13" s="196" t="s">
        <v>672</v>
      </c>
      <c r="H13" s="58">
        <v>44632</v>
      </c>
    </row>
    <row r="14" spans="2:8" x14ac:dyDescent="0.25">
      <c r="B14" s="1" t="s">
        <v>691</v>
      </c>
      <c r="C14" s="1" t="s">
        <v>135</v>
      </c>
      <c r="D14" s="192">
        <v>48</v>
      </c>
      <c r="E14" s="196" t="s">
        <v>650</v>
      </c>
      <c r="F14" s="192">
        <v>4</v>
      </c>
      <c r="G14" s="196" t="s">
        <v>692</v>
      </c>
      <c r="H14" s="58">
        <v>44632</v>
      </c>
    </row>
    <row r="15" spans="2:8" x14ac:dyDescent="0.25">
      <c r="B15" s="1" t="s">
        <v>695</v>
      </c>
      <c r="C15" s="1" t="s">
        <v>135</v>
      </c>
      <c r="D15" s="196">
        <v>48</v>
      </c>
      <c r="E15" s="196" t="s">
        <v>650</v>
      </c>
      <c r="F15" s="196">
        <v>4</v>
      </c>
      <c r="G15" s="196" t="s">
        <v>672</v>
      </c>
      <c r="H15" s="58">
        <v>44637</v>
      </c>
    </row>
    <row r="16" spans="2:8" x14ac:dyDescent="0.25">
      <c r="B16" s="1" t="s">
        <v>707</v>
      </c>
      <c r="C16" s="1" t="s">
        <v>135</v>
      </c>
      <c r="D16" s="192" t="s">
        <v>709</v>
      </c>
      <c r="E16" s="196" t="s">
        <v>650</v>
      </c>
      <c r="F16" s="192">
        <v>4</v>
      </c>
      <c r="G16" s="196" t="s">
        <v>708</v>
      </c>
      <c r="H16" s="58">
        <v>44680</v>
      </c>
    </row>
    <row r="17" spans="4:6" x14ac:dyDescent="0.25">
      <c r="D17" s="192"/>
      <c r="E17" s="192"/>
      <c r="F17" s="192"/>
    </row>
    <row r="18" spans="4:6" x14ac:dyDescent="0.25">
      <c r="D18" s="192"/>
      <c r="E18" s="192"/>
      <c r="F18" s="192"/>
    </row>
    <row r="19" spans="4:6" x14ac:dyDescent="0.25">
      <c r="D19" s="192"/>
      <c r="E19" s="192"/>
      <c r="F19" s="192"/>
    </row>
    <row r="20" spans="4:6" x14ac:dyDescent="0.25">
      <c r="D20" s="192"/>
      <c r="E20" s="192"/>
      <c r="F20" s="192"/>
    </row>
    <row r="21" spans="4:6" x14ac:dyDescent="0.25">
      <c r="D21" s="192"/>
      <c r="E21" s="192"/>
      <c r="F21" s="192"/>
    </row>
    <row r="22" spans="4:6" x14ac:dyDescent="0.25">
      <c r="D22" s="192"/>
      <c r="E22" s="192"/>
      <c r="F22" s="192"/>
    </row>
    <row r="23" spans="4:6" x14ac:dyDescent="0.25">
      <c r="D23" s="192"/>
      <c r="E23" s="192"/>
      <c r="F23" s="192"/>
    </row>
    <row r="24" spans="4:6" x14ac:dyDescent="0.25">
      <c r="D24" s="192"/>
      <c r="E24" s="192"/>
      <c r="F24" s="192"/>
    </row>
    <row r="25" spans="4:6" x14ac:dyDescent="0.25">
      <c r="D25" s="192"/>
      <c r="E25" s="192"/>
      <c r="F25" s="192"/>
    </row>
    <row r="26" spans="4:6" x14ac:dyDescent="0.25">
      <c r="D26" s="192"/>
      <c r="E26" s="192"/>
      <c r="F26" s="192"/>
    </row>
    <row r="27" spans="4:6" x14ac:dyDescent="0.25">
      <c r="D27" s="192"/>
      <c r="E27" s="192"/>
      <c r="F27" s="192"/>
    </row>
    <row r="28" spans="4:6" x14ac:dyDescent="0.25">
      <c r="D28" s="192"/>
      <c r="E28" s="192"/>
      <c r="F28" s="192"/>
    </row>
    <row r="29" spans="4:6" x14ac:dyDescent="0.25">
      <c r="D29" s="192"/>
      <c r="E29" s="192"/>
      <c r="F29" s="192"/>
    </row>
    <row r="30" spans="4:6" x14ac:dyDescent="0.25">
      <c r="D30" s="192"/>
      <c r="E30" s="192"/>
      <c r="F30" s="192"/>
    </row>
    <row r="31" spans="4:6" x14ac:dyDescent="0.25">
      <c r="D31" s="192"/>
      <c r="E31" s="192"/>
      <c r="F31" s="192"/>
    </row>
    <row r="32" spans="4:6" x14ac:dyDescent="0.25">
      <c r="D32" s="192"/>
      <c r="E32" s="192"/>
      <c r="F32" s="192"/>
    </row>
    <row r="33" spans="4:6" x14ac:dyDescent="0.25">
      <c r="D33" s="192"/>
      <c r="E33" s="192"/>
      <c r="F33" s="192"/>
    </row>
    <row r="34" spans="4:6" x14ac:dyDescent="0.25">
      <c r="D34" s="192"/>
      <c r="E34" s="192"/>
      <c r="F34" s="192"/>
    </row>
    <row r="35" spans="4:6" x14ac:dyDescent="0.25">
      <c r="D35" s="192"/>
      <c r="E35" s="192"/>
      <c r="F35" s="192"/>
    </row>
    <row r="36" spans="4:6" x14ac:dyDescent="0.25">
      <c r="D36" s="192"/>
      <c r="E36" s="192"/>
      <c r="F36" s="192"/>
    </row>
    <row r="37" spans="4:6" x14ac:dyDescent="0.25">
      <c r="D37" s="192"/>
      <c r="E37" s="192"/>
      <c r="F37" s="192"/>
    </row>
    <row r="38" spans="4:6" x14ac:dyDescent="0.25">
      <c r="D38" s="192"/>
      <c r="E38" s="192"/>
      <c r="F38" s="192"/>
    </row>
    <row r="39" spans="4:6" x14ac:dyDescent="0.25">
      <c r="D39" s="192"/>
      <c r="E39" s="192"/>
      <c r="F39" s="192"/>
    </row>
    <row r="40" spans="4:6" x14ac:dyDescent="0.25">
      <c r="D40" s="192"/>
      <c r="E40" s="192"/>
      <c r="F40" s="192"/>
    </row>
    <row r="41" spans="4:6" x14ac:dyDescent="0.25">
      <c r="D41" s="192"/>
      <c r="E41" s="192"/>
      <c r="F41" s="192"/>
    </row>
    <row r="42" spans="4:6" x14ac:dyDescent="0.25">
      <c r="D42" s="192"/>
      <c r="E42" s="192"/>
      <c r="F42" s="192"/>
    </row>
    <row r="43" spans="4:6" x14ac:dyDescent="0.25">
      <c r="D43" s="192"/>
      <c r="E43" s="192"/>
      <c r="F43" s="192"/>
    </row>
    <row r="44" spans="4:6" x14ac:dyDescent="0.25">
      <c r="D44" s="192"/>
      <c r="E44" s="192"/>
      <c r="F44" s="192"/>
    </row>
    <row r="45" spans="4:6" x14ac:dyDescent="0.25">
      <c r="D45" s="192"/>
      <c r="E45" s="192"/>
      <c r="F45" s="192"/>
    </row>
    <row r="46" spans="4:6" x14ac:dyDescent="0.25">
      <c r="D46" s="192"/>
      <c r="E46" s="192"/>
      <c r="F46" s="192"/>
    </row>
    <row r="47" spans="4:6" x14ac:dyDescent="0.25">
      <c r="D47" s="192"/>
      <c r="E47" s="192"/>
      <c r="F47" s="192"/>
    </row>
    <row r="48" spans="4:6" x14ac:dyDescent="0.25">
      <c r="D48" s="192"/>
      <c r="E48" s="192"/>
      <c r="F48" s="192"/>
    </row>
    <row r="49" spans="4:6" x14ac:dyDescent="0.25">
      <c r="D49" s="192"/>
      <c r="E49" s="192"/>
      <c r="F49" s="192"/>
    </row>
    <row r="50" spans="4:6" x14ac:dyDescent="0.25">
      <c r="D50" s="192"/>
      <c r="E50" s="192"/>
      <c r="F50" s="192"/>
    </row>
    <row r="51" spans="4:6" x14ac:dyDescent="0.25">
      <c r="D51" s="192"/>
      <c r="E51" s="192"/>
      <c r="F51" s="192"/>
    </row>
    <row r="52" spans="4:6" x14ac:dyDescent="0.25">
      <c r="D52" s="192"/>
      <c r="E52" s="192"/>
      <c r="F52" s="192"/>
    </row>
    <row r="53" spans="4:6" x14ac:dyDescent="0.25">
      <c r="D53" s="192"/>
      <c r="E53" s="192"/>
      <c r="F53" s="192"/>
    </row>
    <row r="54" spans="4:6" x14ac:dyDescent="0.25">
      <c r="D54" s="192"/>
      <c r="E54" s="192"/>
      <c r="F54" s="192"/>
    </row>
    <row r="55" spans="4:6" x14ac:dyDescent="0.25">
      <c r="D55" s="192"/>
      <c r="E55" s="192"/>
      <c r="F55" s="192"/>
    </row>
    <row r="56" spans="4:6" x14ac:dyDescent="0.25">
      <c r="D56" s="192"/>
      <c r="E56" s="192"/>
      <c r="F56" s="192"/>
    </row>
    <row r="57" spans="4:6" x14ac:dyDescent="0.25">
      <c r="D57" s="192"/>
      <c r="E57" s="192"/>
      <c r="F57" s="192"/>
    </row>
    <row r="58" spans="4:6" x14ac:dyDescent="0.25">
      <c r="D58" s="192"/>
      <c r="E58" s="192"/>
      <c r="F58" s="192"/>
    </row>
    <row r="59" spans="4:6" x14ac:dyDescent="0.25">
      <c r="D59" s="192"/>
      <c r="E59" s="192"/>
      <c r="F59" s="192"/>
    </row>
    <row r="60" spans="4:6" x14ac:dyDescent="0.25">
      <c r="D60" s="192"/>
      <c r="E60" s="192"/>
      <c r="F60" s="192"/>
    </row>
    <row r="61" spans="4:6" x14ac:dyDescent="0.25">
      <c r="D61" s="192"/>
      <c r="E61" s="192"/>
      <c r="F61" s="192"/>
    </row>
    <row r="62" spans="4:6" x14ac:dyDescent="0.25">
      <c r="D62" s="192"/>
      <c r="E62" s="192"/>
      <c r="F62" s="192"/>
    </row>
    <row r="63" spans="4:6" x14ac:dyDescent="0.25">
      <c r="D63" s="192"/>
      <c r="E63" s="192"/>
      <c r="F63" s="192"/>
    </row>
    <row r="64" spans="4:6" x14ac:dyDescent="0.25">
      <c r="D64" s="192"/>
      <c r="E64" s="192"/>
      <c r="F64" s="192"/>
    </row>
    <row r="65" spans="4:6" x14ac:dyDescent="0.25">
      <c r="D65" s="192"/>
      <c r="E65" s="192"/>
      <c r="F65" s="192"/>
    </row>
    <row r="66" spans="4:6" x14ac:dyDescent="0.25">
      <c r="D66" s="192"/>
      <c r="E66" s="192"/>
      <c r="F66" s="192"/>
    </row>
    <row r="67" spans="4:6" x14ac:dyDescent="0.25">
      <c r="D67" s="192"/>
      <c r="E67" s="192"/>
      <c r="F67" s="192"/>
    </row>
    <row r="68" spans="4:6" x14ac:dyDescent="0.25">
      <c r="D68" s="192"/>
      <c r="E68" s="192"/>
      <c r="F68" s="192"/>
    </row>
    <row r="69" spans="4:6" x14ac:dyDescent="0.25">
      <c r="D69" s="192"/>
      <c r="E69" s="192"/>
      <c r="F69" s="192"/>
    </row>
    <row r="70" spans="4:6" x14ac:dyDescent="0.25">
      <c r="D70" s="192"/>
      <c r="E70" s="192"/>
      <c r="F70" s="192"/>
    </row>
    <row r="71" spans="4:6" x14ac:dyDescent="0.25">
      <c r="D71" s="192"/>
      <c r="E71" s="192"/>
      <c r="F71" s="192"/>
    </row>
    <row r="72" spans="4:6" x14ac:dyDescent="0.25">
      <c r="D72" s="192"/>
      <c r="E72" s="192"/>
      <c r="F72" s="192"/>
    </row>
    <row r="73" spans="4:6" x14ac:dyDescent="0.25">
      <c r="D73" s="192"/>
      <c r="E73" s="192"/>
      <c r="F73" s="192"/>
    </row>
    <row r="74" spans="4:6" x14ac:dyDescent="0.25">
      <c r="D74" s="192"/>
      <c r="E74" s="192"/>
      <c r="F74" s="192"/>
    </row>
    <row r="75" spans="4:6" x14ac:dyDescent="0.25">
      <c r="D75" s="192"/>
      <c r="E75" s="192"/>
      <c r="F75" s="192"/>
    </row>
    <row r="76" spans="4:6" x14ac:dyDescent="0.25">
      <c r="D76" s="192"/>
      <c r="E76" s="192"/>
      <c r="F76" s="192"/>
    </row>
    <row r="77" spans="4:6" x14ac:dyDescent="0.25">
      <c r="D77" s="192"/>
      <c r="E77" s="192"/>
      <c r="F77" s="192"/>
    </row>
    <row r="78" spans="4:6" x14ac:dyDescent="0.25">
      <c r="D78" s="192"/>
      <c r="E78" s="192"/>
      <c r="F78" s="192"/>
    </row>
    <row r="79" spans="4:6" x14ac:dyDescent="0.25">
      <c r="D79" s="192"/>
      <c r="E79" s="192"/>
      <c r="F79" s="192"/>
    </row>
    <row r="80" spans="4:6" x14ac:dyDescent="0.25">
      <c r="D80" s="192"/>
      <c r="E80" s="192"/>
      <c r="F80" s="192"/>
    </row>
    <row r="81" spans="4:6" x14ac:dyDescent="0.25">
      <c r="D81" s="192"/>
      <c r="E81" s="192"/>
      <c r="F81" s="192"/>
    </row>
    <row r="82" spans="4:6" x14ac:dyDescent="0.25">
      <c r="D82" s="192"/>
      <c r="E82" s="192"/>
      <c r="F82" s="192"/>
    </row>
    <row r="83" spans="4:6" x14ac:dyDescent="0.25">
      <c r="D83" s="192"/>
      <c r="E83" s="192"/>
      <c r="F83" s="192"/>
    </row>
    <row r="84" spans="4:6" x14ac:dyDescent="0.25">
      <c r="D84" s="192"/>
      <c r="E84" s="192"/>
      <c r="F84" s="192"/>
    </row>
    <row r="85" spans="4:6" x14ac:dyDescent="0.25">
      <c r="D85" s="192"/>
      <c r="E85" s="192"/>
      <c r="F85" s="192"/>
    </row>
    <row r="86" spans="4:6" x14ac:dyDescent="0.25">
      <c r="D86" s="192"/>
      <c r="E86" s="192"/>
      <c r="F86" s="192"/>
    </row>
    <row r="87" spans="4:6" x14ac:dyDescent="0.25">
      <c r="D87" s="192"/>
      <c r="E87" s="192"/>
      <c r="F87" s="192"/>
    </row>
    <row r="88" spans="4:6" x14ac:dyDescent="0.25">
      <c r="D88" s="192"/>
      <c r="E88" s="192"/>
      <c r="F88" s="192"/>
    </row>
    <row r="89" spans="4:6" x14ac:dyDescent="0.25">
      <c r="D89" s="192"/>
      <c r="E89" s="192"/>
      <c r="F89" s="192"/>
    </row>
    <row r="90" spans="4:6" x14ac:dyDescent="0.25">
      <c r="D90" s="192"/>
      <c r="E90" s="192"/>
      <c r="F90" s="192"/>
    </row>
    <row r="91" spans="4:6" x14ac:dyDescent="0.25">
      <c r="D91" s="192"/>
      <c r="E91" s="192"/>
      <c r="F91" s="192"/>
    </row>
    <row r="92" spans="4:6" x14ac:dyDescent="0.25">
      <c r="D92" s="192"/>
      <c r="E92" s="192"/>
      <c r="F92" s="192"/>
    </row>
    <row r="93" spans="4:6" x14ac:dyDescent="0.25">
      <c r="D93" s="192"/>
      <c r="E93" s="192"/>
      <c r="F93" s="192"/>
    </row>
    <row r="94" spans="4:6" x14ac:dyDescent="0.25">
      <c r="D94" s="192"/>
      <c r="E94" s="192"/>
      <c r="F94" s="192"/>
    </row>
    <row r="95" spans="4:6" x14ac:dyDescent="0.25">
      <c r="D95" s="192"/>
      <c r="E95" s="192"/>
      <c r="F95" s="192"/>
    </row>
    <row r="96" spans="4:6" x14ac:dyDescent="0.25">
      <c r="D96" s="192"/>
      <c r="E96" s="192"/>
      <c r="F96" s="192"/>
    </row>
    <row r="97" spans="4:6" x14ac:dyDescent="0.25">
      <c r="D97" s="192"/>
      <c r="E97" s="192"/>
      <c r="F97" s="192"/>
    </row>
    <row r="98" spans="4:6" x14ac:dyDescent="0.25">
      <c r="D98" s="192"/>
      <c r="E98" s="192"/>
      <c r="F98" s="192"/>
    </row>
    <row r="99" spans="4:6" x14ac:dyDescent="0.25">
      <c r="D99" s="192"/>
      <c r="E99" s="192"/>
      <c r="F99" s="192"/>
    </row>
    <row r="100" spans="4:6" x14ac:dyDescent="0.25">
      <c r="D100" s="192"/>
      <c r="E100" s="192"/>
      <c r="F100" s="192"/>
    </row>
    <row r="101" spans="4:6" x14ac:dyDescent="0.25">
      <c r="D101" s="192"/>
      <c r="E101" s="192"/>
      <c r="F101" s="192"/>
    </row>
    <row r="102" spans="4:6" x14ac:dyDescent="0.25">
      <c r="D102" s="192"/>
      <c r="E102" s="192"/>
      <c r="F102" s="192"/>
    </row>
    <row r="103" spans="4:6" x14ac:dyDescent="0.25">
      <c r="D103" s="192"/>
      <c r="E103" s="192"/>
      <c r="F103" s="192"/>
    </row>
    <row r="104" spans="4:6" x14ac:dyDescent="0.25">
      <c r="D104" s="192"/>
      <c r="E104" s="192"/>
      <c r="F104" s="192"/>
    </row>
    <row r="105" spans="4:6" x14ac:dyDescent="0.25">
      <c r="D105" s="192"/>
      <c r="E105" s="192"/>
      <c r="F105" s="192"/>
    </row>
    <row r="106" spans="4:6" x14ac:dyDescent="0.25">
      <c r="D106" s="192"/>
      <c r="E106" s="192"/>
      <c r="F106" s="192"/>
    </row>
    <row r="107" spans="4:6" x14ac:dyDescent="0.25">
      <c r="D107" s="192"/>
      <c r="E107" s="192"/>
      <c r="F107" s="192"/>
    </row>
    <row r="108" spans="4:6" x14ac:dyDescent="0.25">
      <c r="D108" s="192"/>
      <c r="E108" s="192"/>
      <c r="F108" s="192"/>
    </row>
    <row r="109" spans="4:6" x14ac:dyDescent="0.25">
      <c r="D109" s="192"/>
      <c r="E109" s="192"/>
      <c r="F109" s="192"/>
    </row>
    <row r="110" spans="4:6" x14ac:dyDescent="0.25">
      <c r="D110" s="192"/>
      <c r="E110" s="192"/>
      <c r="F110" s="192"/>
    </row>
    <row r="111" spans="4:6" x14ac:dyDescent="0.25">
      <c r="D111" s="192"/>
      <c r="E111" s="192"/>
      <c r="F111" s="192"/>
    </row>
    <row r="112" spans="4:6" x14ac:dyDescent="0.25">
      <c r="D112" s="192"/>
      <c r="E112" s="192"/>
      <c r="F112" s="192"/>
    </row>
    <row r="113" spans="4:6" x14ac:dyDescent="0.25">
      <c r="D113" s="192"/>
      <c r="E113" s="192"/>
      <c r="F113" s="192"/>
    </row>
    <row r="114" spans="4:6" x14ac:dyDescent="0.25">
      <c r="D114" s="192"/>
      <c r="E114" s="192"/>
      <c r="F114" s="192"/>
    </row>
    <row r="115" spans="4:6" x14ac:dyDescent="0.25">
      <c r="D115" s="192"/>
      <c r="E115" s="192"/>
      <c r="F115" s="192"/>
    </row>
    <row r="116" spans="4:6" x14ac:dyDescent="0.25">
      <c r="D116" s="192"/>
      <c r="E116" s="192"/>
      <c r="F116" s="192"/>
    </row>
    <row r="117" spans="4:6" x14ac:dyDescent="0.25">
      <c r="D117" s="192"/>
      <c r="E117" s="192"/>
      <c r="F117" s="192"/>
    </row>
    <row r="118" spans="4:6" x14ac:dyDescent="0.25">
      <c r="D118" s="192"/>
      <c r="E118" s="192"/>
      <c r="F118" s="192"/>
    </row>
    <row r="119" spans="4:6" x14ac:dyDescent="0.25">
      <c r="D119" s="192"/>
      <c r="E119" s="192"/>
      <c r="F119" s="192"/>
    </row>
    <row r="120" spans="4:6" x14ac:dyDescent="0.25">
      <c r="D120" s="192"/>
      <c r="E120" s="192"/>
      <c r="F120" s="192"/>
    </row>
    <row r="121" spans="4:6" x14ac:dyDescent="0.25">
      <c r="D121" s="192"/>
      <c r="E121" s="192"/>
      <c r="F121" s="192"/>
    </row>
    <row r="122" spans="4:6" x14ac:dyDescent="0.25">
      <c r="D122" s="192"/>
      <c r="E122" s="192"/>
      <c r="F122" s="192"/>
    </row>
    <row r="123" spans="4:6" x14ac:dyDescent="0.25">
      <c r="D123" s="192"/>
      <c r="E123" s="192"/>
      <c r="F123" s="192"/>
    </row>
    <row r="124" spans="4:6" x14ac:dyDescent="0.25">
      <c r="D124" s="192"/>
      <c r="E124" s="192"/>
      <c r="F124" s="192"/>
    </row>
    <row r="125" spans="4:6" x14ac:dyDescent="0.25">
      <c r="D125" s="192"/>
      <c r="E125" s="192"/>
      <c r="F125" s="192"/>
    </row>
    <row r="126" spans="4:6" x14ac:dyDescent="0.25">
      <c r="D126" s="192"/>
      <c r="E126" s="192"/>
      <c r="F126" s="192"/>
    </row>
    <row r="127" spans="4:6" x14ac:dyDescent="0.25">
      <c r="D127" s="192"/>
      <c r="E127" s="192"/>
      <c r="F127" s="192"/>
    </row>
    <row r="128" spans="4:6" x14ac:dyDescent="0.25">
      <c r="D128" s="192"/>
      <c r="E128" s="192"/>
      <c r="F128" s="192"/>
    </row>
    <row r="129" spans="4:6" x14ac:dyDescent="0.25">
      <c r="D129" s="192"/>
      <c r="E129" s="192"/>
      <c r="F129" s="192"/>
    </row>
    <row r="130" spans="4:6" x14ac:dyDescent="0.25">
      <c r="D130" s="192"/>
      <c r="E130" s="192"/>
      <c r="F130" s="192"/>
    </row>
    <row r="131" spans="4:6" x14ac:dyDescent="0.25">
      <c r="D131" s="192"/>
      <c r="E131" s="192"/>
      <c r="F131" s="192"/>
    </row>
    <row r="132" spans="4:6" x14ac:dyDescent="0.25">
      <c r="D132" s="192"/>
      <c r="E132" s="192"/>
      <c r="F132" s="192"/>
    </row>
    <row r="133" spans="4:6" x14ac:dyDescent="0.25">
      <c r="D133" s="192"/>
      <c r="E133" s="192"/>
      <c r="F133" s="192"/>
    </row>
    <row r="134" spans="4:6" x14ac:dyDescent="0.25">
      <c r="D134" s="192"/>
      <c r="E134" s="192"/>
      <c r="F134" s="192"/>
    </row>
    <row r="135" spans="4:6" x14ac:dyDescent="0.25">
      <c r="D135" s="192"/>
      <c r="E135" s="192"/>
      <c r="F135" s="192"/>
    </row>
    <row r="136" spans="4:6" x14ac:dyDescent="0.25">
      <c r="D136" s="192"/>
      <c r="E136" s="192"/>
      <c r="F136" s="192"/>
    </row>
    <row r="137" spans="4:6" x14ac:dyDescent="0.25">
      <c r="D137" s="192"/>
      <c r="E137" s="192"/>
      <c r="F137" s="192"/>
    </row>
    <row r="138" spans="4:6" x14ac:dyDescent="0.25">
      <c r="D138" s="192"/>
      <c r="E138" s="192"/>
      <c r="F138" s="192"/>
    </row>
    <row r="139" spans="4:6" x14ac:dyDescent="0.25">
      <c r="D139" s="192"/>
      <c r="E139" s="192"/>
      <c r="F139" s="192"/>
    </row>
    <row r="140" spans="4:6" x14ac:dyDescent="0.25">
      <c r="D140" s="192"/>
      <c r="E140" s="192"/>
      <c r="F140" s="192"/>
    </row>
    <row r="141" spans="4:6" x14ac:dyDescent="0.25">
      <c r="D141" s="192"/>
      <c r="E141" s="192"/>
      <c r="F141" s="192"/>
    </row>
    <row r="142" spans="4:6" x14ac:dyDescent="0.25">
      <c r="D142" s="192"/>
      <c r="E142" s="192"/>
      <c r="F142" s="192"/>
    </row>
    <row r="143" spans="4:6" x14ac:dyDescent="0.25">
      <c r="D143" s="192"/>
      <c r="E143" s="192"/>
      <c r="F143" s="192"/>
    </row>
    <row r="144" spans="4:6" x14ac:dyDescent="0.25">
      <c r="D144" s="192"/>
      <c r="E144" s="192"/>
      <c r="F144" s="192"/>
    </row>
    <row r="145" spans="4:6" x14ac:dyDescent="0.25">
      <c r="D145" s="192"/>
      <c r="E145" s="192"/>
      <c r="F145" s="192"/>
    </row>
    <row r="146" spans="4:6" x14ac:dyDescent="0.25">
      <c r="D146" s="192"/>
      <c r="E146" s="192"/>
      <c r="F146" s="192"/>
    </row>
    <row r="147" spans="4:6" x14ac:dyDescent="0.25">
      <c r="D147" s="192"/>
      <c r="E147" s="192"/>
      <c r="F147" s="192"/>
    </row>
    <row r="148" spans="4:6" x14ac:dyDescent="0.25">
      <c r="D148" s="192"/>
      <c r="E148" s="192"/>
      <c r="F148" s="192"/>
    </row>
    <row r="149" spans="4:6" x14ac:dyDescent="0.25">
      <c r="D149" s="192"/>
      <c r="E149" s="192"/>
      <c r="F149" s="192"/>
    </row>
    <row r="150" spans="4:6" x14ac:dyDescent="0.25">
      <c r="D150" s="192"/>
      <c r="E150" s="192"/>
      <c r="F150" s="192"/>
    </row>
    <row r="151" spans="4:6" x14ac:dyDescent="0.25">
      <c r="D151" s="192"/>
      <c r="E151" s="192"/>
      <c r="F151" s="192"/>
    </row>
    <row r="152" spans="4:6" x14ac:dyDescent="0.25">
      <c r="D152" s="192"/>
      <c r="E152" s="192"/>
      <c r="F152" s="192"/>
    </row>
    <row r="153" spans="4:6" x14ac:dyDescent="0.25">
      <c r="D153" s="192"/>
      <c r="E153" s="192"/>
      <c r="F153" s="19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 Tracking</vt:lpstr>
      <vt:lpstr>Edit Tracking</vt:lpstr>
      <vt:lpstr>Project Specific Reagents</vt:lpstr>
      <vt:lpstr>Minimum Probe Volumes</vt:lpstr>
      <vt:lpstr>Backup Plates For Ferm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Currie</dc:creator>
  <cp:lastModifiedBy>Lauren Sanders</cp:lastModifiedBy>
  <cp:lastPrinted>2022-03-01T01:16:07Z</cp:lastPrinted>
  <dcterms:created xsi:type="dcterms:W3CDTF">2021-06-05T16:39:40Z</dcterms:created>
  <dcterms:modified xsi:type="dcterms:W3CDTF">2022-05-25T23:59:14Z</dcterms:modified>
</cp:coreProperties>
</file>