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vin\Google Drive\University\Physical Chemistry lab 1 lab\Solubilidad como funcionde la temperatura\"/>
    </mc:Choice>
  </mc:AlternateContent>
  <bookViews>
    <workbookView xWindow="0" yWindow="0" windowWidth="15345" windowHeight="670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A38" i="1"/>
  <c r="A39" i="1"/>
  <c r="A40" i="1"/>
  <c r="A37" i="1"/>
  <c r="C38" i="1"/>
  <c r="C39" i="1"/>
  <c r="C40" i="1"/>
  <c r="C37" i="1"/>
  <c r="B40" i="1"/>
  <c r="B39" i="1"/>
  <c r="B38" i="1"/>
  <c r="B37" i="1"/>
  <c r="B14" i="1"/>
  <c r="B15" i="1"/>
  <c r="B16" i="1"/>
  <c r="B17" i="1"/>
  <c r="B18" i="1"/>
  <c r="B19" i="1"/>
  <c r="B20" i="1"/>
  <c r="B13" i="1"/>
  <c r="C14" i="1" l="1"/>
  <c r="C15" i="1"/>
  <c r="C16" i="1"/>
  <c r="C17" i="1"/>
  <c r="C18" i="1"/>
  <c r="C19" i="1"/>
  <c r="C20" i="1"/>
  <c r="C13" i="1"/>
  <c r="A14" i="1"/>
  <c r="A15" i="1"/>
  <c r="A16" i="1"/>
  <c r="A17" i="1"/>
  <c r="A18" i="1"/>
  <c r="A19" i="1"/>
  <c r="A20" i="1"/>
  <c r="A13" i="1"/>
  <c r="A11" i="3"/>
  <c r="A12" i="3"/>
  <c r="A13" i="3"/>
  <c r="A14" i="3"/>
  <c r="A15" i="3"/>
  <c r="A10" i="3"/>
  <c r="B3" i="3"/>
  <c r="B4" i="3"/>
  <c r="B5" i="3"/>
  <c r="B6" i="3"/>
  <c r="B7" i="3"/>
  <c r="B2" i="3"/>
  <c r="B12" i="2" l="1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1" i="2"/>
  <c r="C11" i="2" s="1"/>
  <c r="D2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2" i="2"/>
  <c r="G7" i="3"/>
  <c r="B15" i="3" s="1"/>
  <c r="F7" i="3"/>
  <c r="E3" i="3"/>
  <c r="F3" i="3" s="1"/>
  <c r="G3" i="3" s="1"/>
  <c r="B11" i="3" s="1"/>
  <c r="E4" i="3"/>
  <c r="F4" i="3" s="1"/>
  <c r="G4" i="3" s="1"/>
  <c r="B12" i="3" s="1"/>
  <c r="E5" i="3"/>
  <c r="F5" i="3" s="1"/>
  <c r="G5" i="3" s="1"/>
  <c r="B13" i="3" s="1"/>
  <c r="E6" i="3"/>
  <c r="F6" i="3" s="1"/>
  <c r="G6" i="3" s="1"/>
  <c r="B14" i="3" s="1"/>
  <c r="E7" i="3"/>
  <c r="E2" i="3"/>
  <c r="F2" i="3" s="1"/>
  <c r="G2" i="3" s="1"/>
  <c r="B10" i="3" s="1"/>
  <c r="D28" i="1" l="1"/>
  <c r="B28" i="1"/>
  <c r="C34" i="1" s="1"/>
  <c r="D34" i="1" s="1"/>
  <c r="E34" i="1" s="1"/>
  <c r="D27" i="1"/>
  <c r="B27" i="1"/>
  <c r="C33" i="1" s="1"/>
  <c r="D33" i="1" s="1"/>
  <c r="E33" i="1" s="1"/>
  <c r="D26" i="1"/>
  <c r="B26" i="1"/>
  <c r="C32" i="1" s="1"/>
  <c r="D32" i="1" s="1"/>
  <c r="E32" i="1" s="1"/>
  <c r="D25" i="1"/>
  <c r="B25" i="1"/>
  <c r="C31" i="1" s="1"/>
  <c r="D31" i="1" s="1"/>
  <c r="E31" i="1" s="1"/>
  <c r="K4" i="1"/>
  <c r="C9" i="1"/>
  <c r="C8" i="1"/>
  <c r="C28" i="1" s="1"/>
  <c r="C7" i="1"/>
  <c r="C6" i="1"/>
  <c r="C27" i="1" s="1"/>
  <c r="C5" i="1"/>
  <c r="C4" i="1"/>
  <c r="C26" i="1" s="1"/>
  <c r="C3" i="1"/>
  <c r="C2" i="1"/>
  <c r="C25" i="1" s="1"/>
  <c r="A31" i="1" l="1"/>
  <c r="G2" i="1"/>
  <c r="G6" i="1"/>
  <c r="G3" i="1"/>
  <c r="G5" i="1"/>
  <c r="G7" i="1"/>
  <c r="G4" i="1"/>
  <c r="G26" i="1" s="1"/>
  <c r="G8" i="1"/>
  <c r="G28" i="1" s="1"/>
  <c r="G9" i="1"/>
  <c r="A33" i="1"/>
  <c r="A32" i="1"/>
  <c r="A34" i="1"/>
  <c r="F6" i="1" l="1"/>
  <c r="E6" i="1" s="1"/>
  <c r="G27" i="1"/>
  <c r="F2" i="1"/>
  <c r="E2" i="1" s="1"/>
  <c r="G25" i="1"/>
  <c r="H6" i="1"/>
  <c r="D17" i="1" s="1"/>
  <c r="H2" i="1"/>
  <c r="D13" i="1" s="1"/>
  <c r="F7" i="1"/>
  <c r="F4" i="1"/>
  <c r="F3" i="1"/>
  <c r="F5" i="1"/>
  <c r="E5" i="1" s="1"/>
  <c r="H5" i="1" s="1"/>
  <c r="D16" i="1" s="1"/>
  <c r="F9" i="1"/>
  <c r="E9" i="1" s="1"/>
  <c r="H9" i="1" s="1"/>
  <c r="D20" i="1" s="1"/>
  <c r="F8" i="1"/>
  <c r="E4" i="1" l="1"/>
  <c r="F26" i="1"/>
  <c r="E8" i="1"/>
  <c r="F28" i="1"/>
  <c r="E3" i="1"/>
  <c r="F25" i="1"/>
  <c r="E7" i="1"/>
  <c r="F27" i="1"/>
  <c r="H4" i="1" l="1"/>
  <c r="E26" i="1"/>
  <c r="H7" i="1"/>
  <c r="E27" i="1"/>
  <c r="E28" i="1"/>
  <c r="H8" i="1"/>
  <c r="H3" i="1"/>
  <c r="E25" i="1"/>
  <c r="H25" i="1" l="1"/>
  <c r="B31" i="1" s="1"/>
  <c r="D14" i="1"/>
  <c r="H27" i="1"/>
  <c r="B33" i="1" s="1"/>
  <c r="D18" i="1"/>
  <c r="H28" i="1"/>
  <c r="B34" i="1" s="1"/>
  <c r="D19" i="1"/>
  <c r="H26" i="1"/>
  <c r="B32" i="1" s="1"/>
  <c r="D15" i="1"/>
</calcChain>
</file>

<file path=xl/sharedStrings.xml><?xml version="1.0" encoding="utf-8"?>
<sst xmlns="http://schemas.openxmlformats.org/spreadsheetml/2006/main" count="44" uniqueCount="39">
  <si>
    <t>muestra</t>
  </si>
  <si>
    <t>V NaOH (mL)</t>
  </si>
  <si>
    <t>peso del agua (g)</t>
  </si>
  <si>
    <t>peso de acido oxalico (g)</t>
  </si>
  <si>
    <t>moles de acido oxalico (mol)</t>
  </si>
  <si>
    <t>molalidad (m)</t>
  </si>
  <si>
    <t>peso de la soln (g)</t>
  </si>
  <si>
    <t>mL HCL</t>
  </si>
  <si>
    <t>mL NaOH consumido</t>
  </si>
  <si>
    <t>M NaOH</t>
  </si>
  <si>
    <t>1/T</t>
  </si>
  <si>
    <t>LN(M)</t>
  </si>
  <si>
    <t>H</t>
  </si>
  <si>
    <t>t(K)</t>
  </si>
  <si>
    <t>1/T(k)</t>
  </si>
  <si>
    <t>molar mass oxalic acid</t>
  </si>
  <si>
    <t>M HCl valorada</t>
  </si>
  <si>
    <t>T</t>
  </si>
  <si>
    <t>m</t>
  </si>
  <si>
    <t>ln(m)</t>
  </si>
  <si>
    <t>t</t>
  </si>
  <si>
    <t>g oxalic acid</t>
  </si>
  <si>
    <t>water ml</t>
  </si>
  <si>
    <t>g/mL</t>
  </si>
  <si>
    <t>g/L</t>
  </si>
  <si>
    <t>lnm</t>
  </si>
  <si>
    <t>x</t>
  </si>
  <si>
    <t>https://chemistry.osu.edu/~rzellmer/chem122/lab/exp15.pdf</t>
  </si>
  <si>
    <t>https://www.researchgate.net/publication/281775607_Solubility_of_Oxalic_Acid</t>
  </si>
  <si>
    <t>T(k)</t>
  </si>
  <si>
    <t>H(J)</t>
  </si>
  <si>
    <t>1/t (K)</t>
  </si>
  <si>
    <t>T (K)</t>
  </si>
  <si>
    <t>temp \textdegree C</t>
  </si>
  <si>
    <t>Temp. (K)</t>
  </si>
  <si>
    <t>$frac{1}{T}$</t>
  </si>
  <si>
    <t>$ln(m)$</t>
  </si>
  <si>
    <t>Temp (K)</t>
  </si>
  <si>
    <t>$\Delta H$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</si>
</sst>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E+00"/>
    <numFmt numFmtId="166" formatCode="0.00000"/>
    <numFmt numFmtId="167" formatCode="0.0000"/>
    <numFmt numFmtId="168" formatCode="0.0000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6" xfId="0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" xfId="0" applyFont="1" applyBorder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7" fontId="0" fillId="0" borderId="8" xfId="0" applyNumberFormat="1" applyBorder="1"/>
    <xf numFmtId="167" fontId="0" fillId="0" borderId="9" xfId="0" applyNumberFormat="1" applyBorder="1"/>
    <xf numFmtId="168" fontId="0" fillId="0" borderId="8" xfId="0" applyNumberFormat="1" applyBorder="1"/>
    <xf numFmtId="165" fontId="0" fillId="0" borderId="11" xfId="0" applyNumberFormat="1" applyBorder="1" applyAlignment="1">
      <alignment horizontal="center"/>
    </xf>
    <xf numFmtId="0" fontId="3" fillId="0" borderId="0" xfId="1"/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1" fillId="0" borderId="7" xfId="0" applyNumberFormat="1" applyFont="1" applyFill="1" applyBorder="1" applyAlignment="1">
      <alignment horizontal="center"/>
    </xf>
    <xf numFmtId="165" fontId="1" fillId="0" borderId="10" xfId="0" applyNumberFormat="1" applyFon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5" fontId="1" fillId="0" borderId="8" xfId="0" applyNumberFormat="1" applyFont="1" applyFill="1" applyBorder="1" applyAlignment="1">
      <alignment horizontal="center"/>
    </xf>
    <xf numFmtId="165" fontId="1" fillId="0" borderId="11" xfId="0" applyNumberFormat="1" applyFont="1" applyFill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5" fontId="1" fillId="0" borderId="9" xfId="0" applyNumberFormat="1" applyFont="1" applyFill="1" applyBorder="1" applyAlignment="1">
      <alignment horizontal="center"/>
    </xf>
    <xf numFmtId="165" fontId="1" fillId="0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/>
    <xf numFmtId="165" fontId="0" fillId="0" borderId="0" xfId="0" applyNumberFormat="1" applyBorder="1"/>
    <xf numFmtId="2" fontId="0" fillId="0" borderId="4" xfId="0" applyNumberFormat="1" applyBorder="1"/>
    <xf numFmtId="165" fontId="0" fillId="0" borderId="5" xfId="0" applyNumberFormat="1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/>
    <xf numFmtId="165" fontId="0" fillId="0" borderId="12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</a:t>
            </a:r>
            <a:r>
              <a:rPr lang="en-US" baseline="0"/>
              <a:t> diferencial de disolucion</a:t>
            </a:r>
            <a:endParaRPr lang="en-US"/>
          </a:p>
        </c:rich>
      </c:tx>
      <c:layout>
        <c:manualLayout>
          <c:xMode val="edge"/>
          <c:yMode val="edge"/>
          <c:x val="0.259493000874890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0848643919510053E-3"/>
                  <c:y val="0.13153762029746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Sheet1!$D$31:$D$34</c:f>
              <c:numCache>
                <c:formatCode>0.000E+00</c:formatCode>
                <c:ptCount val="4"/>
                <c:pt idx="0">
                  <c:v>3.5823034210997673E-3</c:v>
                </c:pt>
                <c:pt idx="1">
                  <c:v>3.4596090641757487E-3</c:v>
                </c:pt>
                <c:pt idx="2">
                  <c:v>3.3428046130703662E-3</c:v>
                </c:pt>
                <c:pt idx="3">
                  <c:v>3.2451728054518907E-3</c:v>
                </c:pt>
              </c:numCache>
            </c:numRef>
          </c:xVal>
          <c:yVal>
            <c:numRef>
              <c:f>Sheet1!$B$31:$B$34</c:f>
              <c:numCache>
                <c:formatCode>0.0000</c:formatCode>
                <c:ptCount val="4"/>
                <c:pt idx="0">
                  <c:v>-5.7285575904632404</c:v>
                </c:pt>
                <c:pt idx="1">
                  <c:v>-5.7442334351726316</c:v>
                </c:pt>
                <c:pt idx="2">
                  <c:v>-5.7504889860579302</c:v>
                </c:pt>
                <c:pt idx="3">
                  <c:v>-5.7429094205845663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382256"/>
        <c:axId val="-1135382800"/>
      </c:scatterChart>
      <c:valAx>
        <c:axId val="-11353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5382800"/>
        <c:crosses val="autoZero"/>
        <c:crossBetween val="midCat"/>
      </c:valAx>
      <c:valAx>
        <c:axId val="-11353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538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Teoreticos de T</a:t>
            </a:r>
            <a:r>
              <a:rPr lang="en-US" baseline="0"/>
              <a:t> entre 280.15 y 318.15 K</a:t>
            </a:r>
            <a:endParaRPr lang="en-US"/>
          </a:p>
        </c:rich>
      </c:tx>
      <c:layout>
        <c:manualLayout>
          <c:xMode val="edge"/>
          <c:yMode val="edge"/>
          <c:x val="0.200833333333333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Sheet2!$B$11:$B$17</c:f>
              <c:numCache>
                <c:formatCode>0.000E+00</c:formatCode>
                <c:ptCount val="7"/>
                <c:pt idx="0">
                  <c:v>3.5695163305372126E-3</c:v>
                </c:pt>
                <c:pt idx="1">
                  <c:v>3.5069261792039282E-3</c:v>
                </c:pt>
                <c:pt idx="2">
                  <c:v>3.3428046130703662E-3</c:v>
                </c:pt>
                <c:pt idx="3">
                  <c:v>3.1431714600031434E-3</c:v>
                </c:pt>
                <c:pt idx="4">
                  <c:v>3.0916679548616478E-3</c:v>
                </c:pt>
                <c:pt idx="5">
                  <c:v>2.9572674848440043E-3</c:v>
                </c:pt>
                <c:pt idx="6">
                  <c:v>2.8469750889679717E-3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-7.3107411257841202</c:v>
                </c:pt>
                <c:pt idx="1">
                  <c:v>-7.0270120388189321</c:v>
                </c:pt>
                <c:pt idx="2">
                  <c:v>-6.6297102413499287</c:v>
                </c:pt>
                <c:pt idx="3">
                  <c:v>-6.295221595677547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372464"/>
        <c:axId val="-1135381712"/>
      </c:scatterChart>
      <c:valAx>
        <c:axId val="-1135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5381712"/>
        <c:crosses val="autoZero"/>
        <c:crossBetween val="midCat"/>
      </c:valAx>
      <c:valAx>
        <c:axId val="-1135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5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</a:t>
            </a:r>
            <a:r>
              <a:rPr lang="en-US" baseline="0"/>
              <a:t> Teorico de T entre 14 y 65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Sheet3!$A$10:$A$13</c:f>
              <c:numCache>
                <c:formatCode>General</c:formatCode>
                <c:ptCount val="4"/>
                <c:pt idx="0">
                  <c:v>3.4825004353125546E-3</c:v>
                </c:pt>
                <c:pt idx="1">
                  <c:v>3.298697014679202E-3</c:v>
                </c:pt>
                <c:pt idx="2">
                  <c:v>3.1933578157432542E-3</c:v>
                </c:pt>
                <c:pt idx="3">
                  <c:v>2.9572674848440043E-3</c:v>
                </c:pt>
              </c:numCache>
            </c:numRef>
          </c:xVal>
          <c:yVal>
            <c:numRef>
              <c:f>Sheet3!$B$10:$B$13</c:f>
              <c:numCache>
                <c:formatCode>General</c:formatCode>
                <c:ptCount val="4"/>
                <c:pt idx="0">
                  <c:v>-1.0989997691434088</c:v>
                </c:pt>
                <c:pt idx="1">
                  <c:v>-0.40585258858346346</c:v>
                </c:pt>
                <c:pt idx="2">
                  <c:v>-0.18270903726925372</c:v>
                </c:pt>
                <c:pt idx="3">
                  <c:v>2.0350441202080942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375728"/>
        <c:axId val="-1135370832"/>
      </c:scatterChart>
      <c:valAx>
        <c:axId val="-11353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5370832"/>
        <c:crosses val="autoZero"/>
        <c:crossBetween val="midCat"/>
      </c:valAx>
      <c:valAx>
        <c:axId val="-1135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53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9</xdr:row>
      <xdr:rowOff>33337</xdr:rowOff>
    </xdr:from>
    <xdr:to>
      <xdr:col>10</xdr:col>
      <xdr:colOff>438150</xdr:colOff>
      <xdr:row>23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2</xdr:row>
      <xdr:rowOff>147637</xdr:rowOff>
    </xdr:from>
    <xdr:to>
      <xdr:col>12</xdr:col>
      <xdr:colOff>490537</xdr:colOff>
      <xdr:row>17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7</xdr:row>
      <xdr:rowOff>61912</xdr:rowOff>
    </xdr:from>
    <xdr:to>
      <xdr:col>12</xdr:col>
      <xdr:colOff>80962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hemistry.osu.edu/~rzellmer/chem122/lab/exp1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8" workbookViewId="0">
      <selection activeCell="A36" sqref="A36:C40"/>
    </sheetView>
  </sheetViews>
  <sheetFormatPr defaultRowHeight="15" x14ac:dyDescent="0.25"/>
  <cols>
    <col min="3" max="3" width="12.5703125" customWidth="1"/>
    <col min="4" max="5" width="12.28515625" customWidth="1"/>
    <col min="6" max="6" width="12.85546875" customWidth="1"/>
    <col min="7" max="7" width="12.5703125" customWidth="1"/>
    <col min="8" max="8" width="11" customWidth="1"/>
    <col min="10" max="10" width="21.28515625" customWidth="1"/>
  </cols>
  <sheetData>
    <row r="1" spans="1:11" ht="46.5" customHeight="1" x14ac:dyDescent="0.25">
      <c r="A1" s="8" t="s">
        <v>0</v>
      </c>
      <c r="B1" s="8" t="s">
        <v>33</v>
      </c>
      <c r="C1" s="9" t="s">
        <v>6</v>
      </c>
      <c r="D1" s="8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J1" s="13" t="s">
        <v>7</v>
      </c>
      <c r="K1" s="15">
        <v>20</v>
      </c>
    </row>
    <row r="2" spans="1:11" x14ac:dyDescent="0.25">
      <c r="A2" s="2">
        <v>1</v>
      </c>
      <c r="B2" s="4">
        <v>6</v>
      </c>
      <c r="C2" s="6">
        <f>19.0057-13.9229</f>
        <v>5.0828000000000007</v>
      </c>
      <c r="D2" s="19">
        <v>10.5</v>
      </c>
      <c r="E2" s="39">
        <f>C2-F2</f>
        <v>3.9462180389348447</v>
      </c>
      <c r="F2" s="40">
        <f>G2*$K$5</f>
        <v>1.136581961065156</v>
      </c>
      <c r="G2" s="41">
        <f>2*D2/1000*$K$4</f>
        <v>1.2623796033994335E-2</v>
      </c>
      <c r="H2" s="42">
        <f>G2/E2</f>
        <v>3.1989606021368563E-3</v>
      </c>
      <c r="J2" s="2" t="s">
        <v>16</v>
      </c>
      <c r="K2" s="16">
        <v>0.1061</v>
      </c>
    </row>
    <row r="3" spans="1:11" x14ac:dyDescent="0.25">
      <c r="A3" s="2">
        <v>2</v>
      </c>
      <c r="B3" s="4">
        <v>6</v>
      </c>
      <c r="C3" s="6">
        <f>19.1716-14.1205</f>
        <v>5.0511000000000017</v>
      </c>
      <c r="D3" s="19">
        <v>10.7</v>
      </c>
      <c r="E3" s="43">
        <f t="shared" ref="E3:E9" si="0">C3-F3</f>
        <v>3.8928688587240812</v>
      </c>
      <c r="F3" s="44">
        <f t="shared" ref="F3:F9" si="1">G3*$K$5</f>
        <v>1.1582311412759205</v>
      </c>
      <c r="G3" s="45">
        <f t="shared" ref="G3:G9" si="2">2*D3/1000*$K$4</f>
        <v>1.2864249291784702E-2</v>
      </c>
      <c r="H3" s="46">
        <f t="shared" ref="H3:H9" si="3">G3/E3</f>
        <v>3.304567854361542E-3</v>
      </c>
      <c r="J3" s="2" t="s">
        <v>8</v>
      </c>
      <c r="K3" s="16">
        <v>3.53</v>
      </c>
    </row>
    <row r="4" spans="1:11" x14ac:dyDescent="0.25">
      <c r="A4" s="2">
        <v>3</v>
      </c>
      <c r="B4" s="4">
        <v>15.9</v>
      </c>
      <c r="C4" s="6">
        <f>18.809-13.7762</f>
        <v>5.0328000000000017</v>
      </c>
      <c r="D4" s="19">
        <v>10.45</v>
      </c>
      <c r="E4" s="43">
        <f t="shared" si="0"/>
        <v>3.9016303339875371</v>
      </c>
      <c r="F4" s="44">
        <f t="shared" si="1"/>
        <v>1.1311696660124646</v>
      </c>
      <c r="G4" s="45">
        <f t="shared" si="2"/>
        <v>1.2563682719546741E-2</v>
      </c>
      <c r="H4" s="46">
        <f t="shared" si="3"/>
        <v>3.2201109905526156E-3</v>
      </c>
      <c r="J4" s="3" t="s">
        <v>9</v>
      </c>
      <c r="K4" s="17">
        <f>K1*K2/K3</f>
        <v>0.6011331444759207</v>
      </c>
    </row>
    <row r="5" spans="1:11" x14ac:dyDescent="0.25">
      <c r="A5" s="2">
        <v>4</v>
      </c>
      <c r="B5" s="4">
        <v>15.9</v>
      </c>
      <c r="C5" s="6">
        <f>18.1275-13.0726</f>
        <v>5.0549000000000017</v>
      </c>
      <c r="D5" s="19">
        <v>10.4</v>
      </c>
      <c r="E5" s="43">
        <f t="shared" si="0"/>
        <v>3.9291426290402285</v>
      </c>
      <c r="F5" s="44">
        <f t="shared" si="1"/>
        <v>1.1257573709597732</v>
      </c>
      <c r="G5" s="45">
        <f t="shared" si="2"/>
        <v>1.250356940509915E-2</v>
      </c>
      <c r="H5" s="46">
        <f t="shared" si="3"/>
        <v>3.182264067658291E-3</v>
      </c>
      <c r="J5" s="21" t="s">
        <v>15</v>
      </c>
      <c r="K5" s="22">
        <v>90.034880000000001</v>
      </c>
    </row>
    <row r="6" spans="1:11" x14ac:dyDescent="0.25">
      <c r="A6" s="2">
        <v>5</v>
      </c>
      <c r="B6" s="4">
        <v>26</v>
      </c>
      <c r="C6" s="6">
        <f>19.3039-14.2346</f>
        <v>5.0692999999999984</v>
      </c>
      <c r="D6" s="19">
        <v>10.4</v>
      </c>
      <c r="E6" s="43">
        <f t="shared" si="0"/>
        <v>3.9435426290402251</v>
      </c>
      <c r="F6" s="44">
        <f t="shared" si="1"/>
        <v>1.1257573709597732</v>
      </c>
      <c r="G6" s="45">
        <f t="shared" si="2"/>
        <v>1.250356940509915E-2</v>
      </c>
      <c r="H6" s="46">
        <f t="shared" si="3"/>
        <v>3.1706439060713927E-3</v>
      </c>
    </row>
    <row r="7" spans="1:11" x14ac:dyDescent="0.25">
      <c r="A7" s="2">
        <v>6</v>
      </c>
      <c r="B7" s="4">
        <v>26</v>
      </c>
      <c r="C7" s="6">
        <f>19.2428-14.1754</f>
        <v>5.0673999999999992</v>
      </c>
      <c r="D7" s="19">
        <v>10.45</v>
      </c>
      <c r="E7" s="43">
        <f t="shared" si="0"/>
        <v>3.9362303339875346</v>
      </c>
      <c r="F7" s="44">
        <f t="shared" si="1"/>
        <v>1.1311696660124646</v>
      </c>
      <c r="G7" s="45">
        <f t="shared" si="2"/>
        <v>1.2563682719546741E-2</v>
      </c>
      <c r="H7" s="46">
        <f t="shared" si="3"/>
        <v>3.1918057769803592E-3</v>
      </c>
    </row>
    <row r="8" spans="1:11" x14ac:dyDescent="0.25">
      <c r="A8" s="2">
        <v>7</v>
      </c>
      <c r="B8" s="4">
        <v>35</v>
      </c>
      <c r="C8" s="6">
        <f>18.1875-13.1388</f>
        <v>5.0487000000000002</v>
      </c>
      <c r="D8" s="19">
        <v>10.5</v>
      </c>
      <c r="E8" s="43">
        <f t="shared" si="0"/>
        <v>3.9121180389348442</v>
      </c>
      <c r="F8" s="44">
        <f t="shared" si="1"/>
        <v>1.136581961065156</v>
      </c>
      <c r="G8" s="45">
        <f t="shared" si="2"/>
        <v>1.2623796033994335E-2</v>
      </c>
      <c r="H8" s="46">
        <f t="shared" si="3"/>
        <v>3.2268443611255214E-3</v>
      </c>
    </row>
    <row r="9" spans="1:11" x14ac:dyDescent="0.25">
      <c r="A9" s="3">
        <v>8</v>
      </c>
      <c r="B9" s="5">
        <v>35</v>
      </c>
      <c r="C9" s="7">
        <f>19.2859-14.2283</f>
        <v>5.0576000000000008</v>
      </c>
      <c r="D9" s="20">
        <v>10.41</v>
      </c>
      <c r="E9" s="47">
        <f t="shared" si="0"/>
        <v>3.9307601700296892</v>
      </c>
      <c r="F9" s="48">
        <f t="shared" si="1"/>
        <v>1.1268398299703117</v>
      </c>
      <c r="G9" s="49">
        <f t="shared" si="2"/>
        <v>1.2515592067988669E-2</v>
      </c>
      <c r="H9" s="50">
        <f t="shared" si="3"/>
        <v>3.1840131492667837E-3</v>
      </c>
    </row>
    <row r="10" spans="1:11" x14ac:dyDescent="0.25">
      <c r="A10" s="51"/>
      <c r="B10" s="51"/>
      <c r="C10" s="51"/>
      <c r="D10" s="51"/>
      <c r="E10" s="51"/>
      <c r="F10" s="51"/>
      <c r="G10" s="51"/>
      <c r="H10" s="51"/>
    </row>
    <row r="12" spans="1:11" ht="30" x14ac:dyDescent="0.25">
      <c r="A12" s="57" t="s">
        <v>34</v>
      </c>
      <c r="B12" s="59" t="s">
        <v>5</v>
      </c>
      <c r="C12" s="58" t="s">
        <v>35</v>
      </c>
      <c r="D12" s="59" t="s">
        <v>36</v>
      </c>
    </row>
    <row r="13" spans="1:11" x14ac:dyDescent="0.25">
      <c r="A13" s="52">
        <f>B2+273.15</f>
        <v>279.14999999999998</v>
      </c>
      <c r="B13" s="45">
        <f>H2</f>
        <v>3.1989606021368563E-3</v>
      </c>
      <c r="C13" s="53">
        <f>1/A13</f>
        <v>3.5823034210997673E-3</v>
      </c>
      <c r="D13" s="60">
        <f>LN(H2)</f>
        <v>-5.7449293337714771</v>
      </c>
    </row>
    <row r="14" spans="1:11" x14ac:dyDescent="0.25">
      <c r="A14" s="52">
        <f t="shared" ref="A14:A20" si="4">B3+273.15</f>
        <v>279.14999999999998</v>
      </c>
      <c r="B14" s="45">
        <f t="shared" ref="B14:B20" si="5">H3</f>
        <v>3.304567854361542E-3</v>
      </c>
      <c r="C14" s="53">
        <f>1/A14</f>
        <v>3.5823034210997673E-3</v>
      </c>
      <c r="D14" s="60">
        <f>LN(H3)</f>
        <v>-5.7124495693376538</v>
      </c>
    </row>
    <row r="15" spans="1:11" x14ac:dyDescent="0.25">
      <c r="A15" s="52">
        <f t="shared" si="4"/>
        <v>289.04999999999995</v>
      </c>
      <c r="B15" s="45">
        <f t="shared" si="5"/>
        <v>3.2201109905526156E-3</v>
      </c>
      <c r="C15" s="53">
        <f>1/A15</f>
        <v>3.4596090641757487E-3</v>
      </c>
      <c r="D15" s="60">
        <f>LN(H4)</f>
        <v>-5.7383394509041477</v>
      </c>
    </row>
    <row r="16" spans="1:11" x14ac:dyDescent="0.25">
      <c r="A16" s="52">
        <f t="shared" si="4"/>
        <v>289.04999999999995</v>
      </c>
      <c r="B16" s="45">
        <f t="shared" si="5"/>
        <v>3.182264067658291E-3</v>
      </c>
      <c r="C16" s="53">
        <f>1/A16</f>
        <v>3.4596090641757487E-3</v>
      </c>
      <c r="D16" s="60">
        <f>LN(H5)</f>
        <v>-5.7501623645594142</v>
      </c>
    </row>
    <row r="17" spans="1:8" x14ac:dyDescent="0.25">
      <c r="A17" s="52">
        <f t="shared" si="4"/>
        <v>299.14999999999998</v>
      </c>
      <c r="B17" s="45">
        <f t="shared" si="5"/>
        <v>3.1706439060713927E-3</v>
      </c>
      <c r="C17" s="53">
        <f>1/A17</f>
        <v>3.3428046130703662E-3</v>
      </c>
      <c r="D17" s="60">
        <f>LN(H6)</f>
        <v>-5.753820586776369</v>
      </c>
    </row>
    <row r="18" spans="1:8" x14ac:dyDescent="0.25">
      <c r="A18" s="52">
        <f t="shared" si="4"/>
        <v>299.14999999999998</v>
      </c>
      <c r="B18" s="45">
        <f t="shared" si="5"/>
        <v>3.1918057769803592E-3</v>
      </c>
      <c r="C18" s="53">
        <f>1/A18</f>
        <v>3.3428046130703662E-3</v>
      </c>
      <c r="D18" s="60">
        <f>LN(H7)</f>
        <v>-5.7471684480564811</v>
      </c>
    </row>
    <row r="19" spans="1:8" x14ac:dyDescent="0.25">
      <c r="A19" s="52">
        <f t="shared" si="4"/>
        <v>308.14999999999998</v>
      </c>
      <c r="B19" s="45">
        <f t="shared" si="5"/>
        <v>3.2268443611255214E-3</v>
      </c>
      <c r="C19" s="53">
        <f>1/A19</f>
        <v>3.2451728054518907E-3</v>
      </c>
      <c r="D19" s="60">
        <f>LN(H8)</f>
        <v>-5.7362505972813382</v>
      </c>
    </row>
    <row r="20" spans="1:8" x14ac:dyDescent="0.25">
      <c r="A20" s="54">
        <f t="shared" si="4"/>
        <v>308.14999999999998</v>
      </c>
      <c r="B20" s="49">
        <f t="shared" si="5"/>
        <v>3.1840131492667837E-3</v>
      </c>
      <c r="C20" s="55">
        <f>1/A20</f>
        <v>3.2451728054518907E-3</v>
      </c>
      <c r="D20" s="61">
        <f>LN(H9)</f>
        <v>-5.7496128812136842</v>
      </c>
    </row>
    <row r="25" spans="1:8" x14ac:dyDescent="0.25">
      <c r="B25" s="1">
        <f t="shared" ref="B25:H25" si="6">AVERAGE(B2:B3)</f>
        <v>6</v>
      </c>
      <c r="C25" s="25">
        <f t="shared" si="6"/>
        <v>5.0669500000000012</v>
      </c>
      <c r="D25" s="24">
        <f t="shared" si="6"/>
        <v>10.6</v>
      </c>
      <c r="E25" s="25">
        <f t="shared" si="6"/>
        <v>3.9195434488294629</v>
      </c>
      <c r="F25" s="26">
        <f t="shared" si="6"/>
        <v>1.1474065511705382</v>
      </c>
      <c r="G25" s="23">
        <f t="shared" si="6"/>
        <v>1.2744022662889518E-2</v>
      </c>
      <c r="H25" s="23">
        <f t="shared" si="6"/>
        <v>3.2517642282491989E-3</v>
      </c>
    </row>
    <row r="26" spans="1:8" x14ac:dyDescent="0.25">
      <c r="B26" s="1">
        <f t="shared" ref="B26:H26" si="7">AVERAGE(B4:B5)</f>
        <v>15.9</v>
      </c>
      <c r="C26" s="25">
        <f t="shared" si="7"/>
        <v>5.0438500000000017</v>
      </c>
      <c r="D26" s="24">
        <f t="shared" si="7"/>
        <v>10.425000000000001</v>
      </c>
      <c r="E26" s="25">
        <f t="shared" si="7"/>
        <v>3.9153864815138828</v>
      </c>
      <c r="F26" s="26">
        <f t="shared" si="7"/>
        <v>1.1284635184861189</v>
      </c>
      <c r="G26" s="23">
        <f t="shared" si="7"/>
        <v>1.2533626062322945E-2</v>
      </c>
      <c r="H26" s="23">
        <f t="shared" si="7"/>
        <v>3.2011875291054533E-3</v>
      </c>
    </row>
    <row r="27" spans="1:8" x14ac:dyDescent="0.25">
      <c r="B27" s="1">
        <f t="shared" ref="B27:H27" si="8">AVERAGE(B6:B7)</f>
        <v>26</v>
      </c>
      <c r="C27" s="25">
        <f t="shared" si="8"/>
        <v>5.0683499999999988</v>
      </c>
      <c r="D27" s="24">
        <f t="shared" si="8"/>
        <v>10.425000000000001</v>
      </c>
      <c r="E27" s="25">
        <f t="shared" si="8"/>
        <v>3.9398864815138799</v>
      </c>
      <c r="F27" s="26">
        <f t="shared" si="8"/>
        <v>1.1284635184861189</v>
      </c>
      <c r="G27" s="23">
        <f t="shared" si="8"/>
        <v>1.2533626062322945E-2</v>
      </c>
      <c r="H27" s="23">
        <f t="shared" si="8"/>
        <v>3.1812248415258758E-3</v>
      </c>
    </row>
    <row r="28" spans="1:8" x14ac:dyDescent="0.25">
      <c r="B28" s="1">
        <f t="shared" ref="B28:H28" si="9">AVERAGE(B8:B9)</f>
        <v>35</v>
      </c>
      <c r="C28" s="25">
        <f t="shared" si="9"/>
        <v>5.0531500000000005</v>
      </c>
      <c r="D28" s="24">
        <f t="shared" si="9"/>
        <v>10.455</v>
      </c>
      <c r="E28" s="25">
        <f t="shared" si="9"/>
        <v>3.9214391044822667</v>
      </c>
      <c r="F28" s="26">
        <f t="shared" si="9"/>
        <v>1.1317108955177337</v>
      </c>
      <c r="G28" s="23">
        <f t="shared" si="9"/>
        <v>1.2569694050991502E-2</v>
      </c>
      <c r="H28" s="23">
        <f t="shared" si="9"/>
        <v>3.2054287551961528E-3</v>
      </c>
    </row>
    <row r="30" spans="1:8" x14ac:dyDescent="0.25">
      <c r="A30" s="18" t="s">
        <v>10</v>
      </c>
      <c r="B30" s="10" t="s">
        <v>11</v>
      </c>
      <c r="C30" t="s">
        <v>13</v>
      </c>
      <c r="D30" t="s">
        <v>14</v>
      </c>
      <c r="E30" s="10" t="s">
        <v>12</v>
      </c>
    </row>
    <row r="31" spans="1:8" x14ac:dyDescent="0.25">
      <c r="A31" s="11">
        <f>1/B25</f>
        <v>0.16666666666666666</v>
      </c>
      <c r="B31" s="34">
        <f>LN(H25)</f>
        <v>-5.7285575904632404</v>
      </c>
      <c r="C31" s="24">
        <f>B25+273.15</f>
        <v>279.14999999999998</v>
      </c>
      <c r="D31" s="23">
        <f>1/C31</f>
        <v>3.5823034210997673E-3</v>
      </c>
      <c r="E31" s="36">
        <f>-8.3145*(-3*900000000*D31^2+2810000000*D31+34.759)</f>
        <v>-83408224.999242723</v>
      </c>
    </row>
    <row r="32" spans="1:8" x14ac:dyDescent="0.25">
      <c r="A32" s="11">
        <f t="shared" ref="A32:A34" si="10">1/B26</f>
        <v>6.2893081761006289E-2</v>
      </c>
      <c r="B32" s="34">
        <f t="shared" ref="B32:B34" si="11">LN(H26)</f>
        <v>-5.7442334351726316</v>
      </c>
      <c r="C32" s="24">
        <f t="shared" ref="C32:C34" si="12">B26+273.15</f>
        <v>289.04999999999995</v>
      </c>
      <c r="D32" s="23">
        <f t="shared" ref="D32:D34" si="13">1/C32</f>
        <v>3.4596090641757487E-3</v>
      </c>
      <c r="E32" s="36">
        <f t="shared" ref="E32:E34" si="14">-8.3145*(-3*900000000*D32^2+2810000000*D32+34.759)</f>
        <v>-80561021.462369964</v>
      </c>
    </row>
    <row r="33" spans="1:5" x14ac:dyDescent="0.25">
      <c r="A33" s="11">
        <f t="shared" si="10"/>
        <v>3.8461538461538464E-2</v>
      </c>
      <c r="B33" s="34">
        <f t="shared" si="11"/>
        <v>-5.7504889860579302</v>
      </c>
      <c r="C33" s="24">
        <f t="shared" si="12"/>
        <v>299.14999999999998</v>
      </c>
      <c r="D33" s="23">
        <f t="shared" si="13"/>
        <v>3.3428046130703662E-3</v>
      </c>
      <c r="E33" s="36">
        <f t="shared" si="14"/>
        <v>-77849869.07330434</v>
      </c>
    </row>
    <row r="34" spans="1:5" x14ac:dyDescent="0.25">
      <c r="A34" s="12">
        <f t="shared" si="10"/>
        <v>2.8571428571428571E-2</v>
      </c>
      <c r="B34" s="35">
        <f t="shared" si="11"/>
        <v>-5.7429094205845663</v>
      </c>
      <c r="C34" s="24">
        <f t="shared" si="12"/>
        <v>308.14999999999998</v>
      </c>
      <c r="D34" s="23">
        <f t="shared" si="13"/>
        <v>3.2451728054518907E-3</v>
      </c>
      <c r="E34" s="36">
        <f t="shared" si="14"/>
        <v>-75583263.62293151</v>
      </c>
    </row>
    <row r="36" spans="1:5" x14ac:dyDescent="0.25">
      <c r="A36" s="62" t="s">
        <v>37</v>
      </c>
      <c r="B36" s="8" t="s">
        <v>5</v>
      </c>
      <c r="C36" s="63" t="s">
        <v>38</v>
      </c>
    </row>
    <row r="37" spans="1:5" x14ac:dyDescent="0.25">
      <c r="A37" s="64">
        <f>C31</f>
        <v>279.14999999999998</v>
      </c>
      <c r="B37" s="65">
        <f t="shared" ref="B37" si="15">AVERAGE(B14:B15)</f>
        <v>3.2623394224570788E-3</v>
      </c>
      <c r="C37" s="66">
        <f>E31</f>
        <v>-83408224.999242723</v>
      </c>
    </row>
    <row r="38" spans="1:5" x14ac:dyDescent="0.25">
      <c r="A38" s="64">
        <f t="shared" ref="A38:A40" si="16">C32</f>
        <v>289.04999999999995</v>
      </c>
      <c r="B38" s="65">
        <f t="shared" ref="B38" si="17">AVERAGE(B16:B17)</f>
        <v>3.1764539868648417E-3</v>
      </c>
      <c r="C38" s="66">
        <f t="shared" ref="C38:C40" si="18">E32</f>
        <v>-80561021.462369964</v>
      </c>
    </row>
    <row r="39" spans="1:5" x14ac:dyDescent="0.25">
      <c r="A39" s="64">
        <f t="shared" si="16"/>
        <v>299.14999999999998</v>
      </c>
      <c r="B39" s="65">
        <f t="shared" ref="B39" si="19">AVERAGE(B18:B19)</f>
        <v>3.2093250690529403E-3</v>
      </c>
      <c r="C39" s="66">
        <f t="shared" si="18"/>
        <v>-77849869.07330434</v>
      </c>
    </row>
    <row r="40" spans="1:5" x14ac:dyDescent="0.25">
      <c r="A40" s="67">
        <f t="shared" si="16"/>
        <v>308.14999999999998</v>
      </c>
      <c r="B40" s="68">
        <f t="shared" ref="B40" si="20">AVERAGE(B20:B21)</f>
        <v>3.1840131492667837E-3</v>
      </c>
      <c r="C40" s="69">
        <f t="shared" si="18"/>
        <v>-75583263.62293151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4" workbookViewId="0">
      <selection activeCell="A10" sqref="A10:C17"/>
    </sheetView>
  </sheetViews>
  <sheetFormatPr defaultRowHeight="15" x14ac:dyDescent="0.25"/>
  <cols>
    <col min="1" max="1" width="6.7109375" customWidth="1"/>
    <col min="3" max="3" width="11.28515625" customWidth="1"/>
  </cols>
  <sheetData>
    <row r="1" spans="1:12" x14ac:dyDescent="0.25">
      <c r="A1" s="27" t="s">
        <v>17</v>
      </c>
      <c r="B1" s="28" t="s">
        <v>18</v>
      </c>
      <c r="C1" s="27" t="s">
        <v>10</v>
      </c>
      <c r="D1" s="28" t="s">
        <v>19</v>
      </c>
      <c r="E1" t="s">
        <v>26</v>
      </c>
    </row>
    <row r="2" spans="1:12" x14ac:dyDescent="0.25">
      <c r="A2" s="11">
        <v>280.14999999999998</v>
      </c>
      <c r="B2" s="29">
        <f t="shared" ref="B2:B8" si="0">E2/18.01528</f>
        <v>6.6832155814397552E-4</v>
      </c>
      <c r="C2" s="70">
        <f>1/(A2)</f>
        <v>3.5695163305372126E-3</v>
      </c>
      <c r="D2" s="6">
        <f t="shared" ref="D2:D8" si="1">LN(B2)</f>
        <v>-7.3107411257841202</v>
      </c>
      <c r="E2">
        <v>1.204E-2</v>
      </c>
      <c r="L2" s="38" t="s">
        <v>27</v>
      </c>
    </row>
    <row r="3" spans="1:12" x14ac:dyDescent="0.25">
      <c r="A3" s="11">
        <v>285.14999999999998</v>
      </c>
      <c r="B3" s="29">
        <f t="shared" si="0"/>
        <v>8.8757987663805392E-4</v>
      </c>
      <c r="C3" s="70">
        <f t="shared" ref="C3:C8" si="2">1/(A3)</f>
        <v>3.5069261792039282E-3</v>
      </c>
      <c r="D3" s="6">
        <f t="shared" si="1"/>
        <v>-7.0270120388189321</v>
      </c>
      <c r="E3">
        <v>1.5990000000000001E-2</v>
      </c>
    </row>
    <row r="4" spans="1:12" x14ac:dyDescent="0.25">
      <c r="A4" s="11">
        <v>299.14999999999998</v>
      </c>
      <c r="B4" s="29">
        <f t="shared" si="0"/>
        <v>1.3205456701200313E-3</v>
      </c>
      <c r="C4" s="70">
        <f t="shared" si="2"/>
        <v>3.3428046130703662E-3</v>
      </c>
      <c r="D4" s="6">
        <f t="shared" si="1"/>
        <v>-6.6297102413499287</v>
      </c>
      <c r="E4">
        <v>2.3789999999999999E-2</v>
      </c>
    </row>
    <row r="5" spans="1:12" x14ac:dyDescent="0.25">
      <c r="A5" s="11">
        <v>318.14999999999998</v>
      </c>
      <c r="B5" s="29">
        <f t="shared" si="0"/>
        <v>1.8451003814539655E-3</v>
      </c>
      <c r="C5" s="70">
        <f t="shared" si="2"/>
        <v>3.1431714600031434E-3</v>
      </c>
      <c r="D5" s="6">
        <f t="shared" si="1"/>
        <v>-6.295221595677547</v>
      </c>
      <c r="E5">
        <v>3.3239999999999999E-2</v>
      </c>
    </row>
    <row r="6" spans="1:12" x14ac:dyDescent="0.25">
      <c r="A6" s="11">
        <v>323.45</v>
      </c>
      <c r="B6" s="29">
        <f t="shared" si="0"/>
        <v>2.2875026088964474E-3</v>
      </c>
      <c r="C6" s="70">
        <f t="shared" si="2"/>
        <v>3.0916679548616478E-3</v>
      </c>
      <c r="D6" s="6">
        <f t="shared" si="1"/>
        <v>-6.0802946203140689</v>
      </c>
      <c r="E6">
        <v>4.1209999999999997E-2</v>
      </c>
    </row>
    <row r="7" spans="1:12" x14ac:dyDescent="0.25">
      <c r="A7" s="11">
        <v>338.15</v>
      </c>
      <c r="B7" s="29">
        <f t="shared" si="0"/>
        <v>3.0085571803491256E-3</v>
      </c>
      <c r="C7" s="70">
        <f t="shared" si="2"/>
        <v>2.9572674848440043E-3</v>
      </c>
      <c r="D7" s="6">
        <f t="shared" si="1"/>
        <v>-5.806294657219194</v>
      </c>
      <c r="E7">
        <v>5.4199999999999998E-2</v>
      </c>
    </row>
    <row r="8" spans="1:12" x14ac:dyDescent="0.25">
      <c r="A8" s="12">
        <v>351.25</v>
      </c>
      <c r="B8" s="30">
        <f t="shared" si="0"/>
        <v>4.3940477194914533E-3</v>
      </c>
      <c r="C8" s="71">
        <f t="shared" si="2"/>
        <v>2.8469750889679717E-3</v>
      </c>
      <c r="D8" s="7">
        <f t="shared" si="1"/>
        <v>-5.4275044449304302</v>
      </c>
      <c r="E8">
        <v>7.9159999999999994E-2</v>
      </c>
    </row>
    <row r="10" spans="1:12" x14ac:dyDescent="0.25">
      <c r="A10" s="27" t="s">
        <v>29</v>
      </c>
      <c r="B10" s="28" t="s">
        <v>10</v>
      </c>
      <c r="C10" s="31" t="s">
        <v>30</v>
      </c>
    </row>
    <row r="11" spans="1:12" x14ac:dyDescent="0.25">
      <c r="A11" s="11">
        <v>280.14999999999998</v>
      </c>
      <c r="B11" s="32">
        <f>1/A11</f>
        <v>3.5695163305372126E-3</v>
      </c>
      <c r="C11" s="37">
        <f>-8.3145*(-3*200000000*B11^2+2*200000000*B11-533453)</f>
        <v>-7372539.1877800273</v>
      </c>
    </row>
    <row r="12" spans="1:12" x14ac:dyDescent="0.25">
      <c r="A12" s="11">
        <v>285.14999999999998</v>
      </c>
      <c r="B12" s="32">
        <f t="shared" ref="B12:B17" si="3">1/A12</f>
        <v>3.5069261792039282E-3</v>
      </c>
      <c r="C12" s="37">
        <f t="shared" ref="C12:C17" si="4">-8.3145*(-3*200000000*B12^2+2*200000000*B12-533453)</f>
        <v>-7166586.4355673548</v>
      </c>
    </row>
    <row r="13" spans="1:12" x14ac:dyDescent="0.25">
      <c r="A13" s="11">
        <v>299.14999999999998</v>
      </c>
      <c r="B13" s="32">
        <f t="shared" si="3"/>
        <v>3.3428046130703662E-3</v>
      </c>
      <c r="C13" s="37">
        <f t="shared" si="4"/>
        <v>-6626359.1703158999</v>
      </c>
    </row>
    <row r="14" spans="1:12" x14ac:dyDescent="0.25">
      <c r="A14" s="11">
        <v>318.14999999999998</v>
      </c>
      <c r="B14" s="32">
        <f t="shared" si="3"/>
        <v>3.1431714600031434E-3</v>
      </c>
      <c r="C14" s="37">
        <f t="shared" si="4"/>
        <v>-5968878.6776967077</v>
      </c>
    </row>
    <row r="15" spans="1:12" x14ac:dyDescent="0.25">
      <c r="A15" s="11">
        <v>323.45</v>
      </c>
      <c r="B15" s="32">
        <f t="shared" si="3"/>
        <v>3.0916679548616478E-3</v>
      </c>
      <c r="C15" s="37">
        <f t="shared" si="4"/>
        <v>-5799190.272104675</v>
      </c>
    </row>
    <row r="16" spans="1:12" x14ac:dyDescent="0.25">
      <c r="A16" s="11">
        <v>338.15</v>
      </c>
      <c r="B16" s="32">
        <f t="shared" si="3"/>
        <v>2.9572674848440043E-3</v>
      </c>
      <c r="C16" s="37">
        <f t="shared" si="4"/>
        <v>-5356256.901079651</v>
      </c>
    </row>
    <row r="17" spans="1:3" x14ac:dyDescent="0.25">
      <c r="A17" s="12">
        <v>351.25</v>
      </c>
      <c r="B17" s="33">
        <f t="shared" si="3"/>
        <v>2.8469750889679717E-3</v>
      </c>
      <c r="C17" s="73">
        <f t="shared" si="4"/>
        <v>-4992640.0361225372</v>
      </c>
    </row>
    <row r="18" spans="1:3" x14ac:dyDescent="0.25">
      <c r="A18" s="54"/>
      <c r="B18" s="72"/>
      <c r="C18" s="56"/>
    </row>
    <row r="19" spans="1:3" x14ac:dyDescent="0.25">
      <c r="A19" s="24"/>
    </row>
  </sheetData>
  <hyperlinks>
    <hyperlink ref="L2" r:id="rId1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7" workbookViewId="0">
      <selection activeCell="C12" sqref="C12"/>
    </sheetView>
  </sheetViews>
  <sheetFormatPr defaultRowHeight="15" x14ac:dyDescent="0.25"/>
  <sheetData>
    <row r="1" spans="1:9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18</v>
      </c>
    </row>
    <row r="2" spans="1:9" x14ac:dyDescent="0.25">
      <c r="A2">
        <v>14</v>
      </c>
      <c r="B2">
        <f>A2+273.15</f>
        <v>287.14999999999998</v>
      </c>
      <c r="C2">
        <v>0.3</v>
      </c>
      <c r="D2">
        <v>10</v>
      </c>
      <c r="E2">
        <f>C2/D2</f>
        <v>0.03</v>
      </c>
      <c r="F2">
        <f>E2*1000</f>
        <v>30</v>
      </c>
      <c r="G2">
        <f>F2/90.03488</f>
        <v>0.33320419819518837</v>
      </c>
      <c r="I2" t="s">
        <v>28</v>
      </c>
    </row>
    <row r="3" spans="1:9" x14ac:dyDescent="0.25">
      <c r="A3">
        <v>30</v>
      </c>
      <c r="B3">
        <f t="shared" ref="B3:B7" si="0">A3+273.15</f>
        <v>303.14999999999998</v>
      </c>
      <c r="C3">
        <v>0.6</v>
      </c>
      <c r="D3">
        <v>10</v>
      </c>
      <c r="E3">
        <f t="shared" ref="E3:E7" si="1">C3/D3</f>
        <v>0.06</v>
      </c>
      <c r="F3">
        <f t="shared" ref="F3:F7" si="2">E3*1000</f>
        <v>60</v>
      </c>
      <c r="G3">
        <f t="shared" ref="G3:G7" si="3">F3/90.03488</f>
        <v>0.66640839639037674</v>
      </c>
    </row>
    <row r="4" spans="1:9" x14ac:dyDescent="0.25">
      <c r="A4">
        <v>40</v>
      </c>
      <c r="B4">
        <f t="shared" si="0"/>
        <v>313.14999999999998</v>
      </c>
      <c r="C4">
        <v>0.75</v>
      </c>
      <c r="D4">
        <v>10</v>
      </c>
      <c r="E4">
        <f t="shared" si="1"/>
        <v>7.4999999999999997E-2</v>
      </c>
      <c r="F4">
        <f t="shared" si="2"/>
        <v>75</v>
      </c>
      <c r="G4">
        <f t="shared" si="3"/>
        <v>0.8330104954879709</v>
      </c>
    </row>
    <row r="5" spans="1:9" x14ac:dyDescent="0.25">
      <c r="A5">
        <v>65</v>
      </c>
      <c r="B5">
        <f t="shared" si="0"/>
        <v>338.15</v>
      </c>
      <c r="C5">
        <v>6.89</v>
      </c>
      <c r="D5">
        <v>10</v>
      </c>
      <c r="E5">
        <f t="shared" si="1"/>
        <v>0.68899999999999995</v>
      </c>
      <c r="F5">
        <f t="shared" si="2"/>
        <v>689</v>
      </c>
      <c r="G5">
        <f t="shared" si="3"/>
        <v>7.6525897518828261</v>
      </c>
    </row>
    <row r="6" spans="1:9" x14ac:dyDescent="0.25">
      <c r="A6">
        <v>79</v>
      </c>
      <c r="B6">
        <f t="shared" si="0"/>
        <v>352.15</v>
      </c>
      <c r="C6">
        <v>9.6</v>
      </c>
      <c r="D6">
        <v>10</v>
      </c>
      <c r="E6">
        <f t="shared" si="1"/>
        <v>0.96</v>
      </c>
      <c r="F6">
        <f t="shared" si="2"/>
        <v>960</v>
      </c>
      <c r="G6">
        <f t="shared" si="3"/>
        <v>10.662534342246028</v>
      </c>
    </row>
    <row r="7" spans="1:9" x14ac:dyDescent="0.25">
      <c r="A7">
        <v>95</v>
      </c>
      <c r="B7">
        <f t="shared" si="0"/>
        <v>368.15</v>
      </c>
      <c r="C7">
        <v>12.44</v>
      </c>
      <c r="D7">
        <v>10</v>
      </c>
      <c r="E7">
        <f t="shared" si="1"/>
        <v>1.244</v>
      </c>
      <c r="F7">
        <f t="shared" si="2"/>
        <v>1244</v>
      </c>
      <c r="G7">
        <f t="shared" si="3"/>
        <v>13.816867418493811</v>
      </c>
    </row>
    <row r="9" spans="1:9" x14ac:dyDescent="0.25">
      <c r="A9" t="s">
        <v>31</v>
      </c>
      <c r="B9" t="s">
        <v>25</v>
      </c>
    </row>
    <row r="10" spans="1:9" x14ac:dyDescent="0.25">
      <c r="A10">
        <f>1/B2</f>
        <v>3.4825004353125546E-3</v>
      </c>
      <c r="B10">
        <f t="shared" ref="B10:B15" si="4">LN(G2)</f>
        <v>-1.0989997691434088</v>
      </c>
    </row>
    <row r="11" spans="1:9" x14ac:dyDescent="0.25">
      <c r="A11">
        <f t="shared" ref="A11:A15" si="5">1/B3</f>
        <v>3.298697014679202E-3</v>
      </c>
      <c r="B11">
        <f t="shared" si="4"/>
        <v>-0.40585258858346346</v>
      </c>
    </row>
    <row r="12" spans="1:9" x14ac:dyDescent="0.25">
      <c r="A12">
        <f t="shared" si="5"/>
        <v>3.1933578157432542E-3</v>
      </c>
      <c r="B12">
        <f t="shared" si="4"/>
        <v>-0.18270903726925372</v>
      </c>
    </row>
    <row r="13" spans="1:9" x14ac:dyDescent="0.25">
      <c r="A13">
        <f t="shared" si="5"/>
        <v>2.9572674848440043E-3</v>
      </c>
      <c r="B13">
        <f t="shared" si="4"/>
        <v>2.0350441202080942</v>
      </c>
    </row>
    <row r="14" spans="1:9" x14ac:dyDescent="0.25">
      <c r="A14">
        <f t="shared" si="5"/>
        <v>2.8396989919068582E-3</v>
      </c>
      <c r="B14">
        <f t="shared" si="4"/>
        <v>2.366736133656318</v>
      </c>
    </row>
    <row r="15" spans="1:9" x14ac:dyDescent="0.25">
      <c r="A15">
        <f t="shared" si="5"/>
        <v>2.7162841233192994E-3</v>
      </c>
      <c r="B15">
        <f t="shared" si="4"/>
        <v>2.6258901224935607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Alvarado Velez</dc:creator>
  <cp:lastModifiedBy>Edvin Alvarado Velez</cp:lastModifiedBy>
  <dcterms:created xsi:type="dcterms:W3CDTF">2016-03-08T20:20:02Z</dcterms:created>
  <dcterms:modified xsi:type="dcterms:W3CDTF">2016-03-20T23:14:07Z</dcterms:modified>
</cp:coreProperties>
</file>