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/>
  <bookViews>
    <workbookView xWindow="0" yWindow="0" windowWidth="28800" windowHeight="12165"/>
  </bookViews>
  <sheets>
    <sheet name="work log-monthly" sheetId="15" r:id="rId1"/>
  </sheets>
  <definedNames>
    <definedName name="monthlystart">'work log-monthly'!$H$2</definedName>
    <definedName name="rate_ca">'work log-monthly'!$X$7</definedName>
    <definedName name="rate_cb">'work log-monthly'!$X$8</definedName>
    <definedName name="rate_cc">'work log-monthly'!$X$9</definedName>
    <definedName name="rate_cd">'work log-monthly'!$X$10</definedName>
    <definedName name="rate_ce">'work log-monthly'!$X$11</definedName>
    <definedName name="rate_cf">'work log-monthly'!$X$11</definedName>
    <definedName name="rate_cg">'work log-monthly'!$X$12</definedName>
    <definedName name="rate_table">'work log-monthly'!$W$6:$X$12</definedName>
    <definedName name="today">'work log-monthly'!$J$2</definedName>
    <definedName name="WeekStart" localSheetId="0">'work log-monthly'!$L$2</definedName>
  </definedNames>
  <calcPr calcId="162913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5" l="1"/>
  <c r="U17" i="15" s="1"/>
  <c r="T17" i="15"/>
  <c r="T9" i="15"/>
  <c r="R24" i="15"/>
  <c r="Q24" i="15"/>
  <c r="R23" i="15"/>
  <c r="Q23" i="15"/>
  <c r="S23" i="15" s="1"/>
  <c r="R22" i="15"/>
  <c r="Q22" i="15"/>
  <c r="U22" i="15" s="1"/>
  <c r="R19" i="15"/>
  <c r="Q19" i="15"/>
  <c r="T19" i="15" s="1"/>
  <c r="R18" i="15"/>
  <c r="Q18" i="15"/>
  <c r="R17" i="15"/>
  <c r="R14" i="15"/>
  <c r="Q14" i="15"/>
  <c r="T14" i="15" s="1"/>
  <c r="R13" i="15"/>
  <c r="Q13" i="15"/>
  <c r="U13" i="15" s="1"/>
  <c r="R12" i="15"/>
  <c r="Q12" i="15"/>
  <c r="T12" i="15" s="1"/>
  <c r="R8" i="15"/>
  <c r="R9" i="15"/>
  <c r="R7" i="15"/>
  <c r="Q8" i="15"/>
  <c r="Q9" i="15"/>
  <c r="U9" i="15" s="1"/>
  <c r="Q7" i="15"/>
  <c r="U7" i="15" s="1"/>
  <c r="P6" i="15"/>
  <c r="N6" i="15"/>
  <c r="L6" i="15"/>
  <c r="J6" i="15"/>
  <c r="H6" i="15"/>
  <c r="F6" i="15"/>
  <c r="D6" i="15"/>
  <c r="J2" i="15"/>
  <c r="S8" i="15" l="1"/>
  <c r="S22" i="15"/>
  <c r="U14" i="15"/>
  <c r="S12" i="15"/>
  <c r="S14" i="15"/>
  <c r="S17" i="15"/>
  <c r="T8" i="15"/>
  <c r="T13" i="15"/>
  <c r="T22" i="15"/>
  <c r="U12" i="15"/>
  <c r="U19" i="15"/>
  <c r="S19" i="15"/>
  <c r="U8" i="15"/>
  <c r="T7" i="15"/>
  <c r="S7" i="15" s="1"/>
  <c r="S24" i="15"/>
  <c r="S18" i="15"/>
  <c r="U18" i="15"/>
  <c r="T18" i="15"/>
  <c r="S13" i="15"/>
  <c r="U23" i="15"/>
  <c r="T23" i="15"/>
  <c r="T24" i="15"/>
  <c r="U24" i="15"/>
  <c r="S9" i="15"/>
  <c r="H2" i="15"/>
  <c r="L2" i="15" s="1"/>
  <c r="E2" i="15" l="1"/>
  <c r="O15" i="15" l="1"/>
  <c r="O10" i="15"/>
  <c r="O5" i="15"/>
  <c r="O20" i="15"/>
  <c r="M20" i="15"/>
  <c r="M15" i="15"/>
  <c r="M10" i="15"/>
  <c r="M5" i="15"/>
  <c r="K10" i="15"/>
  <c r="K5" i="15"/>
  <c r="K20" i="15"/>
  <c r="K15" i="15"/>
  <c r="I20" i="15"/>
  <c r="I15" i="15"/>
  <c r="I10" i="15"/>
  <c r="I5" i="15"/>
  <c r="G20" i="15"/>
  <c r="G15" i="15"/>
  <c r="G10" i="15"/>
  <c r="G5" i="15"/>
  <c r="E10" i="15"/>
  <c r="E5" i="15"/>
  <c r="E20" i="15"/>
  <c r="E15" i="15"/>
  <c r="C10" i="15"/>
  <c r="C15" i="15"/>
  <c r="C5" i="15"/>
  <c r="C20" i="15"/>
</calcChain>
</file>

<file path=xl/sharedStrings.xml><?xml version="1.0" encoding="utf-8"?>
<sst xmlns="http://schemas.openxmlformats.org/spreadsheetml/2006/main" count="49" uniqueCount="40">
  <si>
    <t>MON</t>
  </si>
  <si>
    <t>TUE</t>
  </si>
  <si>
    <t xml:space="preserve"> WED</t>
  </si>
  <si>
    <t>THU</t>
  </si>
  <si>
    <t>FRI</t>
  </si>
  <si>
    <t>SAT</t>
    <phoneticPr fontId="12" type="noConversion"/>
  </si>
  <si>
    <t>SUN</t>
    <phoneticPr fontId="12" type="noConversion"/>
  </si>
  <si>
    <t>ca</t>
  </si>
  <si>
    <t>cb</t>
  </si>
  <si>
    <t>cc</t>
  </si>
  <si>
    <t>ca</t>
    <phoneticPr fontId="12" type="noConversion"/>
  </si>
  <si>
    <t>cb</t>
    <phoneticPr fontId="12" type="noConversion"/>
  </si>
  <si>
    <t>cc</t>
    <phoneticPr fontId="12" type="noConversion"/>
  </si>
  <si>
    <t>cb</t>
    <phoneticPr fontId="12" type="noConversion"/>
  </si>
  <si>
    <t>Monthly Start</t>
    <phoneticPr fontId="12" type="noConversion"/>
  </si>
  <si>
    <t>Today</t>
    <phoneticPr fontId="12" type="noConversion"/>
  </si>
  <si>
    <t>Month</t>
    <phoneticPr fontId="12" type="noConversion"/>
  </si>
  <si>
    <t>Monthly 
week start</t>
    <phoneticPr fontId="12" type="noConversion"/>
  </si>
  <si>
    <t>rate</t>
    <phoneticPr fontId="12" type="noConversion"/>
  </si>
  <si>
    <t>cd</t>
  </si>
  <si>
    <t>cd</t>
    <phoneticPr fontId="12" type="noConversion"/>
  </si>
  <si>
    <t>cf</t>
  </si>
  <si>
    <t>cd</t>
    <phoneticPr fontId="12" type="noConversion"/>
  </si>
  <si>
    <t>cf</t>
    <phoneticPr fontId="12" type="noConversion"/>
  </si>
  <si>
    <t>ce</t>
  </si>
  <si>
    <t>ce</t>
    <phoneticPr fontId="12" type="noConversion"/>
  </si>
  <si>
    <t>Case</t>
    <phoneticPr fontId="12" type="noConversion"/>
  </si>
  <si>
    <t>wh_subt</t>
    <phoneticPr fontId="12" type="noConversion"/>
  </si>
  <si>
    <t>sub1_rev</t>
    <phoneticPr fontId="12" type="noConversion"/>
  </si>
  <si>
    <t>lookup_rate</t>
    <phoneticPr fontId="12" type="noConversion"/>
  </si>
  <si>
    <t>match_rate</t>
    <phoneticPr fontId="12" type="noConversion"/>
  </si>
  <si>
    <t>cb</t>
    <phoneticPr fontId="12" type="noConversion"/>
  </si>
  <si>
    <t>Monthly Cases</t>
    <phoneticPr fontId="12" type="noConversion"/>
  </si>
  <si>
    <t>列標籤</t>
  </si>
  <si>
    <t>(空白)</t>
  </si>
  <si>
    <t>總計</t>
  </si>
  <si>
    <t>加總 - sub1_rev</t>
  </si>
  <si>
    <t>加總 - wh_subt</t>
  </si>
  <si>
    <t>13:00~15:00</t>
    <phoneticPr fontId="12" type="noConversion"/>
  </si>
  <si>
    <t>14:20~15:20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</si>
</sst>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m\ dd"/>
  </numFmts>
  <fonts count="19" x14ac:knownFonts="1">
    <font>
      <sz val="11"/>
      <color theme="1"/>
      <name val="Trebuchet MS"/>
      <family val="2"/>
      <scheme val="minor"/>
    </font>
    <font>
      <sz val="10"/>
      <color theme="2" tint="-0.749992370372631"/>
      <name val="Trebuchet MS"/>
      <family val="2"/>
      <scheme val="minor"/>
    </font>
    <font>
      <sz val="14"/>
      <color theme="1" tint="0.499984740745262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sz val="12"/>
      <color theme="1" tint="0.249977111117893"/>
      <name val="Trebuchet MS"/>
      <family val="2"/>
      <scheme val="minor"/>
    </font>
    <font>
      <b/>
      <sz val="14"/>
      <color theme="1" tint="0.499984740745262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sz val="11"/>
      <color theme="0"/>
      <name val="Trebuchet MS"/>
      <family val="2"/>
      <scheme val="minor"/>
    </font>
    <font>
      <sz val="14"/>
      <color theme="1"/>
      <name val="Trebuchet MS"/>
      <family val="2"/>
      <scheme val="major"/>
    </font>
    <font>
      <b/>
      <sz val="14"/>
      <color theme="9"/>
      <name val="Trebuchet MS"/>
      <family val="2"/>
      <scheme val="major"/>
    </font>
    <font>
      <b/>
      <sz val="14"/>
      <color theme="7"/>
      <name val="Trebuchet MS"/>
      <family val="2"/>
      <scheme val="major"/>
    </font>
    <font>
      <sz val="14"/>
      <color theme="1" tint="0.14999847407452621"/>
      <name val="Trebuchet MS"/>
      <family val="2"/>
      <scheme val="major"/>
    </font>
    <font>
      <sz val="9"/>
      <name val="細明體"/>
      <family val="3"/>
      <charset val="136"/>
      <scheme val="minor"/>
    </font>
    <font>
      <b/>
      <sz val="11"/>
      <color theme="1" tint="0.14999847407452621"/>
      <name val="Trebuchet MS"/>
      <family val="2"/>
    </font>
    <font>
      <b/>
      <i/>
      <sz val="10"/>
      <color theme="1" tint="0.249977111117893"/>
      <name val="Trebuchet MS"/>
      <family val="2"/>
    </font>
    <font>
      <sz val="11"/>
      <color theme="1" tint="0.249977111117893"/>
      <name val="Trebuchet MS"/>
      <family val="2"/>
    </font>
    <font>
      <b/>
      <i/>
      <sz val="36"/>
      <color theme="1" tint="0.249977111117893"/>
      <name val="Trebuchet MS"/>
      <family val="2"/>
    </font>
    <font>
      <sz val="26"/>
      <color theme="1" tint="0.249977111117893"/>
      <name val="Trebuchet MS"/>
      <family val="2"/>
    </font>
    <font>
      <sz val="8"/>
      <color theme="2" tint="-0.749992370372631"/>
      <name val="Trebuchet MS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 tint="-0.14996795556505021"/>
      </right>
      <top/>
      <bottom style="thin">
        <color theme="0"/>
      </bottom>
      <diagonal/>
    </border>
    <border>
      <left style="thin">
        <color theme="0" tint="-0.1499679555650502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7" xfId="0" applyFont="1" applyFill="1" applyBorder="1" applyAlignment="1">
      <alignment horizontal="left" vertical="center" wrapText="1" indent="1"/>
    </xf>
    <xf numFmtId="0" fontId="4" fillId="3" borderId="9" xfId="0" applyFont="1" applyFill="1" applyBorder="1" applyAlignment="1">
      <alignment horizontal="left" vertical="center" wrapText="1" indent="1"/>
    </xf>
    <xf numFmtId="0" fontId="8" fillId="0" borderId="0" xfId="0" applyFont="1"/>
    <xf numFmtId="176" fontId="6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14" fontId="14" fillId="0" borderId="0" xfId="0" applyNumberFormat="1" applyFont="1" applyAlignment="1">
      <alignment horizontal="right" vertical="center" wrapText="1"/>
    </xf>
    <xf numFmtId="14" fontId="14" fillId="0" borderId="0" xfId="0" applyNumberFormat="1" applyFont="1" applyAlignment="1">
      <alignment horizontal="right" vertical="center"/>
    </xf>
    <xf numFmtId="0" fontId="7" fillId="9" borderId="4" xfId="0" applyFont="1" applyFill="1" applyBorder="1" applyAlignment="1">
      <alignment horizontal="left" vertical="center" wrapText="1" indent="1"/>
    </xf>
    <xf numFmtId="0" fontId="1" fillId="10" borderId="1" xfId="0" applyFont="1" applyFill="1" applyBorder="1" applyAlignment="1">
      <alignment horizontal="left" vertical="center" wrapText="1" indent="1"/>
    </xf>
    <xf numFmtId="0" fontId="1" fillId="10" borderId="2" xfId="0" applyFont="1" applyFill="1" applyBorder="1" applyAlignment="1">
      <alignment horizontal="left" vertical="center" wrapText="1" indent="1"/>
    </xf>
    <xf numFmtId="0" fontId="1" fillId="10" borderId="10" xfId="0" applyFont="1" applyFill="1" applyBorder="1" applyAlignment="1">
      <alignment horizontal="left" vertical="center" wrapText="1" indent="1"/>
    </xf>
    <xf numFmtId="0" fontId="1" fillId="11" borderId="6" xfId="0" applyFont="1" applyFill="1" applyBorder="1" applyAlignment="1">
      <alignment horizontal="left" vertical="center" wrapText="1" indent="1"/>
    </xf>
    <xf numFmtId="0" fontId="1" fillId="11" borderId="8" xfId="0" applyFont="1" applyFill="1" applyBorder="1" applyAlignment="1">
      <alignment horizontal="left" vertical="center" wrapText="1" indent="1"/>
    </xf>
    <xf numFmtId="0" fontId="1" fillId="11" borderId="11" xfId="0" applyFont="1" applyFill="1" applyBorder="1" applyAlignment="1">
      <alignment horizontal="left" vertical="center" wrapText="1" indent="1"/>
    </xf>
    <xf numFmtId="0" fontId="15" fillId="9" borderId="4" xfId="0" applyFont="1" applyFill="1" applyBorder="1" applyAlignment="1">
      <alignment horizontal="left" vertical="center" wrapText="1" indent="1"/>
    </xf>
    <xf numFmtId="0" fontId="13" fillId="1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17" fillId="4" borderId="0" xfId="0" applyFont="1" applyFill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3" fillId="0" borderId="0" xfId="0" applyNumberFormat="1" applyFont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783877"/>
      <color rgb="FFF9F9F9"/>
      <color rgb="FFA04B9D"/>
      <color rgb="FFEC3C70"/>
      <color rgb="FFE77A17"/>
      <color rgb="FF69BE51"/>
      <color rgb="FF2F85E3"/>
      <color rgb="FFD3E6FA"/>
      <color rgb="FFE1F1DC"/>
      <color rgb="FFFBE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5076.531363657406" createdVersion="6" refreshedVersion="6" minRefreshableVersion="3" recordCount="18">
  <cacheSource type="worksheet">
    <worksheetSource ref="Q6:S24" sheet="work log-monthly"/>
  </cacheSource>
  <cacheFields count="3">
    <cacheField name="Case" numFmtId="0">
      <sharedItems containsBlank="1" count="7">
        <s v="ca"/>
        <s v="cb"/>
        <s v="cc"/>
        <m/>
        <s v="cd"/>
        <s v="cf"/>
        <s v="ce"/>
      </sharedItems>
    </cacheField>
    <cacheField name="wh_subt" numFmtId="0">
      <sharedItems containsString="0" containsBlank="1" containsNumber="1" containsInteger="1" minValue="0" maxValue="4"/>
    </cacheField>
    <cacheField name="sub1_rev" numFmtId="0">
      <sharedItems containsString="0" containsBlank="1" containsNumber="1" containsInteger="1" minValue="0" maxValue="1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n v="3"/>
    <n v="6000"/>
  </r>
  <r>
    <x v="1"/>
    <n v="4"/>
    <n v="10000"/>
  </r>
  <r>
    <x v="2"/>
    <n v="4"/>
    <n v="12000"/>
  </r>
  <r>
    <x v="3"/>
    <m/>
    <m/>
  </r>
  <r>
    <x v="3"/>
    <m/>
    <m/>
  </r>
  <r>
    <x v="0"/>
    <n v="2"/>
    <n v="4000"/>
  </r>
  <r>
    <x v="1"/>
    <n v="1"/>
    <n v="2500"/>
  </r>
  <r>
    <x v="4"/>
    <n v="2"/>
    <n v="7000"/>
  </r>
  <r>
    <x v="3"/>
    <m/>
    <m/>
  </r>
  <r>
    <x v="3"/>
    <m/>
    <m/>
  </r>
  <r>
    <x v="0"/>
    <n v="2"/>
    <n v="4000"/>
  </r>
  <r>
    <x v="2"/>
    <n v="0"/>
    <n v="0"/>
  </r>
  <r>
    <x v="5"/>
    <n v="1"/>
    <n v="1000"/>
  </r>
  <r>
    <x v="3"/>
    <m/>
    <m/>
  </r>
  <r>
    <x v="3"/>
    <m/>
    <m/>
  </r>
  <r>
    <x v="0"/>
    <n v="0"/>
    <n v="0"/>
  </r>
  <r>
    <x v="1"/>
    <n v="2"/>
    <n v="5000"/>
  </r>
  <r>
    <x v="6"/>
    <n v="3"/>
    <n v="4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12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W16:Y24" firstHeaderRow="0" firstDataRow="1" firstDataCol="1"/>
  <pivotFields count="3">
    <pivotField axis="axisRow" showAll="0">
      <items count="8">
        <item x="0"/>
        <item x="1"/>
        <item x="2"/>
        <item x="4"/>
        <item x="6"/>
        <item x="5"/>
        <item x="3"/>
        <item t="default"/>
      </items>
    </pivotField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wh_subt" fld="1" baseField="0" baseItem="3"/>
    <dataField name="加總 - sub1_rev" fld="2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59"/>
  <sheetViews>
    <sheetView showGridLines="0" tabSelected="1" zoomScaleNormal="100" workbookViewId="0">
      <selection activeCell="J26" sqref="J26"/>
    </sheetView>
  </sheetViews>
  <sheetFormatPr defaultColWidth="9.125" defaultRowHeight="18" customHeight="1" x14ac:dyDescent="0.3"/>
  <cols>
    <col min="1" max="1" width="3.75" style="3" customWidth="1"/>
    <col min="2" max="2" width="10" style="5" customWidth="1"/>
    <col min="3" max="12" width="10" style="4" customWidth="1"/>
    <col min="13" max="16" width="10" style="3" customWidth="1"/>
    <col min="17" max="17" width="9.375" style="3" customWidth="1"/>
    <col min="18" max="18" width="15.5" style="3" bestFit="1" customWidth="1"/>
    <col min="19" max="19" width="16.375" style="3" customWidth="1"/>
    <col min="20" max="20" width="7.5" style="3" hidden="1" customWidth="1"/>
    <col min="21" max="21" width="6.125" style="3" hidden="1" customWidth="1"/>
    <col min="22" max="22" width="2.875" style="3" customWidth="1"/>
    <col min="23" max="23" width="9.375" style="3" bestFit="1" customWidth="1"/>
    <col min="24" max="24" width="15.5" style="3" bestFit="1" customWidth="1"/>
    <col min="25" max="25" width="16.375" style="3" bestFit="1" customWidth="1"/>
    <col min="26" max="26" width="10.625" style="3" customWidth="1"/>
    <col min="27" max="27" width="8.5" style="3" customWidth="1"/>
    <col min="28" max="28" width="10.625" style="3" bestFit="1" customWidth="1"/>
    <col min="29" max="29" width="9.625" style="3" bestFit="1" customWidth="1"/>
    <col min="30" max="30" width="11.875" style="3" bestFit="1" customWidth="1"/>
    <col min="31" max="31" width="9.625" style="3" bestFit="1" customWidth="1"/>
    <col min="32" max="32" width="11.875" style="3" bestFit="1" customWidth="1"/>
    <col min="33" max="33" width="9.25" style="3" bestFit="1" customWidth="1"/>
    <col min="34" max="34" width="11.5" style="3" bestFit="1" customWidth="1"/>
    <col min="35" max="35" width="5.5" style="3" customWidth="1"/>
    <col min="36" max="16384" width="9.125" style="3"/>
  </cols>
  <sheetData>
    <row r="1" spans="2:25" s="1" customFormat="1" ht="30" customHeight="1" x14ac:dyDescent="0.3">
      <c r="B1" s="2"/>
      <c r="C1" s="6"/>
      <c r="D1" s="6"/>
      <c r="E1" s="22" t="s">
        <v>16</v>
      </c>
      <c r="F1" s="22"/>
      <c r="G1" s="22" t="s">
        <v>14</v>
      </c>
      <c r="H1" s="22"/>
      <c r="I1" s="23" t="s">
        <v>15</v>
      </c>
      <c r="J1" s="23"/>
      <c r="K1" s="22" t="s">
        <v>17</v>
      </c>
      <c r="L1" s="22"/>
    </row>
    <row r="2" spans="2:25" ht="28.5" customHeight="1" x14ac:dyDescent="0.3">
      <c r="B2" s="38" t="s">
        <v>32</v>
      </c>
      <c r="C2" s="38"/>
      <c r="D2" s="38"/>
      <c r="E2" s="37">
        <f ca="1">MONTH(monthlystart)</f>
        <v>5</v>
      </c>
      <c r="F2" s="37"/>
      <c r="G2" s="24"/>
      <c r="H2" s="24">
        <f ca="1">EOMONTH(today,-1)+1</f>
        <v>45047</v>
      </c>
      <c r="I2" s="25"/>
      <c r="J2" s="25">
        <f ca="1">TODAY()</f>
        <v>45076</v>
      </c>
      <c r="K2" s="25"/>
      <c r="L2" s="25">
        <f ca="1">monthlystart-WEEKDAY(TODAY(),2)+1</f>
        <v>45046</v>
      </c>
    </row>
    <row r="3" spans="2:25" customFormat="1" ht="30" hidden="1" customHeight="1" x14ac:dyDescent="0.3">
      <c r="B3" s="7"/>
      <c r="C3" s="8"/>
      <c r="D3" s="8"/>
      <c r="E3" s="8"/>
      <c r="F3" s="8"/>
      <c r="G3" s="8"/>
      <c r="H3" s="8"/>
      <c r="I3" s="8"/>
      <c r="J3" s="8"/>
      <c r="K3" s="8"/>
      <c r="L3" s="8"/>
      <c r="O3" s="3"/>
      <c r="P3" s="3"/>
      <c r="Q3" s="3"/>
      <c r="R3" s="3"/>
      <c r="S3" s="3"/>
      <c r="T3" s="3"/>
      <c r="U3" s="3"/>
      <c r="V3" s="3"/>
      <c r="W3" s="3"/>
      <c r="X3" s="3"/>
    </row>
    <row r="4" spans="2:25" s="12" customFormat="1" ht="30" customHeight="1" x14ac:dyDescent="0.3">
      <c r="B4" s="13"/>
      <c r="C4" s="16" t="s">
        <v>0</v>
      </c>
      <c r="D4" s="16"/>
      <c r="E4" s="16" t="s">
        <v>1</v>
      </c>
      <c r="F4" s="16"/>
      <c r="G4" s="16" t="s">
        <v>2</v>
      </c>
      <c r="H4" s="16"/>
      <c r="I4" s="16" t="s">
        <v>3</v>
      </c>
      <c r="J4" s="16"/>
      <c r="K4" s="16" t="s">
        <v>4</v>
      </c>
      <c r="L4" s="16"/>
      <c r="M4" s="17" t="s">
        <v>5</v>
      </c>
      <c r="N4" s="17"/>
      <c r="O4" s="17" t="s">
        <v>6</v>
      </c>
      <c r="P4" s="17"/>
      <c r="Q4" s="14"/>
      <c r="R4" s="14"/>
      <c r="S4" s="14"/>
      <c r="T4" s="14"/>
      <c r="U4" s="14"/>
      <c r="V4" s="14"/>
      <c r="W4" s="14"/>
      <c r="X4" s="14"/>
    </row>
    <row r="5" spans="2:25" s="12" customFormat="1" ht="30" customHeight="1" x14ac:dyDescent="0.3">
      <c r="B5" s="15"/>
      <c r="C5" s="18" t="str">
        <f ca="1">(TEXT(WeekStart+0,"mmm dd"))</f>
        <v>Apr 30</v>
      </c>
      <c r="D5" s="18"/>
      <c r="E5" s="18" t="str">
        <f ca="1">(TEXT(WeekStart+1,"mmm dd"))</f>
        <v>May 01</v>
      </c>
      <c r="F5" s="18"/>
      <c r="G5" s="18" t="str">
        <f ca="1">(TEXT(WeekStart+2,"mmm dd"))</f>
        <v>May 02</v>
      </c>
      <c r="H5" s="18"/>
      <c r="I5" s="18" t="str">
        <f ca="1">(TEXT(WeekStart+3,"mmm dd"))</f>
        <v>May 03</v>
      </c>
      <c r="J5" s="18"/>
      <c r="K5" s="18" t="str">
        <f ca="1">(TEXT(WeekStart+4,"mmm dd"))</f>
        <v>May 04</v>
      </c>
      <c r="L5" s="18"/>
      <c r="M5" s="20" t="str">
        <f ca="1">(TEXT(WeekStart+5,"mmm dd"))</f>
        <v>May 05</v>
      </c>
      <c r="N5" s="19"/>
      <c r="O5" s="21" t="str">
        <f ca="1">(TEXT(WeekStart+6,"mmm dd"))</f>
        <v>May 06</v>
      </c>
      <c r="P5" s="19"/>
      <c r="Q5" s="43" t="s">
        <v>26</v>
      </c>
      <c r="R5" s="44" t="s">
        <v>27</v>
      </c>
      <c r="S5" s="44" t="s">
        <v>28</v>
      </c>
      <c r="T5" s="14"/>
      <c r="U5" s="14"/>
      <c r="V5" s="14"/>
      <c r="W5" s="14"/>
      <c r="X5" s="14"/>
    </row>
    <row r="6" spans="2:25" ht="33" x14ac:dyDescent="0.3">
      <c r="B6" s="26"/>
      <c r="C6" s="26"/>
      <c r="D6" s="33">
        <f>SUM(D7:D9)</f>
        <v>1</v>
      </c>
      <c r="E6" s="26"/>
      <c r="F6" s="33">
        <f>SUM(F7:F9)</f>
        <v>2</v>
      </c>
      <c r="G6" s="26"/>
      <c r="H6" s="33">
        <f>SUM(H7:H9)</f>
        <v>0</v>
      </c>
      <c r="I6" s="26"/>
      <c r="J6" s="33">
        <f>SUM(J7:J9)</f>
        <v>3</v>
      </c>
      <c r="K6" s="26"/>
      <c r="L6" s="33">
        <f>SUM(L7:L9)</f>
        <v>2</v>
      </c>
      <c r="M6" s="26"/>
      <c r="N6" s="33">
        <f>SUM(N7:N9)</f>
        <v>2</v>
      </c>
      <c r="O6" s="26"/>
      <c r="P6" s="33">
        <f>SUM(P7:P9)</f>
        <v>2</v>
      </c>
      <c r="Q6" s="43"/>
      <c r="R6" s="44"/>
      <c r="S6" s="44"/>
      <c r="T6" s="3" t="s">
        <v>29</v>
      </c>
      <c r="U6" s="3" t="s">
        <v>30</v>
      </c>
      <c r="W6" s="34"/>
      <c r="X6" s="34" t="s">
        <v>18</v>
      </c>
    </row>
    <row r="7" spans="2:25" x14ac:dyDescent="0.3">
      <c r="B7" s="9" t="s">
        <v>10</v>
      </c>
      <c r="C7" s="45"/>
      <c r="D7" s="27"/>
      <c r="E7" s="45"/>
      <c r="F7" s="27"/>
      <c r="G7" s="45"/>
      <c r="H7" s="27"/>
      <c r="I7" s="45"/>
      <c r="J7" s="27"/>
      <c r="K7" s="45"/>
      <c r="L7" s="27">
        <v>2</v>
      </c>
      <c r="M7" s="46"/>
      <c r="N7" s="30"/>
      <c r="O7" s="46"/>
      <c r="P7" s="30">
        <v>1</v>
      </c>
      <c r="Q7" s="3" t="str">
        <f>B7</f>
        <v>ca</v>
      </c>
      <c r="R7" s="3">
        <f>SUM(D7,F7,H7,J7,L7,N7,P7)</f>
        <v>3</v>
      </c>
      <c r="S7" s="42">
        <f>T7*R7</f>
        <v>6000</v>
      </c>
      <c r="T7" s="3">
        <f>LOOKUP(Q7,$W$7:$X$12)</f>
        <v>2000</v>
      </c>
      <c r="U7" s="3">
        <f>INDEX($X$7:$X$12,MATCH(Q7,$W$7:$W$12,0))</f>
        <v>2000</v>
      </c>
      <c r="W7" s="35" t="s">
        <v>10</v>
      </c>
      <c r="X7" s="36">
        <v>2000</v>
      </c>
    </row>
    <row r="8" spans="2:25" x14ac:dyDescent="0.3">
      <c r="B8" s="10" t="s">
        <v>11</v>
      </c>
      <c r="C8" s="45" t="s">
        <v>39</v>
      </c>
      <c r="D8" s="28">
        <v>1</v>
      </c>
      <c r="E8" s="45" t="s">
        <v>38</v>
      </c>
      <c r="F8" s="28">
        <v>2</v>
      </c>
      <c r="G8" s="45"/>
      <c r="H8" s="28"/>
      <c r="I8" s="45"/>
      <c r="J8" s="28"/>
      <c r="K8" s="45"/>
      <c r="L8" s="28"/>
      <c r="M8" s="47"/>
      <c r="N8" s="31">
        <v>2</v>
      </c>
      <c r="O8" s="47"/>
      <c r="P8" s="31"/>
      <c r="Q8" s="3" t="str">
        <f t="shared" ref="Q8:Q9" si="0">B8</f>
        <v>cb</v>
      </c>
      <c r="R8" s="3">
        <f>SUM(D8,F8,H8,J8,L8,N8,P8)</f>
        <v>5</v>
      </c>
      <c r="S8" s="42">
        <f t="shared" ref="S8:S9" si="1">LOOKUP(Q8,$W$7:$X$12)*R8</f>
        <v>12500</v>
      </c>
      <c r="T8" s="3">
        <f>LOOKUP(Q8,$W$7:$X$12)</f>
        <v>2500</v>
      </c>
      <c r="U8" s="3">
        <f t="shared" ref="U8:U9" si="2">INDEX($X$7:$X$12,MATCH(Q8,$W$7:$W$12,0))</f>
        <v>2500</v>
      </c>
      <c r="W8" s="35" t="s">
        <v>11</v>
      </c>
      <c r="X8" s="36">
        <v>2500</v>
      </c>
    </row>
    <row r="9" spans="2:25" x14ac:dyDescent="0.3">
      <c r="B9" s="11" t="s">
        <v>12</v>
      </c>
      <c r="C9" s="45"/>
      <c r="D9" s="29"/>
      <c r="E9" s="45"/>
      <c r="F9" s="29"/>
      <c r="G9" s="45"/>
      <c r="H9" s="29"/>
      <c r="I9" s="45"/>
      <c r="J9" s="29">
        <v>3</v>
      </c>
      <c r="K9" s="45"/>
      <c r="L9" s="29"/>
      <c r="M9" s="48"/>
      <c r="N9" s="32"/>
      <c r="O9" s="48"/>
      <c r="P9" s="32">
        <v>1</v>
      </c>
      <c r="Q9" s="3" t="str">
        <f t="shared" si="0"/>
        <v>cc</v>
      </c>
      <c r="R9" s="3">
        <f>SUM(D9,F9,H9,J9,L9,N9,P9)</f>
        <v>4</v>
      </c>
      <c r="S9" s="42">
        <f t="shared" si="1"/>
        <v>12000</v>
      </c>
      <c r="T9" s="3">
        <f>LOOKUP(Q9,$W$7:$X$12)</f>
        <v>3000</v>
      </c>
      <c r="U9" s="3">
        <f t="shared" si="2"/>
        <v>3000</v>
      </c>
      <c r="W9" s="35" t="s">
        <v>12</v>
      </c>
      <c r="X9" s="36">
        <v>3000</v>
      </c>
    </row>
    <row r="10" spans="2:25" ht="18" customHeight="1" x14ac:dyDescent="0.3">
      <c r="B10" s="15"/>
      <c r="C10" s="18" t="str">
        <f ca="1">(TEXT(WeekStart+0+7,"mmm dd"))</f>
        <v>May 07</v>
      </c>
      <c r="D10" s="18"/>
      <c r="E10" s="18" t="str">
        <f ca="1">(TEXT(WeekStart+1+7,"mmm dd"))</f>
        <v>May 08</v>
      </c>
      <c r="F10" s="18"/>
      <c r="G10" s="18" t="str">
        <f ca="1">(TEXT(WeekStart+2+7,"mmm dd"))</f>
        <v>May 09</v>
      </c>
      <c r="H10" s="18"/>
      <c r="I10" s="18" t="str">
        <f ca="1">(TEXT(WeekStart+3+7,"mmm dd"))</f>
        <v>May 10</v>
      </c>
      <c r="J10" s="18"/>
      <c r="K10" s="18" t="str">
        <f ca="1">(TEXT(WeekStart+4+7,"mmm dd"))</f>
        <v>May 11</v>
      </c>
      <c r="L10" s="18"/>
      <c r="M10" s="20" t="str">
        <f ca="1">(TEXT(WeekStart+5+7,"mmm dd"))</f>
        <v>May 12</v>
      </c>
      <c r="N10" s="19"/>
      <c r="O10" s="21" t="str">
        <f ca="1">(TEXT(WeekStart+6+7,"mmm dd"))</f>
        <v>May 13</v>
      </c>
      <c r="P10" s="19"/>
      <c r="S10" s="42"/>
      <c r="W10" s="35" t="s">
        <v>20</v>
      </c>
      <c r="X10" s="36">
        <v>3500</v>
      </c>
    </row>
    <row r="11" spans="2:25" ht="18" customHeight="1" x14ac:dyDescent="0.3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S11" s="42"/>
      <c r="W11" s="35" t="s">
        <v>25</v>
      </c>
      <c r="X11" s="36">
        <v>1500</v>
      </c>
    </row>
    <row r="12" spans="2:25" ht="18" customHeight="1" x14ac:dyDescent="0.3">
      <c r="B12" s="9" t="s">
        <v>10</v>
      </c>
      <c r="C12" s="45"/>
      <c r="D12" s="27">
        <v>2</v>
      </c>
      <c r="E12" s="45"/>
      <c r="F12" s="27"/>
      <c r="G12" s="45"/>
      <c r="H12" s="27"/>
      <c r="I12" s="45"/>
      <c r="J12" s="27"/>
      <c r="K12" s="45"/>
      <c r="L12" s="27"/>
      <c r="M12" s="46"/>
      <c r="N12" s="30"/>
      <c r="O12" s="46"/>
      <c r="P12" s="30"/>
      <c r="Q12" s="3" t="str">
        <f>B12</f>
        <v>ca</v>
      </c>
      <c r="R12" s="3">
        <f>SUM(D12,F12,H12,J12,L12,N12,P12)</f>
        <v>2</v>
      </c>
      <c r="S12" s="42">
        <f>LOOKUP(Q12,$W$7:$X$12)*R12</f>
        <v>4000</v>
      </c>
      <c r="T12" s="3">
        <f>LOOKUP(Q12,$W$7:$X$12)</f>
        <v>2000</v>
      </c>
      <c r="U12" s="3">
        <f>INDEX($X$7:$X$12,MATCH(Q12,$W$7:$W$12,0))</f>
        <v>2000</v>
      </c>
      <c r="W12" s="35" t="s">
        <v>23</v>
      </c>
      <c r="X12" s="36">
        <v>1000</v>
      </c>
    </row>
    <row r="13" spans="2:25" ht="18" customHeight="1" x14ac:dyDescent="0.3">
      <c r="B13" s="10" t="s">
        <v>13</v>
      </c>
      <c r="C13" s="45"/>
      <c r="D13" s="28"/>
      <c r="E13" s="45"/>
      <c r="F13" s="28">
        <v>1</v>
      </c>
      <c r="G13" s="45"/>
      <c r="H13" s="28"/>
      <c r="I13" s="45"/>
      <c r="J13" s="28"/>
      <c r="K13" s="45"/>
      <c r="L13" s="28"/>
      <c r="M13" s="47"/>
      <c r="N13" s="31"/>
      <c r="O13" s="47"/>
      <c r="P13" s="31"/>
      <c r="Q13" s="3" t="str">
        <f t="shared" ref="Q13:Q14" si="3">B13</f>
        <v>cb</v>
      </c>
      <c r="R13" s="3">
        <f>SUM(D13,F13,H13,J13,L13,N13,P13)</f>
        <v>1</v>
      </c>
      <c r="S13" s="42">
        <f t="shared" ref="S13:S14" si="4">LOOKUP(Q13,$W$7:$X$12)*R13</f>
        <v>2500</v>
      </c>
      <c r="T13" s="3">
        <f>LOOKUP(Q13,$W$7:$X$12)</f>
        <v>2500</v>
      </c>
      <c r="U13" s="3">
        <f t="shared" ref="U13:U14" si="5">INDEX($X$7:$X$12,MATCH(Q13,$W$7:$W$12,0))</f>
        <v>2500</v>
      </c>
    </row>
    <row r="14" spans="2:25" ht="18" customHeight="1" x14ac:dyDescent="0.3">
      <c r="B14" s="11" t="s">
        <v>22</v>
      </c>
      <c r="C14" s="45"/>
      <c r="D14" s="29"/>
      <c r="E14" s="45"/>
      <c r="F14" s="29"/>
      <c r="G14" s="45"/>
      <c r="H14" s="29">
        <v>2</v>
      </c>
      <c r="I14" s="45"/>
      <c r="J14" s="29"/>
      <c r="K14" s="45"/>
      <c r="L14" s="29"/>
      <c r="M14" s="48"/>
      <c r="N14" s="32"/>
      <c r="O14" s="48"/>
      <c r="P14" s="32"/>
      <c r="Q14" s="3" t="str">
        <f t="shared" si="3"/>
        <v>cd</v>
      </c>
      <c r="R14" s="3">
        <f>SUM(D14,F14,H14,J14,L14,N14,P14)</f>
        <v>2</v>
      </c>
      <c r="S14" s="42">
        <f t="shared" si="4"/>
        <v>7000</v>
      </c>
      <c r="T14" s="3">
        <f>LOOKUP(Q14,$W$7:$X$12)</f>
        <v>3500</v>
      </c>
      <c r="U14" s="3">
        <f t="shared" si="5"/>
        <v>3500</v>
      </c>
    </row>
    <row r="15" spans="2:25" ht="18" customHeight="1" x14ac:dyDescent="0.3">
      <c r="B15" s="15"/>
      <c r="C15" s="18" t="str">
        <f ca="1">(TEXT(WeekStart+0+14,"mmm dd"))</f>
        <v>May 14</v>
      </c>
      <c r="D15" s="18"/>
      <c r="E15" s="18" t="str">
        <f ca="1">(TEXT(WeekStart+1+14,"mmm dd"))</f>
        <v>May 15</v>
      </c>
      <c r="F15" s="18"/>
      <c r="G15" s="18" t="str">
        <f ca="1">(TEXT(WeekStart+2+14,"mmm dd"))</f>
        <v>May 16</v>
      </c>
      <c r="H15" s="18"/>
      <c r="I15" s="18" t="str">
        <f ca="1">(TEXT(WeekStart+3+14,"mmm dd"))</f>
        <v>May 17</v>
      </c>
      <c r="J15" s="18"/>
      <c r="K15" s="18" t="str">
        <f ca="1">(TEXT(WeekStart+4+14,"mmm dd"))</f>
        <v>May 18</v>
      </c>
      <c r="L15" s="18"/>
      <c r="M15" s="20" t="str">
        <f ca="1">(TEXT(WeekStart+5+14,"mmm dd"))</f>
        <v>May 19</v>
      </c>
      <c r="N15" s="19"/>
      <c r="O15" s="21" t="str">
        <f ca="1">(TEXT(WeekStart+6+14,"mmm dd"))</f>
        <v>May 20</v>
      </c>
      <c r="P15" s="19"/>
      <c r="S15" s="42"/>
    </row>
    <row r="16" spans="2:25" ht="18" customHeight="1" x14ac:dyDescent="0.3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S16" s="42"/>
      <c r="W16" s="39" t="s">
        <v>33</v>
      </c>
      <c r="X16" t="s">
        <v>37</v>
      </c>
      <c r="Y16" t="s">
        <v>36</v>
      </c>
    </row>
    <row r="17" spans="2:35" ht="18" customHeight="1" x14ac:dyDescent="0.3">
      <c r="B17" s="9" t="s">
        <v>10</v>
      </c>
      <c r="C17" s="45"/>
      <c r="D17" s="27"/>
      <c r="E17" s="45"/>
      <c r="F17" s="27"/>
      <c r="G17" s="45"/>
      <c r="H17" s="27">
        <v>2</v>
      </c>
      <c r="I17" s="45"/>
      <c r="J17" s="27"/>
      <c r="K17" s="45"/>
      <c r="L17" s="27"/>
      <c r="M17" s="46"/>
      <c r="N17" s="30"/>
      <c r="O17" s="46"/>
      <c r="P17" s="30"/>
      <c r="Q17" s="3" t="str">
        <f>B17</f>
        <v>ca</v>
      </c>
      <c r="R17" s="3">
        <f>SUM(D17,F17,H17,J17,L17,N17,P17)</f>
        <v>2</v>
      </c>
      <c r="S17" s="42">
        <f>LOOKUP(Q17,$W$7:$X$12)*R17</f>
        <v>4000</v>
      </c>
      <c r="T17" s="3">
        <f>LOOKUP(Q17,$W$7:$X$12)</f>
        <v>2000</v>
      </c>
      <c r="U17" s="3">
        <f>INDEX($X$7:$X$12,MATCH(Q17,$W$7:$W$12,0))</f>
        <v>2000</v>
      </c>
      <c r="W17" s="40" t="s">
        <v>7</v>
      </c>
      <c r="X17" s="41">
        <v>7</v>
      </c>
      <c r="Y17" s="41">
        <v>14000</v>
      </c>
    </row>
    <row r="18" spans="2:35" ht="18" customHeight="1" x14ac:dyDescent="0.3">
      <c r="B18" s="10" t="s">
        <v>22</v>
      </c>
      <c r="C18" s="45"/>
      <c r="D18" s="28"/>
      <c r="E18" s="45"/>
      <c r="F18" s="28"/>
      <c r="G18" s="45"/>
      <c r="H18" s="28"/>
      <c r="I18" s="45"/>
      <c r="J18" s="28"/>
      <c r="K18" s="45"/>
      <c r="L18" s="28"/>
      <c r="M18" s="47"/>
      <c r="N18" s="31"/>
      <c r="O18" s="47"/>
      <c r="P18" s="31"/>
      <c r="Q18" s="3" t="str">
        <f t="shared" ref="Q18:Q19" si="6">B18</f>
        <v>cd</v>
      </c>
      <c r="R18" s="3">
        <f>SUM(D18,F18,H18,J18,L18,N18,P18)</f>
        <v>0</v>
      </c>
      <c r="S18" s="42">
        <f t="shared" ref="S18:S19" si="7">LOOKUP(Q18,$W$7:$X$12)*R18</f>
        <v>0</v>
      </c>
      <c r="T18" s="3">
        <f>LOOKUP(Q18,$W$7:$X$12)</f>
        <v>3500</v>
      </c>
      <c r="U18" s="3">
        <f t="shared" ref="U18:U19" si="8">INDEX($X$7:$X$12,MATCH(Q18,$W$7:$W$12,0))</f>
        <v>3500</v>
      </c>
      <c r="W18" s="40" t="s">
        <v>8</v>
      </c>
      <c r="X18" s="41">
        <v>7</v>
      </c>
      <c r="Y18" s="41">
        <v>17500</v>
      </c>
    </row>
    <row r="19" spans="2:35" ht="18" customHeight="1" x14ac:dyDescent="0.3">
      <c r="B19" s="11" t="s">
        <v>23</v>
      </c>
      <c r="C19" s="45"/>
      <c r="D19" s="29"/>
      <c r="E19" s="45"/>
      <c r="F19" s="29">
        <v>1</v>
      </c>
      <c r="G19" s="45"/>
      <c r="H19" s="29"/>
      <c r="I19" s="45"/>
      <c r="J19" s="29"/>
      <c r="K19" s="45"/>
      <c r="L19" s="29"/>
      <c r="M19" s="48"/>
      <c r="N19" s="32"/>
      <c r="O19" s="48"/>
      <c r="P19" s="32"/>
      <c r="Q19" s="3" t="str">
        <f t="shared" si="6"/>
        <v>cf</v>
      </c>
      <c r="R19" s="3">
        <f>SUM(D19,F19,H19,J19,L19,N19,P19)</f>
        <v>1</v>
      </c>
      <c r="S19" s="42">
        <f t="shared" si="7"/>
        <v>1000</v>
      </c>
      <c r="T19" s="3">
        <f>LOOKUP(Q19,$W$7:$X$12)</f>
        <v>1000</v>
      </c>
      <c r="U19" s="3">
        <f t="shared" si="8"/>
        <v>1000</v>
      </c>
      <c r="W19" s="40" t="s">
        <v>9</v>
      </c>
      <c r="X19" s="41">
        <v>4</v>
      </c>
      <c r="Y19" s="41">
        <v>12000</v>
      </c>
    </row>
    <row r="20" spans="2:35" ht="18" customHeight="1" x14ac:dyDescent="0.3">
      <c r="B20" s="15"/>
      <c r="C20" s="18" t="str">
        <f ca="1">(TEXT(WeekStart+0+21,"mmm dd"))</f>
        <v>May 21</v>
      </c>
      <c r="D20" s="18"/>
      <c r="E20" s="18" t="str">
        <f ca="1">(TEXT(WeekStart+1+21,"mmm dd"))</f>
        <v>May 22</v>
      </c>
      <c r="F20" s="18"/>
      <c r="G20" s="18" t="str">
        <f ca="1">(TEXT(WeekStart+2+21,"mmm dd"))</f>
        <v>May 23</v>
      </c>
      <c r="H20" s="18"/>
      <c r="I20" s="18" t="str">
        <f ca="1">(TEXT(WeekStart+3+21,"mmm dd"))</f>
        <v>May 24</v>
      </c>
      <c r="J20" s="18"/>
      <c r="K20" s="18" t="str">
        <f ca="1">(TEXT(WeekStart+4+21,"mmm dd"))</f>
        <v>May 25</v>
      </c>
      <c r="L20" s="18"/>
      <c r="M20" s="20" t="str">
        <f ca="1">(TEXT(WeekStart+5+21,"mmm dd"))</f>
        <v>May 26</v>
      </c>
      <c r="N20" s="19"/>
      <c r="O20" s="21" t="str">
        <f ca="1">(TEXT(WeekStart+6+21,"mmm dd"))</f>
        <v>May 27</v>
      </c>
      <c r="P20" s="19"/>
      <c r="S20" s="42"/>
      <c r="W20" s="40" t="s">
        <v>19</v>
      </c>
      <c r="X20" s="41">
        <v>2</v>
      </c>
      <c r="Y20" s="41">
        <v>7000</v>
      </c>
    </row>
    <row r="21" spans="2:35" ht="18" customHeight="1" x14ac:dyDescent="0.3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S21" s="42"/>
      <c r="W21" s="40" t="s">
        <v>24</v>
      </c>
      <c r="X21" s="41">
        <v>3</v>
      </c>
      <c r="Y21" s="41">
        <v>4500</v>
      </c>
    </row>
    <row r="22" spans="2:35" ht="18" customHeight="1" x14ac:dyDescent="0.3">
      <c r="B22" s="9" t="s">
        <v>10</v>
      </c>
      <c r="C22" s="45"/>
      <c r="D22" s="27"/>
      <c r="E22" s="45"/>
      <c r="F22" s="27"/>
      <c r="G22" s="45"/>
      <c r="H22" s="27"/>
      <c r="I22" s="45"/>
      <c r="J22" s="27"/>
      <c r="K22" s="45"/>
      <c r="L22" s="27"/>
      <c r="M22" s="46"/>
      <c r="N22" s="30"/>
      <c r="O22" s="46"/>
      <c r="P22" s="30"/>
      <c r="Q22" s="3" t="str">
        <f>B22</f>
        <v>ca</v>
      </c>
      <c r="R22" s="3">
        <f>SUM(D22,F22,H22,J22,L22,N22,P22)</f>
        <v>0</v>
      </c>
      <c r="S22" s="42">
        <f>LOOKUP(Q22,$W$7:$X$12)*R22</f>
        <v>0</v>
      </c>
      <c r="T22" s="3">
        <f>LOOKUP(Q22,$W$7:$X$12)</f>
        <v>2000</v>
      </c>
      <c r="U22" s="3">
        <f>INDEX($X$7:$X$12,MATCH(Q22,$W$7:$W$12,0))</f>
        <v>2000</v>
      </c>
      <c r="W22" s="40" t="s">
        <v>21</v>
      </c>
      <c r="X22" s="41">
        <v>1</v>
      </c>
      <c r="Y22" s="41">
        <v>1000</v>
      </c>
    </row>
    <row r="23" spans="2:35" ht="18" customHeight="1" x14ac:dyDescent="0.3">
      <c r="B23" s="10" t="s">
        <v>31</v>
      </c>
      <c r="C23" s="45"/>
      <c r="D23" s="28"/>
      <c r="E23" s="45"/>
      <c r="F23" s="28"/>
      <c r="G23" s="45"/>
      <c r="H23" s="28">
        <v>2</v>
      </c>
      <c r="I23" s="45"/>
      <c r="J23" s="28"/>
      <c r="K23" s="45"/>
      <c r="L23" s="28"/>
      <c r="M23" s="47"/>
      <c r="N23" s="31"/>
      <c r="O23" s="47"/>
      <c r="P23" s="31"/>
      <c r="Q23" s="3" t="str">
        <f t="shared" ref="Q23:Q24" si="9">B23</f>
        <v>cb</v>
      </c>
      <c r="R23" s="3">
        <f>SUM(D23,F23,H23,J23,L23,N23,P23)</f>
        <v>2</v>
      </c>
      <c r="S23" s="42">
        <f t="shared" ref="S23:S24" si="10">LOOKUP(Q23,$W$7:$X$12)*R23</f>
        <v>5000</v>
      </c>
      <c r="T23" s="3">
        <f>LOOKUP(Q23,$W$7:$X$12)</f>
        <v>2500</v>
      </c>
      <c r="U23" s="3">
        <f t="shared" ref="U23:U24" si="11">INDEX($X$7:$X$12,MATCH(Q23,$W$7:$W$12,0))</f>
        <v>2500</v>
      </c>
      <c r="W23" s="40" t="s">
        <v>34</v>
      </c>
      <c r="X23" s="41"/>
      <c r="Y23" s="41"/>
    </row>
    <row r="24" spans="2:35" ht="18" customHeight="1" x14ac:dyDescent="0.3">
      <c r="B24" s="11" t="s">
        <v>25</v>
      </c>
      <c r="C24" s="45"/>
      <c r="D24" s="29">
        <v>3</v>
      </c>
      <c r="E24" s="45"/>
      <c r="F24" s="29"/>
      <c r="G24" s="45"/>
      <c r="H24" s="29"/>
      <c r="I24" s="45"/>
      <c r="J24" s="29"/>
      <c r="K24" s="45"/>
      <c r="L24" s="29"/>
      <c r="M24" s="48"/>
      <c r="N24" s="32"/>
      <c r="O24" s="48"/>
      <c r="P24" s="32"/>
      <c r="Q24" s="3" t="str">
        <f t="shared" si="9"/>
        <v>ce</v>
      </c>
      <c r="R24" s="3">
        <f>SUM(D24,F24,H24,J24,L24,N24,P24)</f>
        <v>3</v>
      </c>
      <c r="S24" s="42">
        <f t="shared" si="10"/>
        <v>4500</v>
      </c>
      <c r="T24" s="3">
        <f>LOOKUP(Q24,$W$7:$X$12)</f>
        <v>1500</v>
      </c>
      <c r="U24" s="3">
        <f t="shared" si="11"/>
        <v>1500</v>
      </c>
      <c r="W24" s="40" t="s">
        <v>35</v>
      </c>
      <c r="X24" s="41">
        <v>24</v>
      </c>
      <c r="Y24" s="41">
        <v>56000</v>
      </c>
    </row>
    <row r="27" spans="2:35" ht="18" customHeight="1" x14ac:dyDescent="0.3"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2:35" ht="18" customHeight="1" x14ac:dyDescent="0.3"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r="29" spans="2:35" ht="18" customHeight="1" x14ac:dyDescent="0.3"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2:35" ht="18" customHeight="1" x14ac:dyDescent="0.3"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2:35" ht="18" customHeight="1" x14ac:dyDescent="0.3"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2:35" ht="18" customHeight="1" x14ac:dyDescent="0.3"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7:35" ht="18" customHeight="1" x14ac:dyDescent="0.3"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7:35" ht="18" customHeight="1" x14ac:dyDescent="0.3"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7:35" ht="18" customHeight="1" x14ac:dyDescent="0.3"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7:35" ht="18" customHeight="1" x14ac:dyDescent="0.3"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7:35" ht="18" customHeight="1" x14ac:dyDescent="0.3"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7:35" ht="18" customHeight="1" x14ac:dyDescent="0.3">
      <c r="Q38"/>
      <c r="R38"/>
      <c r="S38"/>
      <c r="T38"/>
      <c r="U38"/>
      <c r="V38"/>
      <c r="W38"/>
      <c r="X38"/>
    </row>
    <row r="39" spans="17:35" ht="18" customHeight="1" x14ac:dyDescent="0.3">
      <c r="Q39"/>
      <c r="R39"/>
      <c r="S39"/>
      <c r="T39"/>
      <c r="U39"/>
      <c r="V39"/>
      <c r="W39"/>
      <c r="X39"/>
    </row>
    <row r="40" spans="17:35" ht="18" customHeight="1" x14ac:dyDescent="0.3">
      <c r="Q40"/>
      <c r="R40"/>
      <c r="S40"/>
      <c r="T40"/>
      <c r="U40"/>
      <c r="V40"/>
      <c r="W40"/>
      <c r="X40"/>
    </row>
    <row r="41" spans="17:35" ht="18" customHeight="1" x14ac:dyDescent="0.3">
      <c r="Q41"/>
      <c r="R41"/>
      <c r="S41"/>
      <c r="T41"/>
      <c r="U41"/>
      <c r="V41"/>
      <c r="W41"/>
      <c r="X41"/>
    </row>
    <row r="42" spans="17:35" ht="18" customHeight="1" x14ac:dyDescent="0.3">
      <c r="Q42"/>
      <c r="R42"/>
      <c r="S42"/>
      <c r="T42"/>
      <c r="U42"/>
      <c r="V42"/>
      <c r="W42"/>
      <c r="X42"/>
    </row>
    <row r="43" spans="17:35" ht="18" customHeight="1" x14ac:dyDescent="0.3">
      <c r="Q43"/>
      <c r="R43"/>
      <c r="S43"/>
      <c r="T43"/>
      <c r="U43"/>
      <c r="V43"/>
      <c r="W43"/>
      <c r="X43"/>
    </row>
    <row r="44" spans="17:35" ht="18" customHeight="1" x14ac:dyDescent="0.3">
      <c r="Q44"/>
      <c r="R44"/>
      <c r="S44"/>
      <c r="T44"/>
      <c r="U44"/>
      <c r="V44"/>
      <c r="W44"/>
      <c r="X44"/>
    </row>
    <row r="45" spans="17:35" ht="18" customHeight="1" x14ac:dyDescent="0.3">
      <c r="Q45"/>
      <c r="R45"/>
      <c r="S45"/>
      <c r="T45"/>
      <c r="U45"/>
      <c r="V45"/>
      <c r="W45"/>
      <c r="X45"/>
    </row>
    <row r="46" spans="17:35" ht="18" customHeight="1" x14ac:dyDescent="0.3">
      <c r="Q46"/>
      <c r="R46"/>
      <c r="S46"/>
      <c r="T46"/>
      <c r="U46"/>
      <c r="V46"/>
      <c r="W46"/>
      <c r="X46"/>
    </row>
    <row r="47" spans="17:35" ht="18" customHeight="1" x14ac:dyDescent="0.3">
      <c r="Q47"/>
      <c r="R47"/>
      <c r="S47"/>
      <c r="T47"/>
      <c r="U47"/>
      <c r="V47"/>
      <c r="W47"/>
      <c r="X47"/>
    </row>
    <row r="48" spans="17:35" ht="18" customHeight="1" x14ac:dyDescent="0.3">
      <c r="Q48"/>
      <c r="R48"/>
      <c r="S48"/>
      <c r="T48"/>
      <c r="U48"/>
      <c r="V48"/>
      <c r="W48"/>
      <c r="X48"/>
    </row>
    <row r="49" spans="17:24" ht="18" customHeight="1" x14ac:dyDescent="0.3">
      <c r="Q49"/>
      <c r="R49"/>
      <c r="S49"/>
      <c r="T49"/>
      <c r="U49"/>
      <c r="V49"/>
      <c r="W49"/>
      <c r="X49"/>
    </row>
    <row r="50" spans="17:24" ht="18" customHeight="1" x14ac:dyDescent="0.3">
      <c r="Q50"/>
      <c r="R50"/>
      <c r="S50"/>
      <c r="T50"/>
      <c r="U50"/>
      <c r="V50"/>
      <c r="W50"/>
      <c r="X50"/>
    </row>
    <row r="51" spans="17:24" ht="18" customHeight="1" x14ac:dyDescent="0.3">
      <c r="Q51"/>
      <c r="R51"/>
      <c r="S51"/>
      <c r="T51"/>
      <c r="U51"/>
      <c r="V51"/>
      <c r="W51"/>
      <c r="X51"/>
    </row>
    <row r="52" spans="17:24" ht="18" customHeight="1" x14ac:dyDescent="0.3">
      <c r="Q52"/>
    </row>
    <row r="53" spans="17:24" ht="18" customHeight="1" x14ac:dyDescent="0.3">
      <c r="Q53"/>
    </row>
    <row r="54" spans="17:24" ht="18" customHeight="1" x14ac:dyDescent="0.3">
      <c r="Q54"/>
    </row>
    <row r="55" spans="17:24" ht="18" customHeight="1" x14ac:dyDescent="0.3">
      <c r="Q55"/>
    </row>
    <row r="56" spans="17:24" ht="18" customHeight="1" x14ac:dyDescent="0.3">
      <c r="Q56"/>
    </row>
    <row r="57" spans="17:24" ht="18" customHeight="1" x14ac:dyDescent="0.3">
      <c r="Q57"/>
    </row>
    <row r="58" spans="17:24" ht="18" customHeight="1" x14ac:dyDescent="0.3">
      <c r="Q58"/>
    </row>
    <row r="59" spans="17:24" ht="18" customHeight="1" x14ac:dyDescent="0.3">
      <c r="Q59"/>
    </row>
  </sheetData>
  <mergeCells count="44">
    <mergeCell ref="Q5:Q6"/>
    <mergeCell ref="R5:R6"/>
    <mergeCell ref="S5:S6"/>
    <mergeCell ref="M20:N20"/>
    <mergeCell ref="O20:P20"/>
    <mergeCell ref="E1:F1"/>
    <mergeCell ref="G1:H1"/>
    <mergeCell ref="I1:J1"/>
    <mergeCell ref="K1:L1"/>
    <mergeCell ref="E2:F2"/>
    <mergeCell ref="C20:D20"/>
    <mergeCell ref="E20:F20"/>
    <mergeCell ref="G20:H20"/>
    <mergeCell ref="I20:J20"/>
    <mergeCell ref="K20:L20"/>
    <mergeCell ref="M10:N10"/>
    <mergeCell ref="O10:P10"/>
    <mergeCell ref="C15:D15"/>
    <mergeCell ref="E15:F15"/>
    <mergeCell ref="G15:H15"/>
    <mergeCell ref="I15:J15"/>
    <mergeCell ref="K15:L15"/>
    <mergeCell ref="M15:N15"/>
    <mergeCell ref="O15:P15"/>
    <mergeCell ref="C10:D10"/>
    <mergeCell ref="E10:F10"/>
    <mergeCell ref="G10:H10"/>
    <mergeCell ref="I10:J10"/>
    <mergeCell ref="K10:L10"/>
    <mergeCell ref="K4:L4"/>
    <mergeCell ref="M4:N4"/>
    <mergeCell ref="O4:P4"/>
    <mergeCell ref="C5:D5"/>
    <mergeCell ref="E5:F5"/>
    <mergeCell ref="G5:H5"/>
    <mergeCell ref="I5:J5"/>
    <mergeCell ref="K5:L5"/>
    <mergeCell ref="M5:N5"/>
    <mergeCell ref="O5:P5"/>
    <mergeCell ref="B2:D2"/>
    <mergeCell ref="C4:D4"/>
    <mergeCell ref="E4:F4"/>
    <mergeCell ref="G4:H4"/>
    <mergeCell ref="I4:J4"/>
  </mergeCells>
  <phoneticPr fontId="12" type="noConversion"/>
  <dataValidations count="9">
    <dataValidation allowBlank="1" showInputMessage="1" showErrorMessage="1" prompt="Present" sqref="Q3:R4"/>
    <dataValidation allowBlank="1" showInputMessage="1" showErrorMessage="1" prompt="Absent - excused" sqref="T3:U5 S3:S4"/>
    <dataValidation allowBlank="1" showInputMessage="1" showErrorMessage="1" prompt="Enter Student Name in this cell." sqref="I2:J2"/>
    <dataValidation allowBlank="1" showInputMessage="1" showErrorMessage="1" prompt="Enter Week Date in next cell G5." sqref="C1:D1"/>
    <dataValidation allowBlank="1" showInputMessage="1" showErrorMessage="1" prompt="Enter Week Date (i-e Monday Date) in this cell. Dates for Grid below will be auto-calculated." sqref="O3:P3"/>
    <dataValidation allowBlank="1" showInputMessage="1" showErrorMessage="1" promptTitle="Homework Log" prompt="Help your students get more organized with this ready-to-print homework log to track their assignments. _x000a__x000a_" sqref="A1"/>
    <dataValidation allowBlank="1" showInputMessage="1" showErrorMessage="1" prompt="Enter the date for the start of the week in this cell." sqref="K2:L2"/>
    <dataValidation allowBlank="1" showInputMessage="1" showErrorMessage="1" prompt="Homework Date header, these dates are calculated on basis of your input in cell D4." sqref="O15 O5 O10 C5 E5 G5 I5 K5 M5 C10 E10 G10 I10 K10 M10 C15 E15 G15 I15 K15 M15 C20 E20 G20 I20 K20 M20 O20"/>
    <dataValidation allowBlank="1" showInputMessage="1" showErrorMessage="1" prompt="Enter Week Date (i.e., Monday Date) in this cell. Dates in Grid below will be auto-calculated." sqref="I1 K1"/>
  </dataValidations>
  <printOptions horizontalCentered="1"/>
  <pageMargins left="0.25" right="0.25" top="0.5" bottom="0.5" header="0.3" footer="0.3"/>
  <pageSetup paperSize="9" scale="41" fitToHeight="0" orientation="portrait" r:id="rId2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TM89898191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11</vt:i4>
      </vt:variant>
    </vt:vector>
  </HeadingPairs>
  <TitlesOfParts>
    <vt:vector size="12" baseType="lpstr">
      <vt:lpstr>work log-monthly</vt:lpstr>
      <vt:lpstr>monthlystart</vt:lpstr>
      <vt:lpstr>rate_ca</vt:lpstr>
      <vt:lpstr>rate_cb</vt:lpstr>
      <vt:lpstr>rate_cc</vt:lpstr>
      <vt:lpstr>rate_cd</vt:lpstr>
      <vt:lpstr>rate_ce</vt:lpstr>
      <vt:lpstr>rate_cf</vt:lpstr>
      <vt:lpstr>rate_cg</vt:lpstr>
      <vt:lpstr>rate_table</vt:lpstr>
      <vt:lpstr>today</vt:lpstr>
      <vt:lpstr>'work log-monthly'!WeekStart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2022-12-01T01:11:21Z</dcterms:created>
  <dcterms:modified xsi:type="dcterms:W3CDTF">2023-05-30T05:41:00Z</dcterms:modified>
</cp:coreProperties>
</file>