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xl/activeX/activeX4.xml" ContentType="application/vnd.ms-office.activeX+xml"/>
  <Override PartName="/xl/activeX/activeX4.bin" ContentType="application/vnd.ms-office.activeX"/>
  <Override PartName="/xl/activeX/activeX5.xml" ContentType="application/vnd.ms-office.activeX+xml"/>
  <Override PartName="/xl/activeX/activeX5.bin" ContentType="application/vnd.ms-office.activeX"/>
  <Override PartName="/xl/activeX/activeX6.xml" ContentType="application/vnd.ms-office.activeX+xml"/>
  <Override PartName="/xl/activeX/activeX6.bin" ContentType="application/vnd.ms-office.activeX"/>
  <Override PartName="/xl/activeX/activeX7.xml" ContentType="application/vnd.ms-office.activeX+xml"/>
  <Override PartName="/xl/activeX/activeX7.bin" ContentType="application/vnd.ms-office.activeX"/>
  <Override PartName="/xl/activeX/activeX8.xml" ContentType="application/vnd.ms-office.activeX+xml"/>
  <Override PartName="/xl/activeX/activeX8.bin" ContentType="application/vnd.ms-office.activeX"/>
  <Override PartName="/xl/drawings/drawing2.xml" ContentType="application/vnd.openxmlformats-officedocument.drawing+xml"/>
  <Override PartName="/xl/activeX/activeX9.xml" ContentType="application/vnd.ms-office.activeX+xml"/>
  <Override PartName="/xl/activeX/activeX9.bin" ContentType="application/vnd.ms-office.activeX"/>
  <Override PartName="/xl/activeX/activeX10.xml" ContentType="application/vnd.ms-office.activeX+xml"/>
  <Override PartName="/xl/activeX/activeX10.bin" ContentType="application/vnd.ms-office.activeX"/>
  <Override PartName="/xl/activeX/activeX11.xml" ContentType="application/vnd.ms-office.activeX+xml"/>
  <Override PartName="/xl/activeX/activeX11.bin" ContentType="application/vnd.ms-office.activeX"/>
  <Override PartName="/xl/activeX/activeX12.xml" ContentType="application/vnd.ms-office.activeX+xml"/>
  <Override PartName="/xl/activeX/activeX12.bin" ContentType="application/vnd.ms-office.activeX"/>
  <Override PartName="/xl/activeX/activeX13.xml" ContentType="application/vnd.ms-office.activeX+xml"/>
  <Override PartName="/xl/activeX/activeX13.bin" ContentType="application/vnd.ms-office.activeX"/>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comments1.xml" ContentType="application/vnd.openxmlformats-officedocument.spreadsheetml.comment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omments2.xml" ContentType="application/vnd.openxmlformats-officedocument.spreadsheetml.comments+xml"/>
  <Override PartName="/xl/comments3.xml" ContentType="application/vnd.openxmlformats-officedocument.spreadsheetml.comments+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omments4.xml" ContentType="application/vnd.openxmlformats-officedocument.spreadsheetml.comments+xml"/>
  <Override PartName="/xl/drawings/drawing6.xml" ContentType="application/vnd.openxmlformats-officedocument.drawing+xml"/>
  <Override PartName="/xl/comments5.xml" ContentType="application/vnd.openxmlformats-officedocument.spreadsheetml.comments+xml"/>
  <Override PartName="/xl/drawings/drawing7.xml" ContentType="application/vnd.openxmlformats-officedocument.drawing+xml"/>
  <Override PartName="/xl/activeX/activeX14.xml" ContentType="application/vnd.ms-office.activeX+xml"/>
  <Override PartName="/xl/activeX/activeX14.bin" ContentType="application/vnd.ms-office.activeX"/>
  <Override PartName="/xl/activeX/activeX15.xml" ContentType="application/vnd.ms-office.activeX+xml"/>
  <Override PartName="/xl/activeX/activeX15.bin" ContentType="application/vnd.ms-office.activeX"/>
  <Override PartName="/xl/activeX/activeX16.xml" ContentType="application/vnd.ms-office.activeX+xml"/>
  <Override PartName="/xl/activeX/activeX16.bin" ContentType="application/vnd.ms-office.activeX"/>
  <Override PartName="/xl/activeX/activeX17.xml" ContentType="application/vnd.ms-office.activeX+xml"/>
  <Override PartName="/xl/activeX/activeX17.bin" ContentType="application/vnd.ms-office.activeX"/>
  <Override PartName="/xl/drawings/drawing8.xml" ContentType="application/vnd.openxmlformats-officedocument.drawing+xml"/>
  <Override PartName="/xl/activeX/activeX18.xml" ContentType="application/vnd.ms-office.activeX+xml"/>
  <Override PartName="/xl/activeX/activeX18.bin" ContentType="application/vnd.ms-office.activeX"/>
  <Override PartName="/xl/activeX/activeX19.xml" ContentType="application/vnd.ms-office.activeX+xml"/>
  <Override PartName="/xl/activeX/activeX19.bin" ContentType="application/vnd.ms-office.activeX"/>
  <Override PartName="/xl/activeX/activeX20.xml" ContentType="application/vnd.ms-office.activeX+xml"/>
  <Override PartName="/xl/activeX/activeX20.bin" ContentType="application/vnd.ms-office.activeX"/>
  <Override PartName="/xl/activeX/activeX21.xml" ContentType="application/vnd.ms-office.activeX+xml"/>
  <Override PartName="/xl/activeX/activeX21.bin" ContentType="application/vnd.ms-office.activeX"/>
  <Override PartName="/xl/activeX/activeX22.xml" ContentType="application/vnd.ms-office.activeX+xml"/>
  <Override PartName="/xl/activeX/activeX22.bin" ContentType="application/vnd.ms-office.activeX"/>
  <Override PartName="/xl/drawings/drawing9.xml" ContentType="application/vnd.openxmlformats-officedocument.drawing+xml"/>
  <Override PartName="/xl/activeX/activeX23.xml" ContentType="application/vnd.ms-office.activeX+xml"/>
  <Override PartName="/xl/activeX/activeX23.bin" ContentType="application/vnd.ms-office.activeX"/>
  <Override PartName="/xl/activeX/activeX24.xml" ContentType="application/vnd.ms-office.activeX+xml"/>
  <Override PartName="/xl/activeX/activeX24.bin" ContentType="application/vnd.ms-office.activeX"/>
  <Override PartName="/xl/activeX/activeX25.xml" ContentType="application/vnd.ms-office.activeX+xml"/>
  <Override PartName="/xl/activeX/activeX25.bin" ContentType="application/vnd.ms-office.activeX"/>
  <Override PartName="/xl/activeX/activeX26.xml" ContentType="application/vnd.ms-office.activeX+xml"/>
  <Override PartName="/xl/activeX/activeX26.bin" ContentType="application/vnd.ms-office.activeX"/>
  <Override PartName="/xl/activeX/activeX27.xml" ContentType="application/vnd.ms-office.activeX+xml"/>
  <Override PartName="/xl/activeX/activeX27.bin" ContentType="application/vnd.ms-office.activeX"/>
  <Override PartName="/xl/activeX/activeX28.xml" ContentType="application/vnd.ms-office.activeX+xml"/>
  <Override PartName="/xl/activeX/activeX28.bin" ContentType="application/vnd.ms-office.activeX"/>
  <Override PartName="/xl/activeX/activeX29.xml" ContentType="application/vnd.ms-office.activeX+xml"/>
  <Override PartName="/xl/activeX/activeX29.bin" ContentType="application/vnd.ms-office.activeX"/>
  <Override PartName="/xl/drawings/drawing10.xml" ContentType="application/vnd.openxmlformats-officedocument.drawing+xml"/>
  <Override PartName="/xl/activeX/activeX30.xml" ContentType="application/vnd.ms-office.activeX+xml"/>
  <Override PartName="/xl/activeX/activeX30.bin" ContentType="application/vnd.ms-office.activeX"/>
  <Override PartName="/xl/activeX/activeX31.xml" ContentType="application/vnd.ms-office.activeX+xml"/>
  <Override PartName="/xl/activeX/activeX31.bin" ContentType="application/vnd.ms-office.activeX"/>
  <Override PartName="/xl/activeX/activeX32.xml" ContentType="application/vnd.ms-office.activeX+xml"/>
  <Override PartName="/xl/activeX/activeX32.bin" ContentType="application/vnd.ms-office.activeX"/>
  <Override PartName="/xl/activeX/activeX33.xml" ContentType="application/vnd.ms-office.activeX+xml"/>
  <Override PartName="/xl/activeX/activeX33.bin" ContentType="application/vnd.ms-office.activeX"/>
  <Override PartName="/xl/activeX/activeX34.xml" ContentType="application/vnd.ms-office.activeX+xml"/>
  <Override PartName="/xl/activeX/activeX34.bin" ContentType="application/vnd.ms-office.activeX"/>
  <Override PartName="/xl/activeX/activeX35.xml" ContentType="application/vnd.ms-office.activeX+xml"/>
  <Override PartName="/xl/activeX/activeX35.bin" ContentType="application/vnd.ms-office.activeX"/>
  <Override PartName="/xl/pivotTables/pivotTable1.xml" ContentType="application/vnd.openxmlformats-officedocument.spreadsheetml.pivotTable+xml"/>
  <Override PartName="/xl/drawings/drawing11.xml" ContentType="application/vnd.openxmlformats-officedocument.drawing+xml"/>
  <Override PartName="/xl/comments6.xml" ContentType="application/vnd.openxmlformats-officedocument.spreadsheetml.comments+xml"/>
  <Override PartName="/xl/drawings/drawing12.xml" ContentType="application/vnd.openxmlformats-officedocument.drawing+xml"/>
  <Override PartName="/xl/activeX/activeX36.xml" ContentType="application/vnd.ms-office.activeX+xml"/>
  <Override PartName="/xl/activeX/activeX36.bin" ContentType="application/vnd.ms-office.activeX"/>
  <Override PartName="/xl/activeX/activeX37.xml" ContentType="application/vnd.ms-office.activeX+xml"/>
  <Override PartName="/xl/activeX/activeX37.bin" ContentType="application/vnd.ms-office.activeX"/>
  <Override PartName="/xl/activeX/activeX38.xml" ContentType="application/vnd.ms-office.activeX+xml"/>
  <Override PartName="/xl/activeX/activeX38.bin" ContentType="application/vnd.ms-office.activeX"/>
  <Override PartName="/xl/activeX/activeX39.xml" ContentType="application/vnd.ms-office.activeX+xml"/>
  <Override PartName="/xl/activeX/activeX39.bin" ContentType="application/vnd.ms-office.activeX"/>
  <Override PartName="/xl/activeX/activeX40.xml" ContentType="application/vnd.ms-office.activeX+xml"/>
  <Override PartName="/xl/activeX/activeX40.bin" ContentType="application/vnd.ms-office.activeX"/>
  <Override PartName="/xl/activeX/activeX41.xml" ContentType="application/vnd.ms-office.activeX+xml"/>
  <Override PartName="/xl/activeX/activeX41.bin" ContentType="application/vnd.ms-office.activeX"/>
  <Override PartName="/xl/drawings/drawing13.xml" ContentType="application/vnd.openxmlformats-officedocument.drawing+xml"/>
  <Override PartName="/xl/activeX/activeX42.xml" ContentType="application/vnd.ms-office.activeX+xml"/>
  <Override PartName="/xl/activeX/activeX42.bin" ContentType="application/vnd.ms-office.activeX"/>
  <Override PartName="/xl/activeX/activeX43.xml" ContentType="application/vnd.ms-office.activeX+xml"/>
  <Override PartName="/xl/activeX/activeX43.bin" ContentType="application/vnd.ms-office.activeX"/>
  <Override PartName="/xl/activeX/activeX44.xml" ContentType="application/vnd.ms-office.activeX+xml"/>
  <Override PartName="/xl/activeX/activeX44.bin" ContentType="application/vnd.ms-office.activeX"/>
  <Override PartName="/xl/activeX/activeX45.xml" ContentType="application/vnd.ms-office.activeX+xml"/>
  <Override PartName="/xl/activeX/activeX45.bin" ContentType="application/vnd.ms-office.activeX"/>
  <Override PartName="/xl/activeX/activeX46.xml" ContentType="application/vnd.ms-office.activeX+xml"/>
  <Override PartName="/xl/activeX/activeX46.bin" ContentType="application/vnd.ms-office.activeX"/>
  <Override PartName="/xl/activeX/activeX47.xml" ContentType="application/vnd.ms-office.activeX+xml"/>
  <Override PartName="/xl/activeX/activeX47.bin" ContentType="application/vnd.ms-office.activeX"/>
  <Override PartName="/xl/activeX/activeX48.xml" ContentType="application/vnd.ms-office.activeX+xml"/>
  <Override PartName="/xl/activeX/activeX48.bin" ContentType="application/vnd.ms-office.activeX"/>
  <Override PartName="/xl/drawings/drawing14.xml" ContentType="application/vnd.openxmlformats-officedocument.drawing+xml"/>
  <Override PartName="/xl/activeX/activeX49.xml" ContentType="application/vnd.ms-office.activeX+xml"/>
  <Override PartName="/xl/activeX/activeX49.bin" ContentType="application/vnd.ms-office.activeX"/>
  <Override PartName="/xl/activeX/activeX50.xml" ContentType="application/vnd.ms-office.activeX+xml"/>
  <Override PartName="/xl/activeX/activeX50.bin" ContentType="application/vnd.ms-office.activeX"/>
  <Override PartName="/xl/activeX/activeX51.xml" ContentType="application/vnd.ms-office.activeX+xml"/>
  <Override PartName="/xl/activeX/activeX51.bin" ContentType="application/vnd.ms-office.activeX"/>
  <Override PartName="/xl/activeX/activeX52.xml" ContentType="application/vnd.ms-office.activeX+xml"/>
  <Override PartName="/xl/activeX/activeX52.bin" ContentType="application/vnd.ms-office.activeX"/>
  <Override PartName="/xl/activeX/activeX53.xml" ContentType="application/vnd.ms-office.activeX+xml"/>
  <Override PartName="/xl/activeX/activeX53.bin" ContentType="application/vnd.ms-office.activeX"/>
  <Override PartName="/xl/drawings/drawing15.xml" ContentType="application/vnd.openxmlformats-officedocument.drawing+xml"/>
  <Override PartName="/xl/activeX/activeX54.xml" ContentType="application/vnd.ms-office.activeX+xml"/>
  <Override PartName="/xl/activeX/activeX54.bin" ContentType="application/vnd.ms-office.activeX"/>
  <Override PartName="/xl/activeX/activeX55.xml" ContentType="application/vnd.ms-office.activeX+xml"/>
  <Override PartName="/xl/activeX/activeX55.bin" ContentType="application/vnd.ms-office.activeX"/>
  <Override PartName="/xl/activeX/activeX56.xml" ContentType="application/vnd.ms-office.activeX+xml"/>
  <Override PartName="/xl/activeX/activeX56.bin" ContentType="application/vnd.ms-office.activeX"/>
  <Override PartName="/xl/activeX/activeX57.xml" ContentType="application/vnd.ms-office.activeX+xml"/>
  <Override PartName="/xl/activeX/activeX57.bin" ContentType="application/vnd.ms-office.activeX"/>
  <Override PartName="/xl/drawings/drawing16.xml" ContentType="application/vnd.openxmlformats-officedocument.drawing+xml"/>
  <Override PartName="/xl/activeX/activeX58.xml" ContentType="application/vnd.ms-office.activeX+xml"/>
  <Override PartName="/xl/activeX/activeX58.bin" ContentType="application/vnd.ms-office.activeX"/>
  <Override PartName="/xl/activeX/activeX59.xml" ContentType="application/vnd.ms-office.activeX+xml"/>
  <Override PartName="/xl/activeX/activeX59.bin" ContentType="application/vnd.ms-office.activeX"/>
  <Override PartName="/xl/activeX/activeX60.xml" ContentType="application/vnd.ms-office.activeX+xml"/>
  <Override PartName="/xl/activeX/activeX60.bin" ContentType="application/vnd.ms-office.activeX"/>
  <Override PartName="/xl/activeX/activeX61.xml" ContentType="application/vnd.ms-office.activeX+xml"/>
  <Override PartName="/xl/activeX/activeX61.bin" ContentType="application/vnd.ms-office.activeX"/>
  <Override PartName="/xl/activeX/activeX62.xml" ContentType="application/vnd.ms-office.activeX+xml"/>
  <Override PartName="/xl/activeX/activeX62.bin" ContentType="application/vnd.ms-office.activeX"/>
  <Override PartName="/xl/drawings/drawing17.xml" ContentType="application/vnd.openxmlformats-officedocument.drawing+xml"/>
  <Override PartName="/xl/activeX/activeX63.xml" ContentType="application/vnd.ms-office.activeX+xml"/>
  <Override PartName="/xl/activeX/activeX63.bin" ContentType="application/vnd.ms-office.activeX"/>
  <Override PartName="/xl/activeX/activeX64.xml" ContentType="application/vnd.ms-office.activeX+xml"/>
  <Override PartName="/xl/activeX/activeX64.bin" ContentType="application/vnd.ms-office.activeX"/>
  <Override PartName="/xl/activeX/activeX65.xml" ContentType="application/vnd.ms-office.activeX+xml"/>
  <Override PartName="/xl/activeX/activeX65.bin" ContentType="application/vnd.ms-office.activeX"/>
  <Override PartName="/xl/activeX/activeX66.xml" ContentType="application/vnd.ms-office.activeX+xml"/>
  <Override PartName="/xl/activeX/activeX66.bin" ContentType="application/vnd.ms-office.activeX"/>
  <Override PartName="/xl/activeX/activeX67.xml" ContentType="application/vnd.ms-office.activeX+xml"/>
  <Override PartName="/xl/activeX/activeX67.bin" ContentType="application/vnd.ms-office.activeX"/>
  <Override PartName="/xl/activeX/activeX68.xml" ContentType="application/vnd.ms-office.activeX+xml"/>
  <Override PartName="/xl/activeX/activeX68.bin" ContentType="application/vnd.ms-office.activeX"/>
  <Override PartName="/xl/activeX/activeX69.xml" ContentType="application/vnd.ms-office.activeX+xml"/>
  <Override PartName="/xl/activeX/activeX69.bin" ContentType="application/vnd.ms-office.activeX"/>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mc:AlternateContent xmlns:mc="http://schemas.openxmlformats.org/markup-compatibility/2006">
    <mc:Choice Requires="x15">
      <x15ac:absPath xmlns:x15ac="http://schemas.microsoft.com/office/spreadsheetml/2010/11/ac" url="https://usepa-my.sharepoint.com/personal/carroll_zane_epa_gov/Documents/ORD/COMET/COMET_NYC_v16.0.1/COMET_NYC_v16.0.1/SubRES_TMPL/"/>
    </mc:Choice>
  </mc:AlternateContent>
  <xr:revisionPtr revIDLastSave="23" documentId="13_ncr:1_{975093E9-0FCA-4DE9-93B1-1CED5D444280}" xr6:coauthVersionLast="47" xr6:coauthVersionMax="47" xr10:uidLastSave="{8DD43460-EB46-4C7E-A384-5E3F4A0F5C0C}"/>
  <bookViews>
    <workbookView xWindow="53880" yWindow="-120" windowWidth="29040" windowHeight="15720" tabRatio="905" firstSheet="2" activeTab="4" xr2:uid="{00000000-000D-0000-FFFF-FFFF00000000}"/>
  </bookViews>
  <sheets>
    <sheet name="ANSv6.1-Commodities" sheetId="1" state="veryHidden" r:id="rId1"/>
    <sheet name="ANSv6.1-Technologies" sheetId="2" state="veryHidden" r:id="rId2"/>
    <sheet name="Commodities" sheetId="10" r:id="rId3"/>
    <sheet name="Technologies" sheetId="11" r:id="rId4"/>
    <sheet name="TechData_DMD" sheetId="15" r:id="rId5"/>
    <sheet name="TechData_SolarPV" sheetId="56" r:id="rId6"/>
    <sheet name="TechData-Emis" sheetId="44" r:id="rId7"/>
    <sheet name="TechData_ZZ" sheetId="16" r:id="rId8"/>
    <sheet name="TechData_SESC" sheetId="14" r:id="rId9"/>
    <sheet name="Retrofit" sheetId="76" r:id="rId10"/>
    <sheet name="EIA23 EQ Cost" sheetId="75" r:id="rId11"/>
    <sheet name="Resid" sheetId="72" r:id="rId12"/>
    <sheet name="ResDemand" sheetId="25" r:id="rId13"/>
    <sheet name="ResCalc" sheetId="26" r:id="rId14"/>
    <sheet name="DmdCalc" sheetId="60" r:id="rId15"/>
    <sheet name="2010 Fuel Share" sheetId="71" r:id="rId16"/>
    <sheet name="Original" sheetId="63" r:id="rId17"/>
    <sheet name="Dmd Share" sheetId="70" r:id="rId18"/>
    <sheet name="BldgArea" sheetId="69" r:id="rId19"/>
    <sheet name="USDemand" sheetId="27" r:id="rId20"/>
    <sheet name="RTEKTY Conv" sheetId="29" r:id="rId21"/>
    <sheet name="Pop" sheetId="28" r:id="rId22"/>
    <sheet name="2014 GHG Inventory" sheetId="67" r:id="rId23"/>
    <sheet name="ANSv6.1-Constraints" sheetId="7" state="veryHidden" r:id="rId24"/>
    <sheet name="ANSv6.1-CommData" sheetId="4" state="veryHidden" r:id="rId25"/>
    <sheet name="ANSv6.1-TechData" sheetId="3" state="veryHidden" r:id="rId26"/>
    <sheet name="ANSv6.1-ConstrData" sheetId="8" state="veryHidden" r:id="rId27"/>
    <sheet name="Rooftop Calc" sheetId="65" r:id="rId28"/>
    <sheet name="AEO14 RLT Techs" sheetId="49" r:id="rId29"/>
    <sheet name="Conv Factors" sheetId="31" r:id="rId30"/>
    <sheet name="ANSv6.0-ConstrData" sheetId="36" state="veryHidden" r:id="rId31"/>
    <sheet name="ANSv6.0-TechData" sheetId="35" state="veryHidden" r:id="rId32"/>
    <sheet name="ANSv6.0-CommData" sheetId="34" state="veryHidden" r:id="rId33"/>
    <sheet name="ANSv6.0-Constraints" sheetId="33" state="veryHidden" r:id="rId34"/>
    <sheet name="ANSv6.0-Technologies" sheetId="32" state="veryHidden" r:id="rId35"/>
    <sheet name="ANSv6.0-Commodities" sheetId="19" state="veryHidden" r:id="rId36"/>
    <sheet name="EmisCO2Coef" sheetId="43" r:id="rId37"/>
    <sheet name="EmisRes" sheetId="40" r:id="rId38"/>
  </sheets>
  <externalReferences>
    <externalReference r:id="rId39"/>
  </externalReferences>
  <definedNames>
    <definedName name="_1995_Implicit_GDP_Deflator" localSheetId="20">'RTEKTY Conv'!#REF!</definedName>
    <definedName name="_2001_Implicit_GDP_Deflator" localSheetId="20">'RTEKTY Conv'!#REF!</definedName>
    <definedName name="_xlnm._FilterDatabase" localSheetId="4" hidden="1">TechData_DMD!$A$7:$AL$331</definedName>
    <definedName name="_xlnm._FilterDatabase" localSheetId="3" hidden="1">Technologies!$K$8:$K$420</definedName>
    <definedName name="avg_water_heater_PJ" localSheetId="11">#REF!</definedName>
    <definedName name="avg_water_heater_PJ" localSheetId="5">#REF!</definedName>
    <definedName name="avg_water_heater_PJ">#REF!</definedName>
    <definedName name="btu_per_watthr" localSheetId="20">'RTEKTY Conv'!#REF!</definedName>
    <definedName name="btu_per_watthr">'[1]Conversion Factors'!$B$5</definedName>
    <definedName name="days_per_year" localSheetId="20">'RTEKTY Conv'!#REF!</definedName>
    <definedName name="days_per_year">'[1]Conversion Factors'!$B$3</definedName>
    <definedName name="dollar____per__m" localSheetId="20">'RTEKTY Conv'!#REF!</definedName>
    <definedName name="dollar____per__m">'[1]Conversion Factors'!$B$7</definedName>
    <definedName name="hours_per_day" localSheetId="20">'RTEKTY Conv'!#REF!</definedName>
    <definedName name="hours_per_day">'[1]Conversion Factors'!$B$2</definedName>
    <definedName name="j_per_btu" localSheetId="20">'RTEKTY Conv'!#REF!</definedName>
    <definedName name="j_per_btu">'[1]Conversion Factors'!$B$4</definedName>
    <definedName name="j_per_pj" localSheetId="20">'RTEKTY Conv'!#REF!</definedName>
    <definedName name="j_per_pj">'[1]Conversion Factors'!$B$6</definedName>
    <definedName name="kwhr_per_j" localSheetId="20">'RTEKTY Conv'!#REF!</definedName>
    <definedName name="lumens_per_billion_lumens">'[1]Conversion Factors'!$B$9</definedName>
    <definedName name="unit_per_million_unit" localSheetId="20">'RTEKTY Conv'!#REF!</definedName>
  </definedNames>
  <calcPr calcId="191028"/>
  <pivotCaches>
    <pivotCache cacheId="0" r:id="rId4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J12" i="56" l="1"/>
  <c r="AJ11" i="56"/>
  <c r="AJ10" i="56"/>
  <c r="AJ9" i="56"/>
  <c r="AJ8" i="56"/>
  <c r="AJ7" i="56"/>
  <c r="AE12" i="56"/>
  <c r="AE11" i="56"/>
  <c r="AE10" i="56"/>
  <c r="AE9" i="56"/>
  <c r="AE8" i="56"/>
  <c r="AE7" i="56"/>
  <c r="Z8" i="56"/>
  <c r="Z9" i="56"/>
  <c r="Z10" i="56"/>
  <c r="Z11" i="56"/>
  <c r="Z12" i="56"/>
  <c r="Z7" i="56"/>
  <c r="I157" i="15"/>
  <c r="I156" i="15"/>
  <c r="I155" i="15"/>
  <c r="I154" i="15"/>
  <c r="I153" i="15"/>
  <c r="I152" i="15"/>
  <c r="I150" i="15"/>
  <c r="I149" i="15"/>
  <c r="I148" i="15"/>
  <c r="I147" i="15"/>
  <c r="I146" i="15"/>
  <c r="I145" i="15"/>
  <c r="I144" i="15"/>
  <c r="I143" i="15"/>
  <c r="I141" i="15"/>
  <c r="I140" i="15"/>
  <c r="I139" i="15"/>
  <c r="I138" i="15"/>
  <c r="I137" i="15"/>
  <c r="I136" i="15"/>
  <c r="D16" i="76"/>
  <c r="E16" i="76"/>
  <c r="F16" i="76"/>
  <c r="G16" i="76"/>
  <c r="H16" i="76"/>
  <c r="D17" i="76"/>
  <c r="E17" i="76"/>
  <c r="F17" i="76"/>
  <c r="G17" i="76"/>
  <c r="H17" i="76"/>
  <c r="D18" i="76"/>
  <c r="E18" i="76"/>
  <c r="F18" i="76"/>
  <c r="G18" i="76"/>
  <c r="H18" i="76"/>
  <c r="D19" i="76"/>
  <c r="E19" i="76"/>
  <c r="F19" i="76"/>
  <c r="G19" i="76"/>
  <c r="H19" i="76"/>
  <c r="D20" i="76"/>
  <c r="E20" i="76"/>
  <c r="F20" i="76"/>
  <c r="G20" i="76"/>
  <c r="H20" i="76"/>
  <c r="C20" i="76"/>
  <c r="C19" i="76"/>
  <c r="C18" i="76"/>
  <c r="C17" i="76"/>
  <c r="C16" i="76"/>
  <c r="B86" i="11"/>
  <c r="C87" i="11"/>
  <c r="D87" i="11"/>
  <c r="C88" i="11"/>
  <c r="D88" i="11"/>
  <c r="C89" i="11"/>
  <c r="D89" i="11"/>
  <c r="C90" i="11"/>
  <c r="D90" i="11"/>
  <c r="C91" i="11"/>
  <c r="D91" i="11"/>
  <c r="H133" i="15"/>
  <c r="BF128" i="15"/>
  <c r="L128" i="15"/>
  <c r="U20" i="76"/>
  <c r="T20" i="76"/>
  <c r="S20" i="76"/>
  <c r="R20" i="76"/>
  <c r="Q20" i="76"/>
  <c r="P20" i="76"/>
  <c r="O20" i="76"/>
  <c r="N20" i="76"/>
  <c r="M20" i="76"/>
  <c r="L20" i="76"/>
  <c r="K20" i="76"/>
  <c r="U19" i="76"/>
  <c r="T19" i="76"/>
  <c r="S19" i="76"/>
  <c r="R19" i="76"/>
  <c r="Q19" i="76"/>
  <c r="P19" i="76"/>
  <c r="O19" i="76"/>
  <c r="N19" i="76"/>
  <c r="M19" i="76"/>
  <c r="L19" i="76"/>
  <c r="K19" i="76"/>
  <c r="H132" i="15"/>
  <c r="U18" i="76"/>
  <c r="T18" i="76"/>
  <c r="S18" i="76"/>
  <c r="R18" i="76"/>
  <c r="Q18" i="76"/>
  <c r="P18" i="76"/>
  <c r="O18" i="76"/>
  <c r="N18" i="76"/>
  <c r="M18" i="76"/>
  <c r="L18" i="76"/>
  <c r="K18" i="76"/>
  <c r="H131" i="15"/>
  <c r="U17" i="76"/>
  <c r="T17" i="76"/>
  <c r="S17" i="76"/>
  <c r="R17" i="76"/>
  <c r="Q17" i="76"/>
  <c r="P17" i="76"/>
  <c r="O17" i="76"/>
  <c r="N17" i="76"/>
  <c r="M17" i="76"/>
  <c r="L17" i="76"/>
  <c r="K17" i="76"/>
  <c r="H130" i="15"/>
  <c r="U16" i="76"/>
  <c r="T16" i="76"/>
  <c r="S16" i="76"/>
  <c r="R16" i="76"/>
  <c r="Q16" i="76"/>
  <c r="P16" i="76"/>
  <c r="O16" i="76"/>
  <c r="N16" i="76"/>
  <c r="M16" i="76"/>
  <c r="L16" i="76"/>
  <c r="K16" i="76"/>
  <c r="H129" i="15"/>
  <c r="D163" i="11"/>
  <c r="D164" i="11"/>
  <c r="D165" i="11"/>
  <c r="C164" i="11"/>
  <c r="C165" i="11"/>
  <c r="C163" i="11"/>
  <c r="B162" i="11"/>
  <c r="D83" i="11"/>
  <c r="D84" i="11"/>
  <c r="D85" i="11"/>
  <c r="C83" i="11"/>
  <c r="C84" i="11"/>
  <c r="C85" i="11"/>
  <c r="B82" i="11"/>
  <c r="I221" i="15"/>
  <c r="I220" i="15"/>
  <c r="I219" i="15"/>
  <c r="BF218" i="15"/>
  <c r="L218" i="15"/>
  <c r="BF124" i="15"/>
  <c r="I126" i="15"/>
  <c r="I127" i="15"/>
  <c r="I125" i="15"/>
  <c r="L124" i="15"/>
  <c r="O111" i="15" l="1"/>
  <c r="N111" i="15"/>
  <c r="M111" i="15"/>
  <c r="L111" i="15"/>
  <c r="K111" i="15"/>
  <c r="O114" i="15"/>
  <c r="N114" i="15"/>
  <c r="M114" i="15"/>
  <c r="L114" i="15"/>
  <c r="K114" i="15"/>
  <c r="O108" i="15"/>
  <c r="N108" i="15"/>
  <c r="M108" i="15"/>
  <c r="L108" i="15"/>
  <c r="K108" i="15"/>
  <c r="O105" i="15"/>
  <c r="N105" i="15"/>
  <c r="M105" i="15"/>
  <c r="L105" i="15"/>
  <c r="K105" i="15"/>
  <c r="O102" i="15"/>
  <c r="N102" i="15"/>
  <c r="M102" i="15"/>
  <c r="L102" i="15"/>
  <c r="K102" i="15"/>
  <c r="O99" i="15"/>
  <c r="N99" i="15"/>
  <c r="M99" i="15"/>
  <c r="L99" i="15"/>
  <c r="K99" i="15"/>
  <c r="O96" i="15"/>
  <c r="N96" i="15"/>
  <c r="M96" i="15"/>
  <c r="L96" i="15"/>
  <c r="K96" i="15"/>
  <c r="O93" i="15"/>
  <c r="N93" i="15"/>
  <c r="M93" i="15"/>
  <c r="L93" i="15"/>
  <c r="K93" i="15"/>
  <c r="O55" i="15"/>
  <c r="N55" i="15"/>
  <c r="M55" i="15"/>
  <c r="L55" i="15"/>
  <c r="K55" i="15"/>
  <c r="O52" i="15"/>
  <c r="N52" i="15"/>
  <c r="M52" i="15"/>
  <c r="L52" i="15"/>
  <c r="K52" i="15"/>
  <c r="O49" i="15"/>
  <c r="N49" i="15"/>
  <c r="M49" i="15"/>
  <c r="L49" i="15"/>
  <c r="K49" i="15"/>
  <c r="O46" i="15"/>
  <c r="N46" i="15"/>
  <c r="M46" i="15"/>
  <c r="L46" i="15"/>
  <c r="K46" i="15"/>
  <c r="O43" i="15"/>
  <c r="N43" i="15"/>
  <c r="M43" i="15"/>
  <c r="L43" i="15"/>
  <c r="K43" i="15"/>
  <c r="O40" i="15"/>
  <c r="N40" i="15"/>
  <c r="M40" i="15"/>
  <c r="L40" i="15"/>
  <c r="K40" i="15"/>
  <c r="O37" i="15"/>
  <c r="N37" i="15"/>
  <c r="M37" i="15"/>
  <c r="L37" i="15"/>
  <c r="K37" i="15"/>
  <c r="O34" i="15"/>
  <c r="N34" i="15"/>
  <c r="M34" i="15"/>
  <c r="L34" i="15"/>
  <c r="K34" i="15"/>
  <c r="O31" i="15"/>
  <c r="N31" i="15"/>
  <c r="M31" i="15"/>
  <c r="L31" i="15"/>
  <c r="K31" i="15"/>
  <c r="O28" i="15"/>
  <c r="N28" i="15"/>
  <c r="M28" i="15"/>
  <c r="L28" i="15"/>
  <c r="K28" i="15"/>
  <c r="O25" i="15"/>
  <c r="N25" i="15"/>
  <c r="M25" i="15"/>
  <c r="L25" i="15"/>
  <c r="K25" i="15"/>
  <c r="O22" i="15"/>
  <c r="N22" i="15"/>
  <c r="M22" i="15"/>
  <c r="L22" i="15"/>
  <c r="K22" i="15"/>
  <c r="L19" i="15"/>
  <c r="M19" i="15"/>
  <c r="N19" i="15"/>
  <c r="O19" i="15"/>
  <c r="K19" i="15"/>
  <c r="F28" i="15" l="1"/>
  <c r="G28" i="15"/>
  <c r="H28" i="15"/>
  <c r="A28" i="15"/>
  <c r="C22" i="11" s="1"/>
  <c r="B28" i="15"/>
  <c r="D22" i="11" s="1"/>
  <c r="K11" i="11" l="1"/>
  <c r="K12" i="11"/>
  <c r="K13" i="11"/>
  <c r="K15" i="11"/>
  <c r="K16" i="11"/>
  <c r="K17" i="11"/>
  <c r="K19" i="11"/>
  <c r="K20" i="11"/>
  <c r="K21" i="11"/>
  <c r="K23" i="11"/>
  <c r="K24" i="11"/>
  <c r="K25" i="11"/>
  <c r="K26" i="11"/>
  <c r="K27" i="11"/>
  <c r="K28" i="11"/>
  <c r="K30" i="11"/>
  <c r="K31" i="11"/>
  <c r="K33" i="11"/>
  <c r="K34" i="11"/>
  <c r="K35" i="11"/>
  <c r="K36" i="11"/>
  <c r="K37" i="11"/>
  <c r="K38" i="11"/>
  <c r="K40" i="11"/>
  <c r="K41" i="11"/>
  <c r="K42" i="11"/>
  <c r="K43" i="11"/>
  <c r="K44" i="11"/>
  <c r="K45" i="11"/>
  <c r="K46" i="11"/>
  <c r="K47" i="11"/>
  <c r="K49" i="11"/>
  <c r="K10" i="11"/>
  <c r="A162" i="15" l="1"/>
  <c r="C120" i="11" s="1"/>
  <c r="B162" i="15"/>
  <c r="D120" i="11" s="1"/>
  <c r="F162" i="15"/>
  <c r="G162" i="15"/>
  <c r="H162" i="15"/>
  <c r="I162" i="15"/>
  <c r="A163" i="15"/>
  <c r="C121" i="11" s="1"/>
  <c r="B163" i="15"/>
  <c r="D121" i="11" s="1"/>
  <c r="F163" i="15"/>
  <c r="G163" i="15"/>
  <c r="H163" i="15"/>
  <c r="I163" i="15"/>
  <c r="A164" i="15"/>
  <c r="C122" i="11" s="1"/>
  <c r="B164" i="15"/>
  <c r="D122" i="11" s="1"/>
  <c r="F164" i="15"/>
  <c r="G164" i="15"/>
  <c r="H164" i="15"/>
  <c r="I164" i="15"/>
  <c r="A165" i="15"/>
  <c r="C123" i="11" s="1"/>
  <c r="B165" i="15"/>
  <c r="D123" i="11" s="1"/>
  <c r="F165" i="15"/>
  <c r="G165" i="15"/>
  <c r="H165" i="15"/>
  <c r="I165" i="15"/>
  <c r="A166" i="15"/>
  <c r="C124" i="11" s="1"/>
  <c r="B166" i="15"/>
  <c r="D124" i="11" s="1"/>
  <c r="F166" i="15"/>
  <c r="G166" i="15"/>
  <c r="H166" i="15"/>
  <c r="I166" i="15"/>
  <c r="A167" i="15"/>
  <c r="C125" i="11" s="1"/>
  <c r="B167" i="15"/>
  <c r="D125" i="11" s="1"/>
  <c r="F167" i="15"/>
  <c r="G167" i="15"/>
  <c r="H167" i="15"/>
  <c r="I167" i="15"/>
  <c r="A168" i="15"/>
  <c r="C126" i="11" s="1"/>
  <c r="B168" i="15"/>
  <c r="D126" i="11" s="1"/>
  <c r="F168" i="15"/>
  <c r="G168" i="15"/>
  <c r="H168" i="15"/>
  <c r="I168" i="15"/>
  <c r="A169" i="15"/>
  <c r="C127" i="11" s="1"/>
  <c r="B169" i="15"/>
  <c r="D127" i="11" s="1"/>
  <c r="F169" i="15"/>
  <c r="G169" i="15"/>
  <c r="H169" i="15"/>
  <c r="I169" i="15"/>
  <c r="A170" i="15"/>
  <c r="C128" i="11" s="1"/>
  <c r="B170" i="15"/>
  <c r="D128" i="11" s="1"/>
  <c r="F170" i="15"/>
  <c r="G170" i="15"/>
  <c r="H170" i="15"/>
  <c r="I170" i="15"/>
  <c r="A171" i="15"/>
  <c r="C129" i="11" s="1"/>
  <c r="B171" i="15"/>
  <c r="D129" i="11" s="1"/>
  <c r="F171" i="15"/>
  <c r="G171" i="15"/>
  <c r="H171" i="15"/>
  <c r="I171" i="15"/>
  <c r="A172" i="15"/>
  <c r="C130" i="11" s="1"/>
  <c r="B172" i="15"/>
  <c r="D130" i="11" s="1"/>
  <c r="F172" i="15"/>
  <c r="G172" i="15"/>
  <c r="H172" i="15"/>
  <c r="I172" i="15"/>
  <c r="A173" i="15"/>
  <c r="C131" i="11" s="1"/>
  <c r="B173" i="15"/>
  <c r="D131" i="11" s="1"/>
  <c r="F173" i="15"/>
  <c r="G173" i="15"/>
  <c r="H173" i="15"/>
  <c r="I173" i="15"/>
  <c r="A175" i="15"/>
  <c r="C133" i="11" s="1"/>
  <c r="B175" i="15"/>
  <c r="D133" i="11" s="1"/>
  <c r="F175" i="15"/>
  <c r="G175" i="15"/>
  <c r="H175" i="15"/>
  <c r="I175" i="15"/>
  <c r="A176" i="15"/>
  <c r="C134" i="11" s="1"/>
  <c r="B176" i="15"/>
  <c r="D134" i="11" s="1"/>
  <c r="F176" i="15"/>
  <c r="G176" i="15"/>
  <c r="H176" i="15"/>
  <c r="I176" i="15"/>
  <c r="A177" i="15"/>
  <c r="C135" i="11" s="1"/>
  <c r="B177" i="15"/>
  <c r="D135" i="11" s="1"/>
  <c r="F177" i="15"/>
  <c r="G177" i="15"/>
  <c r="H177" i="15"/>
  <c r="I177" i="15"/>
  <c r="A178" i="15"/>
  <c r="C136" i="11" s="1"/>
  <c r="B178" i="15"/>
  <c r="D136" i="11" s="1"/>
  <c r="F178" i="15"/>
  <c r="G178" i="15"/>
  <c r="H178" i="15"/>
  <c r="I178" i="15"/>
  <c r="A179" i="15"/>
  <c r="C137" i="11" s="1"/>
  <c r="B179" i="15"/>
  <c r="D137" i="11" s="1"/>
  <c r="F179" i="15"/>
  <c r="G179" i="15"/>
  <c r="H179" i="15"/>
  <c r="I179" i="15"/>
  <c r="A181" i="15"/>
  <c r="C139" i="11" s="1"/>
  <c r="B181" i="15"/>
  <c r="D139" i="11" s="1"/>
  <c r="F181" i="15"/>
  <c r="G181" i="15"/>
  <c r="H181" i="15"/>
  <c r="I181" i="15"/>
  <c r="A182" i="15"/>
  <c r="C140" i="11" s="1"/>
  <c r="B182" i="15"/>
  <c r="D140" i="11" s="1"/>
  <c r="F182" i="15"/>
  <c r="G182" i="15"/>
  <c r="H182" i="15"/>
  <c r="I182" i="15"/>
  <c r="A183" i="15"/>
  <c r="C141" i="11" s="1"/>
  <c r="B183" i="15"/>
  <c r="D141" i="11" s="1"/>
  <c r="F183" i="15"/>
  <c r="G183" i="15"/>
  <c r="H183" i="15"/>
  <c r="I183" i="15"/>
  <c r="A184" i="15"/>
  <c r="C142" i="11" s="1"/>
  <c r="B184" i="15"/>
  <c r="D142" i="11" s="1"/>
  <c r="F184" i="15"/>
  <c r="G184" i="15"/>
  <c r="H184" i="15"/>
  <c r="I184" i="15"/>
  <c r="A185" i="15"/>
  <c r="C143" i="11" s="1"/>
  <c r="B185" i="15"/>
  <c r="D143" i="11" s="1"/>
  <c r="F185" i="15"/>
  <c r="G185" i="15"/>
  <c r="H185" i="15"/>
  <c r="I185" i="15"/>
  <c r="A187" i="15"/>
  <c r="C145" i="11" s="1"/>
  <c r="B187" i="15"/>
  <c r="D145" i="11" s="1"/>
  <c r="F187" i="15"/>
  <c r="G187" i="15"/>
  <c r="H187" i="15"/>
  <c r="I187" i="15"/>
  <c r="A188" i="15"/>
  <c r="C146" i="11" s="1"/>
  <c r="B188" i="15"/>
  <c r="D146" i="11" s="1"/>
  <c r="F188" i="15"/>
  <c r="G188" i="15"/>
  <c r="H188" i="15"/>
  <c r="I188" i="15"/>
  <c r="A189" i="15"/>
  <c r="C147" i="11" s="1"/>
  <c r="B189" i="15"/>
  <c r="D147" i="11" s="1"/>
  <c r="F189" i="15"/>
  <c r="G189" i="15"/>
  <c r="H189" i="15"/>
  <c r="I189" i="15"/>
  <c r="A190" i="15"/>
  <c r="C148" i="11" s="1"/>
  <c r="B190" i="15"/>
  <c r="D148" i="11" s="1"/>
  <c r="F190" i="15"/>
  <c r="G190" i="15"/>
  <c r="H190" i="15"/>
  <c r="I190" i="15"/>
  <c r="A191" i="15"/>
  <c r="C149" i="11" s="1"/>
  <c r="B191" i="15"/>
  <c r="D149" i="11" s="1"/>
  <c r="F191" i="15"/>
  <c r="G191" i="15"/>
  <c r="H191" i="15"/>
  <c r="I191" i="15"/>
  <c r="A192" i="15"/>
  <c r="C150" i="11" s="1"/>
  <c r="B192" i="15"/>
  <c r="D150" i="11" s="1"/>
  <c r="F192" i="15"/>
  <c r="G192" i="15"/>
  <c r="H192" i="15"/>
  <c r="I192" i="15"/>
  <c r="A193" i="15"/>
  <c r="C151" i="11" s="1"/>
  <c r="B193" i="15"/>
  <c r="D151" i="11" s="1"/>
  <c r="F193" i="15"/>
  <c r="G193" i="15"/>
  <c r="H193" i="15"/>
  <c r="I193" i="15"/>
  <c r="A194" i="15"/>
  <c r="C152" i="11" s="1"/>
  <c r="B194" i="15"/>
  <c r="D152" i="11" s="1"/>
  <c r="F194" i="15"/>
  <c r="G194" i="15"/>
  <c r="H194" i="15"/>
  <c r="I194" i="15"/>
  <c r="A195" i="15"/>
  <c r="C153" i="11" s="1"/>
  <c r="B195" i="15"/>
  <c r="D153" i="11" s="1"/>
  <c r="F195" i="15"/>
  <c r="G195" i="15"/>
  <c r="H195" i="15"/>
  <c r="I195" i="15"/>
  <c r="A197" i="15"/>
  <c r="C155" i="11" s="1"/>
  <c r="B197" i="15"/>
  <c r="D155" i="11" s="1"/>
  <c r="F197" i="15"/>
  <c r="G197" i="15"/>
  <c r="H197" i="15"/>
  <c r="A200" i="15"/>
  <c r="C156" i="11" s="1"/>
  <c r="B200" i="15"/>
  <c r="D156" i="11" s="1"/>
  <c r="F200" i="15"/>
  <c r="G200" i="15"/>
  <c r="H200" i="15"/>
  <c r="A203" i="15"/>
  <c r="C157" i="11" s="1"/>
  <c r="B203" i="15"/>
  <c r="D157" i="11" s="1"/>
  <c r="F203" i="15"/>
  <c r="G203" i="15"/>
  <c r="H203" i="15"/>
  <c r="A206" i="15"/>
  <c r="C158" i="11" s="1"/>
  <c r="B206" i="15"/>
  <c r="D158" i="11" s="1"/>
  <c r="F206" i="15"/>
  <c r="G206" i="15"/>
  <c r="H206" i="15"/>
  <c r="A209" i="15"/>
  <c r="C159" i="11" s="1"/>
  <c r="B209" i="15"/>
  <c r="D159" i="11" s="1"/>
  <c r="F209" i="15"/>
  <c r="G209" i="15"/>
  <c r="H209" i="15"/>
  <c r="A212" i="15"/>
  <c r="C160" i="11" s="1"/>
  <c r="B212" i="15"/>
  <c r="D160" i="11" s="1"/>
  <c r="F212" i="15"/>
  <c r="G212" i="15"/>
  <c r="H212" i="15"/>
  <c r="A215" i="15"/>
  <c r="C161" i="11" s="1"/>
  <c r="B215" i="15"/>
  <c r="D161" i="11" s="1"/>
  <c r="F215" i="15"/>
  <c r="G215" i="15"/>
  <c r="H215" i="15"/>
  <c r="P87" i="72" l="1"/>
  <c r="A11" i="15"/>
  <c r="C11" i="11" s="1"/>
  <c r="B11" i="15"/>
  <c r="D11" i="11" s="1"/>
  <c r="F11" i="15"/>
  <c r="G11" i="15"/>
  <c r="H11" i="15"/>
  <c r="I11" i="15"/>
  <c r="A12" i="15"/>
  <c r="C12" i="11" s="1"/>
  <c r="B12" i="15"/>
  <c r="D12" i="11" s="1"/>
  <c r="F12" i="15"/>
  <c r="G12" i="15"/>
  <c r="H12" i="15"/>
  <c r="I12" i="15"/>
  <c r="A13" i="15"/>
  <c r="C13" i="11" s="1"/>
  <c r="B13" i="15"/>
  <c r="D13" i="11" s="1"/>
  <c r="F13" i="15"/>
  <c r="G13" i="15"/>
  <c r="H13" i="15"/>
  <c r="I13" i="15"/>
  <c r="A15" i="15"/>
  <c r="C15" i="11" s="1"/>
  <c r="B15" i="15"/>
  <c r="D15" i="11" s="1"/>
  <c r="F15" i="15"/>
  <c r="G15" i="15"/>
  <c r="H15" i="15"/>
  <c r="I15" i="15"/>
  <c r="A16" i="15"/>
  <c r="C16" i="11" s="1"/>
  <c r="B16" i="15"/>
  <c r="D16" i="11" s="1"/>
  <c r="F16" i="15"/>
  <c r="G16" i="15"/>
  <c r="H16" i="15"/>
  <c r="I16" i="15"/>
  <c r="A17" i="15"/>
  <c r="C17" i="11" s="1"/>
  <c r="B17" i="15"/>
  <c r="D17" i="11" s="1"/>
  <c r="F17" i="15"/>
  <c r="G17" i="15"/>
  <c r="H17" i="15"/>
  <c r="I17" i="15"/>
  <c r="A19" i="15"/>
  <c r="C19" i="11" s="1"/>
  <c r="B19" i="15"/>
  <c r="D19" i="11" s="1"/>
  <c r="F19" i="15"/>
  <c r="G19" i="15"/>
  <c r="H19" i="15"/>
  <c r="A22" i="15"/>
  <c r="C20" i="11" s="1"/>
  <c r="B22" i="15"/>
  <c r="D20" i="11" s="1"/>
  <c r="F22" i="15"/>
  <c r="G22" i="15"/>
  <c r="H22" i="15"/>
  <c r="A25" i="15"/>
  <c r="C21" i="11" s="1"/>
  <c r="B25" i="15"/>
  <c r="D21" i="11" s="1"/>
  <c r="F25" i="15"/>
  <c r="G25" i="15"/>
  <c r="H25" i="15"/>
  <c r="A31" i="15"/>
  <c r="C23" i="11" s="1"/>
  <c r="B31" i="15"/>
  <c r="D23" i="11" s="1"/>
  <c r="F31" i="15"/>
  <c r="G31" i="15"/>
  <c r="H31" i="15"/>
  <c r="A34" i="15"/>
  <c r="C24" i="11" s="1"/>
  <c r="B34" i="15"/>
  <c r="D24" i="11" s="1"/>
  <c r="F34" i="15"/>
  <c r="G34" i="15"/>
  <c r="H34" i="15"/>
  <c r="A37" i="15"/>
  <c r="C25" i="11" s="1"/>
  <c r="B37" i="15"/>
  <c r="D25" i="11" s="1"/>
  <c r="F37" i="15"/>
  <c r="G37" i="15"/>
  <c r="H37" i="15"/>
  <c r="A40" i="15"/>
  <c r="C26" i="11" s="1"/>
  <c r="B40" i="15"/>
  <c r="D26" i="11" s="1"/>
  <c r="F40" i="15"/>
  <c r="G40" i="15"/>
  <c r="H40" i="15"/>
  <c r="A43" i="15"/>
  <c r="C27" i="11" s="1"/>
  <c r="B43" i="15"/>
  <c r="D27" i="11" s="1"/>
  <c r="F43" i="15"/>
  <c r="G43" i="15"/>
  <c r="H43" i="15"/>
  <c r="A46" i="15"/>
  <c r="C28" i="11" s="1"/>
  <c r="B46" i="15"/>
  <c r="D28" i="11" s="1"/>
  <c r="F46" i="15"/>
  <c r="G46" i="15"/>
  <c r="H46" i="15"/>
  <c r="A49" i="15"/>
  <c r="C29" i="11" s="1"/>
  <c r="B49" i="15"/>
  <c r="D29" i="11" s="1"/>
  <c r="F49" i="15"/>
  <c r="G49" i="15"/>
  <c r="H49" i="15"/>
  <c r="A52" i="15"/>
  <c r="C30" i="11" s="1"/>
  <c r="B52" i="15"/>
  <c r="D30" i="11" s="1"/>
  <c r="F52" i="15"/>
  <c r="G52" i="15"/>
  <c r="H52" i="15"/>
  <c r="A55" i="15"/>
  <c r="C31" i="11" s="1"/>
  <c r="B55" i="15"/>
  <c r="D31" i="11" s="1"/>
  <c r="F55" i="15"/>
  <c r="G55" i="15"/>
  <c r="H55" i="15"/>
  <c r="A59" i="15"/>
  <c r="C33" i="11" s="1"/>
  <c r="B59" i="15"/>
  <c r="D33" i="11" s="1"/>
  <c r="F59" i="15"/>
  <c r="G59" i="15"/>
  <c r="H59" i="15"/>
  <c r="I59" i="15"/>
  <c r="A60" i="15"/>
  <c r="C34" i="11" s="1"/>
  <c r="B60" i="15"/>
  <c r="D34" i="11" s="1"/>
  <c r="F60" i="15"/>
  <c r="G60" i="15"/>
  <c r="H60" i="15"/>
  <c r="I60" i="15"/>
  <c r="A61" i="15"/>
  <c r="C35" i="11" s="1"/>
  <c r="B61" i="15"/>
  <c r="D35" i="11" s="1"/>
  <c r="F61" i="15"/>
  <c r="G61" i="15"/>
  <c r="H61" i="15"/>
  <c r="I61" i="15"/>
  <c r="A62" i="15"/>
  <c r="C36" i="11" s="1"/>
  <c r="B62" i="15"/>
  <c r="D36" i="11" s="1"/>
  <c r="F62" i="15"/>
  <c r="G62" i="15"/>
  <c r="H62" i="15"/>
  <c r="I62" i="15"/>
  <c r="A63" i="15"/>
  <c r="C37" i="11" s="1"/>
  <c r="B63" i="15"/>
  <c r="D37" i="11" s="1"/>
  <c r="F63" i="15"/>
  <c r="G63" i="15"/>
  <c r="H63" i="15"/>
  <c r="I63" i="15"/>
  <c r="A64" i="15"/>
  <c r="C38" i="11" s="1"/>
  <c r="B64" i="15"/>
  <c r="D38" i="11" s="1"/>
  <c r="F64" i="15"/>
  <c r="G64" i="15"/>
  <c r="H64" i="15"/>
  <c r="I64" i="15"/>
  <c r="A66" i="15"/>
  <c r="C40" i="11" s="1"/>
  <c r="B66" i="15"/>
  <c r="D40" i="11" s="1"/>
  <c r="F66" i="15"/>
  <c r="G66" i="15"/>
  <c r="H66" i="15"/>
  <c r="I66" i="15"/>
  <c r="A67" i="15"/>
  <c r="C41" i="11" s="1"/>
  <c r="B67" i="15"/>
  <c r="D41" i="11" s="1"/>
  <c r="F67" i="15"/>
  <c r="G67" i="15"/>
  <c r="H67" i="15"/>
  <c r="I67" i="15"/>
  <c r="A68" i="15"/>
  <c r="C42" i="11" s="1"/>
  <c r="B68" i="15"/>
  <c r="D42" i="11" s="1"/>
  <c r="F68" i="15"/>
  <c r="G68" i="15"/>
  <c r="H68" i="15"/>
  <c r="I68" i="15"/>
  <c r="A69" i="15"/>
  <c r="C43" i="11" s="1"/>
  <c r="B69" i="15"/>
  <c r="D43" i="11" s="1"/>
  <c r="F69" i="15"/>
  <c r="G69" i="15"/>
  <c r="H69" i="15"/>
  <c r="I69" i="15"/>
  <c r="A70" i="15"/>
  <c r="C44" i="11" s="1"/>
  <c r="B70" i="15"/>
  <c r="D44" i="11" s="1"/>
  <c r="F70" i="15"/>
  <c r="G70" i="15"/>
  <c r="H70" i="15"/>
  <c r="I70" i="15"/>
  <c r="A71" i="15"/>
  <c r="C45" i="11" s="1"/>
  <c r="B71" i="15"/>
  <c r="D45" i="11" s="1"/>
  <c r="F71" i="15"/>
  <c r="G71" i="15"/>
  <c r="H71" i="15"/>
  <c r="I71" i="15"/>
  <c r="A72" i="15"/>
  <c r="C46" i="11" s="1"/>
  <c r="B72" i="15"/>
  <c r="D46" i="11" s="1"/>
  <c r="F72" i="15"/>
  <c r="G72" i="15"/>
  <c r="H72" i="15"/>
  <c r="I72" i="15"/>
  <c r="A73" i="15"/>
  <c r="C47" i="11" s="1"/>
  <c r="B73" i="15"/>
  <c r="D47" i="11" s="1"/>
  <c r="F73" i="15"/>
  <c r="G73" i="15"/>
  <c r="H73" i="15"/>
  <c r="I73" i="15"/>
  <c r="A74" i="15"/>
  <c r="BF74" i="15" s="1"/>
  <c r="A75" i="15"/>
  <c r="C49" i="11" s="1"/>
  <c r="B75" i="15"/>
  <c r="D49" i="11" s="1"/>
  <c r="F75" i="15"/>
  <c r="G75" i="15"/>
  <c r="H75" i="15"/>
  <c r="I75" i="15"/>
  <c r="A76" i="15"/>
  <c r="C50" i="11" s="1"/>
  <c r="B76" i="15"/>
  <c r="D50" i="11" s="1"/>
  <c r="F76" i="15"/>
  <c r="G76" i="15"/>
  <c r="H76" i="15"/>
  <c r="I76" i="15"/>
  <c r="A77" i="15"/>
  <c r="C51" i="11" s="1"/>
  <c r="B77" i="15"/>
  <c r="D51" i="11" s="1"/>
  <c r="F77" i="15"/>
  <c r="G77" i="15"/>
  <c r="H77" i="15"/>
  <c r="I77" i="15"/>
  <c r="A78" i="15"/>
  <c r="C52" i="11" s="1"/>
  <c r="B78" i="15"/>
  <c r="D52" i="11" s="1"/>
  <c r="F78" i="15"/>
  <c r="G78" i="15"/>
  <c r="H78" i="15"/>
  <c r="I78" i="15"/>
  <c r="A79" i="15"/>
  <c r="C53" i="11" s="1"/>
  <c r="B79" i="15"/>
  <c r="D53" i="11" s="1"/>
  <c r="F79" i="15"/>
  <c r="G79" i="15"/>
  <c r="H79" i="15"/>
  <c r="I79" i="15"/>
  <c r="A80" i="15"/>
  <c r="C54" i="11" s="1"/>
  <c r="B80" i="15"/>
  <c r="D54" i="11" s="1"/>
  <c r="F80" i="15"/>
  <c r="G80" i="15"/>
  <c r="H80" i="15"/>
  <c r="I80" i="15"/>
  <c r="A81" i="15"/>
  <c r="C55" i="11" s="1"/>
  <c r="B81" i="15"/>
  <c r="D55" i="11" s="1"/>
  <c r="F81" i="15"/>
  <c r="G81" i="15"/>
  <c r="H81" i="15"/>
  <c r="I81" i="15"/>
  <c r="A82" i="15"/>
  <c r="C56" i="11" s="1"/>
  <c r="B82" i="15"/>
  <c r="D56" i="11" s="1"/>
  <c r="F82" i="15"/>
  <c r="G82" i="15"/>
  <c r="H82" i="15"/>
  <c r="I82" i="15"/>
  <c r="A83" i="15"/>
  <c r="BF83" i="15" s="1"/>
  <c r="A84" i="15"/>
  <c r="C58" i="11" s="1"/>
  <c r="B84" i="15"/>
  <c r="D58" i="11" s="1"/>
  <c r="F84" i="15"/>
  <c r="G84" i="15"/>
  <c r="H84" i="15"/>
  <c r="I84" i="15"/>
  <c r="A85" i="15"/>
  <c r="C59" i="11" s="1"/>
  <c r="B85" i="15"/>
  <c r="D59" i="11" s="1"/>
  <c r="F85" i="15"/>
  <c r="G85" i="15"/>
  <c r="H85" i="15"/>
  <c r="I85" i="15"/>
  <c r="A86" i="15"/>
  <c r="C60" i="11" s="1"/>
  <c r="B86" i="15"/>
  <c r="D60" i="11" s="1"/>
  <c r="F86" i="15"/>
  <c r="G86" i="15"/>
  <c r="H86" i="15"/>
  <c r="I86" i="15"/>
  <c r="A87" i="15"/>
  <c r="C61" i="11" s="1"/>
  <c r="B87" i="15"/>
  <c r="D61" i="11" s="1"/>
  <c r="F87" i="15"/>
  <c r="G87" i="15"/>
  <c r="H87" i="15"/>
  <c r="I87" i="15"/>
  <c r="A88" i="15"/>
  <c r="C62" i="11" s="1"/>
  <c r="B88" i="15"/>
  <c r="D62" i="11" s="1"/>
  <c r="F88" i="15"/>
  <c r="G88" i="15"/>
  <c r="H88" i="15"/>
  <c r="I88" i="15"/>
  <c r="A89" i="15"/>
  <c r="C63" i="11" s="1"/>
  <c r="B89" i="15"/>
  <c r="D63" i="11" s="1"/>
  <c r="F89" i="15"/>
  <c r="G89" i="15"/>
  <c r="H89" i="15"/>
  <c r="I89" i="15"/>
  <c r="A90" i="15"/>
  <c r="C64" i="11" s="1"/>
  <c r="B90" i="15"/>
  <c r="D64" i="11" s="1"/>
  <c r="F90" i="15"/>
  <c r="G90" i="15"/>
  <c r="H90" i="15"/>
  <c r="I90" i="15"/>
  <c r="A91" i="15"/>
  <c r="C65" i="11" s="1"/>
  <c r="B91" i="15"/>
  <c r="D65" i="11" s="1"/>
  <c r="F91" i="15"/>
  <c r="G91" i="15"/>
  <c r="H91" i="15"/>
  <c r="I91" i="15"/>
  <c r="A93" i="15"/>
  <c r="C67" i="11" s="1"/>
  <c r="B93" i="15"/>
  <c r="D67" i="11" s="1"/>
  <c r="F93" i="15"/>
  <c r="G93" i="15"/>
  <c r="H93" i="15"/>
  <c r="A96" i="15"/>
  <c r="C68" i="11" s="1"/>
  <c r="B96" i="15"/>
  <c r="D68" i="11" s="1"/>
  <c r="F96" i="15"/>
  <c r="G96" i="15"/>
  <c r="H96" i="15"/>
  <c r="A99" i="15"/>
  <c r="C69" i="11" s="1"/>
  <c r="B99" i="15"/>
  <c r="D69" i="11" s="1"/>
  <c r="F99" i="15"/>
  <c r="G99" i="15"/>
  <c r="H99" i="15"/>
  <c r="A102" i="15"/>
  <c r="C70" i="11" s="1"/>
  <c r="B102" i="15"/>
  <c r="D70" i="11" s="1"/>
  <c r="F102" i="15"/>
  <c r="G102" i="15"/>
  <c r="H102" i="15"/>
  <c r="A105" i="15"/>
  <c r="C71" i="11" s="1"/>
  <c r="B105" i="15"/>
  <c r="D71" i="11" s="1"/>
  <c r="F105" i="15"/>
  <c r="G105" i="15"/>
  <c r="H105" i="15"/>
  <c r="A108" i="15"/>
  <c r="C72" i="11" s="1"/>
  <c r="B108" i="15"/>
  <c r="D72" i="11" s="1"/>
  <c r="F108" i="15"/>
  <c r="G108" i="15"/>
  <c r="H108" i="15"/>
  <c r="A111" i="15"/>
  <c r="C73" i="11" s="1"/>
  <c r="B111" i="15"/>
  <c r="D73" i="11" s="1"/>
  <c r="F111" i="15"/>
  <c r="G111" i="15"/>
  <c r="H111" i="15"/>
  <c r="A114" i="15"/>
  <c r="C74" i="11" s="1"/>
  <c r="B114" i="15"/>
  <c r="D74" i="11" s="1"/>
  <c r="F114" i="15"/>
  <c r="G114" i="15"/>
  <c r="H114" i="15"/>
  <c r="A118" i="15"/>
  <c r="C76" i="11" s="1"/>
  <c r="B118" i="15"/>
  <c r="D76" i="11" s="1"/>
  <c r="F118" i="15"/>
  <c r="G118" i="15"/>
  <c r="H118" i="15"/>
  <c r="I118" i="15"/>
  <c r="A119" i="15"/>
  <c r="C77" i="11" s="1"/>
  <c r="B119" i="15"/>
  <c r="D77" i="11" s="1"/>
  <c r="F119" i="15"/>
  <c r="G119" i="15"/>
  <c r="H119" i="15"/>
  <c r="I119" i="15"/>
  <c r="A120" i="15"/>
  <c r="C78" i="11" s="1"/>
  <c r="B120" i="15"/>
  <c r="D78" i="11" s="1"/>
  <c r="F120" i="15"/>
  <c r="G120" i="15"/>
  <c r="H120" i="15"/>
  <c r="I120" i="15"/>
  <c r="A121" i="15"/>
  <c r="C79" i="11" s="1"/>
  <c r="B121" i="15"/>
  <c r="D79" i="11" s="1"/>
  <c r="F121" i="15"/>
  <c r="G121" i="15"/>
  <c r="H121" i="15"/>
  <c r="I121" i="15"/>
  <c r="A122" i="15"/>
  <c r="C80" i="11" s="1"/>
  <c r="B122" i="15"/>
  <c r="D80" i="11" s="1"/>
  <c r="F122" i="15"/>
  <c r="G122" i="15"/>
  <c r="H122" i="15"/>
  <c r="I122" i="15"/>
  <c r="A123" i="15"/>
  <c r="C81" i="11" s="1"/>
  <c r="B123" i="15"/>
  <c r="D81" i="11" s="1"/>
  <c r="F123" i="15"/>
  <c r="G123" i="15"/>
  <c r="H123" i="15"/>
  <c r="I123" i="15"/>
  <c r="A135" i="15"/>
  <c r="BF135" i="15" s="1"/>
  <c r="A136" i="15"/>
  <c r="C94" i="11" s="1"/>
  <c r="B136" i="15"/>
  <c r="D94" i="11" s="1"/>
  <c r="F136" i="15"/>
  <c r="G136" i="15"/>
  <c r="H136" i="15"/>
  <c r="A137" i="15"/>
  <c r="C95" i="11" s="1"/>
  <c r="B137" i="15"/>
  <c r="D95" i="11" s="1"/>
  <c r="F137" i="15"/>
  <c r="G137" i="15"/>
  <c r="H137" i="15"/>
  <c r="A138" i="15"/>
  <c r="C96" i="11" s="1"/>
  <c r="B138" i="15"/>
  <c r="D96" i="11" s="1"/>
  <c r="F138" i="15"/>
  <c r="G138" i="15"/>
  <c r="H138" i="15"/>
  <c r="B157" i="75"/>
  <c r="A196" i="15" s="1"/>
  <c r="BF196" i="15" s="1"/>
  <c r="B147" i="75"/>
  <c r="A186" i="15" s="1"/>
  <c r="BF186" i="15" s="1"/>
  <c r="B141" i="75"/>
  <c r="A180" i="15" s="1"/>
  <c r="BF180" i="15" s="1"/>
  <c r="B135" i="75"/>
  <c r="A174" i="15" s="1"/>
  <c r="BF174" i="15" s="1"/>
  <c r="B121" i="75"/>
  <c r="A160" i="15" s="1"/>
  <c r="BF160" i="15" s="1"/>
  <c r="B120" i="75"/>
  <c r="A159" i="15" s="1"/>
  <c r="BF159" i="15" s="1"/>
  <c r="B119" i="75"/>
  <c r="A158" i="15" s="1"/>
  <c r="B118" i="75"/>
  <c r="B104" i="75"/>
  <c r="B97" i="75"/>
  <c r="A151" i="15" s="1"/>
  <c r="BF151" i="15" s="1"/>
  <c r="B88" i="75"/>
  <c r="A142" i="15" s="1"/>
  <c r="BF142" i="15" s="1"/>
  <c r="B81" i="75"/>
  <c r="B80" i="75"/>
  <c r="A134" i="15" s="1"/>
  <c r="BF134" i="15" s="1"/>
  <c r="B73" i="75"/>
  <c r="A117" i="15" s="1"/>
  <c r="BF117" i="15" s="1"/>
  <c r="B64" i="75"/>
  <c r="A92" i="15" s="1"/>
  <c r="BF92" i="15" s="1"/>
  <c r="B55" i="75"/>
  <c r="B46" i="75"/>
  <c r="B37" i="75"/>
  <c r="A65" i="15" s="1"/>
  <c r="BF65" i="15" s="1"/>
  <c r="B30" i="75"/>
  <c r="A58" i="15" s="1"/>
  <c r="BF58" i="15" s="1"/>
  <c r="B16" i="75"/>
  <c r="A18" i="15" s="1"/>
  <c r="BF18" i="15" s="1"/>
  <c r="B12" i="75"/>
  <c r="A14" i="15" s="1"/>
  <c r="BF14" i="15" s="1"/>
  <c r="B7" i="75"/>
  <c r="A139" i="15"/>
  <c r="C97" i="11" s="1"/>
  <c r="B139" i="15"/>
  <c r="D97" i="11" s="1"/>
  <c r="F139" i="15"/>
  <c r="G139" i="15"/>
  <c r="H139" i="15"/>
  <c r="A140" i="15"/>
  <c r="C98" i="11" s="1"/>
  <c r="B140" i="15"/>
  <c r="D98" i="11" s="1"/>
  <c r="F140" i="15"/>
  <c r="G140" i="15"/>
  <c r="H140" i="15"/>
  <c r="A141" i="15"/>
  <c r="C99" i="11" s="1"/>
  <c r="B141" i="15"/>
  <c r="D99" i="11" s="1"/>
  <c r="F141" i="15"/>
  <c r="G141" i="15"/>
  <c r="H141" i="15"/>
  <c r="A143" i="15"/>
  <c r="C101" i="11" s="1"/>
  <c r="B143" i="15"/>
  <c r="D101" i="11" s="1"/>
  <c r="F143" i="15"/>
  <c r="G143" i="15"/>
  <c r="H143" i="15"/>
  <c r="A144" i="15"/>
  <c r="C102" i="11" s="1"/>
  <c r="B144" i="15"/>
  <c r="D102" i="11" s="1"/>
  <c r="F144" i="15"/>
  <c r="G144" i="15"/>
  <c r="H144" i="15"/>
  <c r="A145" i="15"/>
  <c r="C103" i="11" s="1"/>
  <c r="B145" i="15"/>
  <c r="D103" i="11" s="1"/>
  <c r="F145" i="15"/>
  <c r="G145" i="15"/>
  <c r="H145" i="15"/>
  <c r="A146" i="15"/>
  <c r="C104" i="11" s="1"/>
  <c r="B146" i="15"/>
  <c r="D104" i="11" s="1"/>
  <c r="F146" i="15"/>
  <c r="G146" i="15"/>
  <c r="H146" i="15"/>
  <c r="A147" i="15"/>
  <c r="C105" i="11" s="1"/>
  <c r="B147" i="15"/>
  <c r="D105" i="11" s="1"/>
  <c r="F147" i="15"/>
  <c r="G147" i="15"/>
  <c r="H147" i="15"/>
  <c r="A148" i="15"/>
  <c r="C106" i="11" s="1"/>
  <c r="B148" i="15"/>
  <c r="D106" i="11" s="1"/>
  <c r="F148" i="15"/>
  <c r="G148" i="15"/>
  <c r="H148" i="15"/>
  <c r="A149" i="15"/>
  <c r="C107" i="11" s="1"/>
  <c r="B149" i="15"/>
  <c r="D107" i="11" s="1"/>
  <c r="F149" i="15"/>
  <c r="G149" i="15"/>
  <c r="H149" i="15"/>
  <c r="A150" i="15"/>
  <c r="C108" i="11" s="1"/>
  <c r="B150" i="15"/>
  <c r="D108" i="11" s="1"/>
  <c r="F150" i="15"/>
  <c r="G150" i="15"/>
  <c r="H150" i="15"/>
  <c r="A152" i="15"/>
  <c r="C110" i="11" s="1"/>
  <c r="B152" i="15"/>
  <c r="D110" i="11" s="1"/>
  <c r="F152" i="15"/>
  <c r="G152" i="15"/>
  <c r="H152" i="15"/>
  <c r="A153" i="15"/>
  <c r="C111" i="11" s="1"/>
  <c r="B153" i="15"/>
  <c r="D111" i="11" s="1"/>
  <c r="F153" i="15"/>
  <c r="G153" i="15"/>
  <c r="H153" i="15"/>
  <c r="A154" i="15"/>
  <c r="C112" i="11" s="1"/>
  <c r="B154" i="15"/>
  <c r="D112" i="11" s="1"/>
  <c r="F154" i="15"/>
  <c r="G154" i="15"/>
  <c r="H154" i="15"/>
  <c r="A155" i="15"/>
  <c r="C113" i="11" s="1"/>
  <c r="B155" i="15"/>
  <c r="D113" i="11" s="1"/>
  <c r="F155" i="15"/>
  <c r="G155" i="15"/>
  <c r="H155" i="15"/>
  <c r="A156" i="15"/>
  <c r="C114" i="11" s="1"/>
  <c r="B156" i="15"/>
  <c r="D114" i="11" s="1"/>
  <c r="F156" i="15"/>
  <c r="G156" i="15"/>
  <c r="H156" i="15"/>
  <c r="A157" i="15"/>
  <c r="C115" i="11" s="1"/>
  <c r="B157" i="15"/>
  <c r="D115" i="11" s="1"/>
  <c r="F157" i="15"/>
  <c r="G157" i="15"/>
  <c r="H157" i="15"/>
  <c r="A161" i="15"/>
  <c r="C119" i="11" s="1"/>
  <c r="B161" i="15"/>
  <c r="D119" i="11" s="1"/>
  <c r="F161" i="15"/>
  <c r="G161" i="15"/>
  <c r="H161" i="15"/>
  <c r="I161" i="15"/>
  <c r="B10" i="15"/>
  <c r="D10" i="11" s="1"/>
  <c r="A10" i="15"/>
  <c r="C10" i="11" s="1"/>
  <c r="I10" i="15"/>
  <c r="H10" i="15"/>
  <c r="G10" i="15"/>
  <c r="F10" i="15"/>
  <c r="D267" i="11" l="1"/>
  <c r="B8" i="56"/>
  <c r="B9" i="56"/>
  <c r="B10" i="56"/>
  <c r="B11" i="56"/>
  <c r="B12" i="56"/>
  <c r="B7" i="56"/>
  <c r="C267" i="11" s="1"/>
  <c r="K250" i="11" l="1"/>
  <c r="K246" i="11"/>
  <c r="K166" i="11"/>
  <c r="K167" i="11"/>
  <c r="C167" i="11"/>
  <c r="D167" i="11"/>
  <c r="K168" i="11"/>
  <c r="C168" i="11"/>
  <c r="D168" i="11"/>
  <c r="K169" i="11"/>
  <c r="C169" i="11"/>
  <c r="D169" i="11"/>
  <c r="K170" i="11"/>
  <c r="C170" i="11"/>
  <c r="D170" i="11"/>
  <c r="K171" i="11"/>
  <c r="C171" i="11"/>
  <c r="D171" i="11"/>
  <c r="K172" i="11"/>
  <c r="C172" i="11"/>
  <c r="D172" i="11"/>
  <c r="K173" i="11"/>
  <c r="C173" i="11"/>
  <c r="D173" i="11"/>
  <c r="K174" i="11"/>
  <c r="C174" i="11"/>
  <c r="D174" i="11"/>
  <c r="K175" i="11"/>
  <c r="C175" i="11"/>
  <c r="D175" i="11"/>
  <c r="K176" i="11"/>
  <c r="C176" i="11"/>
  <c r="D176" i="11"/>
  <c r="K177" i="11"/>
  <c r="C177" i="11"/>
  <c r="D177" i="11"/>
  <c r="K178" i="11"/>
  <c r="C178" i="11"/>
  <c r="D178" i="11"/>
  <c r="K179" i="11"/>
  <c r="C179" i="11"/>
  <c r="D179" i="11"/>
  <c r="K180" i="11"/>
  <c r="K181" i="11"/>
  <c r="C181" i="11"/>
  <c r="D181" i="11"/>
  <c r="K182" i="11"/>
  <c r="C182" i="11"/>
  <c r="D182" i="11"/>
  <c r="K183" i="11"/>
  <c r="C183" i="11"/>
  <c r="D183" i="11"/>
  <c r="K184" i="11"/>
  <c r="C184" i="11"/>
  <c r="D184" i="11"/>
  <c r="K185" i="11"/>
  <c r="C185" i="11"/>
  <c r="D185" i="11"/>
  <c r="K186" i="11"/>
  <c r="C186" i="11"/>
  <c r="D186" i="11"/>
  <c r="K187" i="11"/>
  <c r="C187" i="11"/>
  <c r="D187" i="11"/>
  <c r="K188" i="11"/>
  <c r="K189" i="11"/>
  <c r="C189" i="11"/>
  <c r="D189" i="11"/>
  <c r="K190" i="11"/>
  <c r="C190" i="11"/>
  <c r="D190" i="11"/>
  <c r="K191" i="11"/>
  <c r="C191" i="11"/>
  <c r="D191" i="11"/>
  <c r="K192" i="11"/>
  <c r="C192" i="11"/>
  <c r="D192" i="11"/>
  <c r="K193" i="11"/>
  <c r="C193" i="11"/>
  <c r="D193" i="11"/>
  <c r="K194" i="11"/>
  <c r="C194" i="11"/>
  <c r="D194" i="11"/>
  <c r="K195" i="11"/>
  <c r="C195" i="11"/>
  <c r="D195" i="11"/>
  <c r="K196" i="11"/>
  <c r="C196" i="11"/>
  <c r="D196" i="11"/>
  <c r="K197" i="11"/>
  <c r="C197" i="11"/>
  <c r="D197" i="11"/>
  <c r="K198" i="11"/>
  <c r="C198" i="11"/>
  <c r="D198" i="11"/>
  <c r="K199" i="11"/>
  <c r="C199" i="11"/>
  <c r="D199" i="11"/>
  <c r="K200" i="11"/>
  <c r="C200" i="11"/>
  <c r="D200" i="11"/>
  <c r="K201" i="11"/>
  <c r="C201" i="11"/>
  <c r="D201" i="11"/>
  <c r="K202" i="11"/>
  <c r="C202" i="11"/>
  <c r="D202" i="11"/>
  <c r="K203" i="11"/>
  <c r="C203" i="11"/>
  <c r="D203" i="11"/>
  <c r="K204" i="11"/>
  <c r="C204" i="11"/>
  <c r="D204" i="11"/>
  <c r="K205" i="11"/>
  <c r="C205" i="11"/>
  <c r="D205" i="11"/>
  <c r="K206" i="11"/>
  <c r="C206" i="11"/>
  <c r="D206" i="11"/>
  <c r="K207" i="11"/>
  <c r="C207" i="11"/>
  <c r="D207" i="11"/>
  <c r="K208" i="11"/>
  <c r="C208" i="11"/>
  <c r="D208" i="11"/>
  <c r="K209" i="11"/>
  <c r="C209" i="11"/>
  <c r="D209" i="11"/>
  <c r="K210" i="11"/>
  <c r="C210" i="11"/>
  <c r="D210" i="11"/>
  <c r="K211" i="11"/>
  <c r="C211" i="11"/>
  <c r="D211" i="11"/>
  <c r="K212" i="11"/>
  <c r="C212" i="11"/>
  <c r="D212" i="11"/>
  <c r="K213" i="11"/>
  <c r="C213" i="11"/>
  <c r="D213" i="11"/>
  <c r="K214" i="11"/>
  <c r="C214" i="11"/>
  <c r="D214" i="11"/>
  <c r="K215" i="11"/>
  <c r="C215" i="11"/>
  <c r="D215" i="11"/>
  <c r="K216" i="11"/>
  <c r="C216" i="11"/>
  <c r="D216" i="11"/>
  <c r="K217" i="11"/>
  <c r="C217" i="11"/>
  <c r="D217" i="11"/>
  <c r="K218" i="11"/>
  <c r="C218" i="11"/>
  <c r="D218" i="11"/>
  <c r="K219" i="11"/>
  <c r="C219" i="11"/>
  <c r="D219" i="11"/>
  <c r="K220" i="11"/>
  <c r="C220" i="11"/>
  <c r="D220" i="11"/>
  <c r="K221" i="11"/>
  <c r="C221" i="11"/>
  <c r="D221" i="11"/>
  <c r="K222" i="11"/>
  <c r="C222" i="11"/>
  <c r="D222" i="11"/>
  <c r="K223" i="11"/>
  <c r="C223" i="11"/>
  <c r="D223" i="11"/>
  <c r="K224" i="11"/>
  <c r="C224" i="11"/>
  <c r="D224" i="11"/>
  <c r="K225" i="11"/>
  <c r="C225" i="11"/>
  <c r="D225" i="11"/>
  <c r="K226" i="11"/>
  <c r="C226" i="11"/>
  <c r="D226" i="11"/>
  <c r="K227" i="11"/>
  <c r="C227" i="11"/>
  <c r="D227" i="11"/>
  <c r="K228" i="11"/>
  <c r="C228" i="11"/>
  <c r="D228" i="11"/>
  <c r="K229" i="11"/>
  <c r="C229" i="11"/>
  <c r="D229" i="11"/>
  <c r="K230" i="11"/>
  <c r="C230" i="11"/>
  <c r="D230" i="11"/>
  <c r="K231" i="11"/>
  <c r="C231" i="11"/>
  <c r="D231" i="11"/>
  <c r="K232" i="11"/>
  <c r="C232" i="11"/>
  <c r="D232" i="11"/>
  <c r="K233" i="11"/>
  <c r="C233" i="11"/>
  <c r="D233" i="11"/>
  <c r="K234" i="11"/>
  <c r="C234" i="11"/>
  <c r="D234" i="11"/>
  <c r="K235" i="11"/>
  <c r="C235" i="11"/>
  <c r="D235" i="11"/>
  <c r="K236" i="11"/>
  <c r="C236" i="11"/>
  <c r="D236" i="11"/>
  <c r="K237" i="11"/>
  <c r="C237" i="11"/>
  <c r="D237" i="11"/>
  <c r="K238" i="11"/>
  <c r="C238" i="11"/>
  <c r="D238" i="11"/>
  <c r="K239" i="11"/>
  <c r="C239" i="11"/>
  <c r="D239" i="11"/>
  <c r="K240" i="11"/>
  <c r="C240" i="11"/>
  <c r="D240" i="11"/>
  <c r="K241" i="11"/>
  <c r="C241" i="11"/>
  <c r="D241" i="11"/>
  <c r="K242" i="11"/>
  <c r="C242" i="11"/>
  <c r="D242" i="11"/>
  <c r="K243" i="11"/>
  <c r="C243" i="11"/>
  <c r="D243" i="11"/>
  <c r="K244" i="11"/>
  <c r="C244" i="11"/>
  <c r="D244" i="11"/>
  <c r="K245" i="11"/>
  <c r="C245" i="11"/>
  <c r="D245" i="11"/>
  <c r="K247" i="11"/>
  <c r="C247" i="11"/>
  <c r="D247" i="11"/>
  <c r="K248" i="11"/>
  <c r="C248" i="11"/>
  <c r="D248" i="11"/>
  <c r="K249" i="11"/>
  <c r="C249" i="11"/>
  <c r="D249" i="11"/>
  <c r="K251" i="11"/>
  <c r="C251" i="11"/>
  <c r="D251" i="11"/>
  <c r="K252" i="11"/>
  <c r="C252" i="11"/>
  <c r="D252" i="11"/>
  <c r="K253" i="11"/>
  <c r="C253" i="11"/>
  <c r="D253" i="11"/>
  <c r="K254" i="11"/>
  <c r="C254" i="11"/>
  <c r="D254" i="11"/>
  <c r="K255" i="11"/>
  <c r="C255" i="11"/>
  <c r="D255" i="11"/>
  <c r="K256" i="11"/>
  <c r="C256" i="11"/>
  <c r="D256" i="11"/>
  <c r="K257" i="11"/>
  <c r="C257" i="11"/>
  <c r="D257" i="11"/>
  <c r="K258" i="11"/>
  <c r="C258" i="11"/>
  <c r="D258" i="11"/>
  <c r="K259" i="11"/>
  <c r="C259" i="11"/>
  <c r="D259" i="11"/>
  <c r="K260" i="11"/>
  <c r="C260" i="11"/>
  <c r="D260" i="11"/>
  <c r="K261" i="11"/>
  <c r="C261" i="11"/>
  <c r="D261" i="11"/>
  <c r="K262" i="11"/>
  <c r="C262" i="11"/>
  <c r="D262" i="11"/>
  <c r="K263" i="11"/>
  <c r="C263" i="11"/>
  <c r="D263" i="11"/>
  <c r="K264" i="11"/>
  <c r="C264" i="11"/>
  <c r="D264" i="11"/>
  <c r="K265" i="11"/>
  <c r="C265" i="11"/>
  <c r="D265" i="11"/>
  <c r="I44" i="14" l="1"/>
  <c r="I37" i="14"/>
  <c r="I30" i="14"/>
  <c r="I23" i="14"/>
  <c r="I16" i="14"/>
  <c r="K49" i="14"/>
  <c r="K48" i="14"/>
  <c r="K47" i="14"/>
  <c r="J46" i="14"/>
  <c r="J45" i="14"/>
  <c r="J44" i="14"/>
  <c r="K42" i="14"/>
  <c r="K41" i="14"/>
  <c r="K40" i="14"/>
  <c r="J39" i="14"/>
  <c r="J38" i="14"/>
  <c r="J37" i="14"/>
  <c r="K35" i="14"/>
  <c r="K34" i="14"/>
  <c r="K33" i="14"/>
  <c r="J32" i="14"/>
  <c r="J31" i="14"/>
  <c r="J30" i="14"/>
  <c r="K28" i="14"/>
  <c r="K27" i="14"/>
  <c r="K26" i="14"/>
  <c r="J25" i="14"/>
  <c r="J24" i="14"/>
  <c r="J23" i="14"/>
  <c r="K21" i="14"/>
  <c r="K20" i="14"/>
  <c r="K19" i="14"/>
  <c r="J18" i="14"/>
  <c r="J17" i="14"/>
  <c r="J16" i="14"/>
  <c r="I43" i="14" l="1"/>
  <c r="I36" i="14"/>
  <c r="I29" i="14"/>
  <c r="I22" i="14"/>
  <c r="I15" i="14"/>
  <c r="I11" i="14"/>
  <c r="I8" i="14"/>
  <c r="J8" i="56"/>
  <c r="J9" i="56"/>
  <c r="J10" i="56"/>
  <c r="J11" i="56"/>
  <c r="J12" i="56"/>
  <c r="J7" i="56"/>
  <c r="Q12" i="67" l="1"/>
  <c r="Q13" i="67"/>
  <c r="Q14" i="67"/>
  <c r="Q15" i="67"/>
  <c r="Q16" i="67"/>
  <c r="Q17" i="67"/>
  <c r="Q18" i="67"/>
  <c r="Q20" i="67"/>
  <c r="Q21" i="67"/>
  <c r="Q22" i="67"/>
  <c r="Q23" i="67"/>
  <c r="Q24" i="67"/>
  <c r="Q25" i="67"/>
  <c r="Q26" i="67"/>
  <c r="L12" i="67"/>
  <c r="L8" i="67"/>
  <c r="Q10" i="67"/>
  <c r="Q9" i="67"/>
  <c r="Q8" i="67"/>
  <c r="Q5" i="67"/>
  <c r="Q6" i="67"/>
  <c r="Q7" i="67"/>
  <c r="Q4" i="67"/>
  <c r="L4" i="67"/>
  <c r="R117" i="72"/>
  <c r="Q118" i="72"/>
  <c r="Q117" i="72"/>
  <c r="P116" i="72"/>
  <c r="AF10" i="15" l="1"/>
  <c r="AG10" i="15" s="1"/>
  <c r="AH10" i="15" s="1"/>
  <c r="AI10" i="15" s="1"/>
  <c r="AJ10" i="15" s="1"/>
  <c r="AK10" i="15" s="1"/>
  <c r="AL10" i="15" s="1"/>
  <c r="G14" i="71" l="1"/>
  <c r="D24" i="71" l="1"/>
  <c r="K24" i="71" l="1"/>
  <c r="H131" i="60" l="1"/>
  <c r="J131" i="60" s="1"/>
  <c r="H133" i="60"/>
  <c r="J133" i="60" s="1"/>
  <c r="H139" i="60"/>
  <c r="J139" i="60" s="1"/>
  <c r="G130" i="60"/>
  <c r="I130" i="60" s="1"/>
  <c r="G133" i="60"/>
  <c r="G134" i="60"/>
  <c r="I134" i="60" s="1"/>
  <c r="G137" i="60"/>
  <c r="I137" i="60" s="1"/>
  <c r="G138" i="60"/>
  <c r="I138" i="60" s="1"/>
  <c r="F131" i="60"/>
  <c r="F132" i="60"/>
  <c r="H132" i="60" s="1"/>
  <c r="J132" i="60" s="1"/>
  <c r="F133" i="60"/>
  <c r="F134" i="60"/>
  <c r="F135" i="60"/>
  <c r="H135" i="60" s="1"/>
  <c r="J135" i="60" s="1"/>
  <c r="F136" i="60"/>
  <c r="H136" i="60" s="1"/>
  <c r="J136" i="60" s="1"/>
  <c r="F137" i="60"/>
  <c r="H137" i="60" s="1"/>
  <c r="J137" i="60" s="1"/>
  <c r="F138" i="60"/>
  <c r="H138" i="60" s="1"/>
  <c r="J138" i="60" s="1"/>
  <c r="F139" i="60"/>
  <c r="F140" i="60"/>
  <c r="H140" i="60" s="1"/>
  <c r="J140" i="60" s="1"/>
  <c r="F130" i="60"/>
  <c r="H130" i="60" s="1"/>
  <c r="E131" i="60"/>
  <c r="G131" i="60" s="1"/>
  <c r="I131" i="60" s="1"/>
  <c r="E132" i="60"/>
  <c r="G132" i="60" s="1"/>
  <c r="I132" i="60" s="1"/>
  <c r="E133" i="60"/>
  <c r="E134" i="60"/>
  <c r="E135" i="60"/>
  <c r="E30" i="60" s="1"/>
  <c r="E136" i="60"/>
  <c r="G136" i="60" s="1"/>
  <c r="I136" i="60" s="1"/>
  <c r="E137" i="60"/>
  <c r="E138" i="60"/>
  <c r="E139" i="60"/>
  <c r="G139" i="60" s="1"/>
  <c r="I139" i="60" s="1"/>
  <c r="E140" i="60"/>
  <c r="G140" i="60" s="1"/>
  <c r="I140" i="60" s="1"/>
  <c r="E130" i="60"/>
  <c r="J130" i="60" l="1"/>
  <c r="F141" i="60"/>
  <c r="E141" i="60"/>
  <c r="H134" i="60"/>
  <c r="J134" i="60" s="1"/>
  <c r="J141" i="60" s="1"/>
  <c r="G135" i="60"/>
  <c r="I135" i="60" s="1"/>
  <c r="I141" i="60" s="1"/>
  <c r="I133" i="60"/>
  <c r="G141" i="60" l="1"/>
  <c r="H141" i="60"/>
  <c r="E26" i="60" l="1"/>
  <c r="O124" i="72" l="1"/>
  <c r="K124" i="72"/>
  <c r="M124" i="72"/>
  <c r="J124" i="72"/>
  <c r="R124" i="72" s="1"/>
  <c r="N124" i="72"/>
  <c r="G124" i="72"/>
  <c r="H124" i="72"/>
  <c r="F124" i="72"/>
  <c r="C124" i="72"/>
  <c r="D124" i="72"/>
  <c r="B124" i="72"/>
  <c r="AF123" i="72"/>
  <c r="R123" i="72" l="1"/>
  <c r="Q121" i="72"/>
  <c r="Q119" i="72"/>
  <c r="R114" i="72"/>
  <c r="R113" i="72"/>
  <c r="J112" i="72"/>
  <c r="R112" i="72" s="1"/>
  <c r="R111" i="72"/>
  <c r="P110" i="72"/>
  <c r="Q112" i="72" s="1"/>
  <c r="R109" i="72"/>
  <c r="R108" i="72"/>
  <c r="R107" i="72"/>
  <c r="R106" i="72"/>
  <c r="R105" i="72"/>
  <c r="R104" i="72"/>
  <c r="J103" i="72"/>
  <c r="R103" i="72" s="1"/>
  <c r="R102" i="72"/>
  <c r="P101" i="72"/>
  <c r="Q103" i="72" s="1"/>
  <c r="M101" i="72"/>
  <c r="R100" i="72"/>
  <c r="R99" i="72"/>
  <c r="R98" i="72"/>
  <c r="R97" i="72"/>
  <c r="R96" i="72"/>
  <c r="J95" i="72"/>
  <c r="R95" i="72" s="1"/>
  <c r="R94" i="72"/>
  <c r="P93" i="72"/>
  <c r="Q95" i="72" s="1"/>
  <c r="M93" i="72"/>
  <c r="R91" i="72"/>
  <c r="R90" i="72"/>
  <c r="R89" i="72"/>
  <c r="M87" i="72"/>
  <c r="R86" i="72"/>
  <c r="R85" i="72"/>
  <c r="R84" i="72"/>
  <c r="R83" i="72"/>
  <c r="R82" i="72"/>
  <c r="R81" i="72"/>
  <c r="R80" i="72"/>
  <c r="R79" i="72"/>
  <c r="R78" i="72"/>
  <c r="R77" i="72"/>
  <c r="R76" i="72"/>
  <c r="R75" i="72"/>
  <c r="R74" i="72"/>
  <c r="R72" i="72"/>
  <c r="R71" i="72"/>
  <c r="R70" i="72"/>
  <c r="R69" i="72"/>
  <c r="R68" i="72"/>
  <c r="R67" i="72"/>
  <c r="R66" i="72"/>
  <c r="R65" i="72"/>
  <c r="R64" i="72"/>
  <c r="R62" i="72"/>
  <c r="R61" i="72"/>
  <c r="R60" i="72"/>
  <c r="R59" i="72"/>
  <c r="R58" i="72"/>
  <c r="R57" i="72"/>
  <c r="R56" i="72"/>
  <c r="P54" i="72"/>
  <c r="Q65" i="72" s="1"/>
  <c r="M54" i="72"/>
  <c r="R52" i="72"/>
  <c r="R51" i="72"/>
  <c r="R50" i="72"/>
  <c r="R48" i="72"/>
  <c r="R47" i="72"/>
  <c r="R46" i="72"/>
  <c r="J45" i="72"/>
  <c r="R45" i="72" s="1"/>
  <c r="R44" i="72"/>
  <c r="R42" i="72"/>
  <c r="R41" i="72"/>
  <c r="R40" i="72"/>
  <c r="J39" i="72"/>
  <c r="R39" i="72" s="1"/>
  <c r="R38" i="72"/>
  <c r="M36" i="72"/>
  <c r="R35" i="72"/>
  <c r="R34" i="72"/>
  <c r="R33" i="72"/>
  <c r="R32" i="72"/>
  <c r="R31" i="72"/>
  <c r="R29" i="72"/>
  <c r="R28" i="72"/>
  <c r="R27" i="72"/>
  <c r="R26" i="72"/>
  <c r="R25" i="72"/>
  <c r="R24" i="72"/>
  <c r="M22" i="72"/>
  <c r="R21" i="72"/>
  <c r="R20" i="72"/>
  <c r="R19" i="72"/>
  <c r="R18" i="72"/>
  <c r="R17" i="72"/>
  <c r="R16" i="72"/>
  <c r="R15" i="72"/>
  <c r="R14" i="72"/>
  <c r="R13" i="72"/>
  <c r="R12" i="72"/>
  <c r="R11" i="72"/>
  <c r="R10" i="72"/>
  <c r="R9" i="72"/>
  <c r="R7" i="72"/>
  <c r="R6" i="72"/>
  <c r="Q4" i="72"/>
  <c r="M4" i="72"/>
  <c r="Q75" i="72" l="1"/>
  <c r="Q57" i="72"/>
  <c r="F107" i="71" l="1"/>
  <c r="E106" i="71"/>
  <c r="C39" i="71"/>
  <c r="B38" i="71"/>
  <c r="B31" i="71"/>
  <c r="B12" i="71"/>
  <c r="F4" i="71"/>
  <c r="E4" i="71"/>
  <c r="D4" i="71"/>
  <c r="C4" i="71"/>
  <c r="B4" i="71"/>
  <c r="F3" i="71"/>
  <c r="E3" i="71"/>
  <c r="D3" i="71"/>
  <c r="C3" i="71"/>
  <c r="B3" i="71"/>
  <c r="F2" i="71"/>
  <c r="E2" i="71"/>
  <c r="D2" i="71"/>
  <c r="C2" i="71"/>
  <c r="B2" i="71"/>
  <c r="C79" i="70"/>
  <c r="D78" i="70"/>
  <c r="B77" i="70"/>
  <c r="I73" i="70"/>
  <c r="D73" i="70"/>
  <c r="C73" i="70"/>
  <c r="B73" i="70"/>
  <c r="I72" i="70"/>
  <c r="E72" i="70"/>
  <c r="D72" i="70"/>
  <c r="N72" i="70" s="1"/>
  <c r="D111" i="71" s="1"/>
  <c r="C72" i="70"/>
  <c r="B72" i="70"/>
  <c r="I71" i="70"/>
  <c r="E71" i="70"/>
  <c r="D71" i="70"/>
  <c r="C71" i="70"/>
  <c r="B71" i="70"/>
  <c r="I68" i="70"/>
  <c r="D68" i="70"/>
  <c r="C68" i="70"/>
  <c r="B68" i="70"/>
  <c r="I67" i="70"/>
  <c r="O67" i="70" s="1"/>
  <c r="E67" i="70"/>
  <c r="D67" i="70"/>
  <c r="C67" i="70"/>
  <c r="B67" i="70"/>
  <c r="L67" i="70" s="1"/>
  <c r="B106" i="71" s="1"/>
  <c r="I66" i="70"/>
  <c r="E66" i="70"/>
  <c r="D66" i="70"/>
  <c r="C66" i="70"/>
  <c r="B66" i="70"/>
  <c r="I62" i="70"/>
  <c r="D62" i="70"/>
  <c r="C62" i="70"/>
  <c r="M62" i="70" s="1"/>
  <c r="C40" i="71" s="1"/>
  <c r="B62" i="70"/>
  <c r="I61" i="70"/>
  <c r="E61" i="70"/>
  <c r="D61" i="70"/>
  <c r="C61" i="70"/>
  <c r="B61" i="70"/>
  <c r="I60" i="70"/>
  <c r="R60" i="70" s="1"/>
  <c r="H38" i="71" s="1"/>
  <c r="E60" i="70"/>
  <c r="D60" i="70"/>
  <c r="C60" i="70"/>
  <c r="B60" i="70"/>
  <c r="L60" i="70" s="1"/>
  <c r="C55" i="70"/>
  <c r="B55" i="70"/>
  <c r="I54" i="70"/>
  <c r="E54" i="70"/>
  <c r="D54" i="70"/>
  <c r="N54" i="70" s="1"/>
  <c r="D32" i="71" s="1"/>
  <c r="C54" i="70"/>
  <c r="B54" i="70"/>
  <c r="I53" i="70"/>
  <c r="R53" i="70" s="1"/>
  <c r="E53" i="70"/>
  <c r="F53" i="70" s="1"/>
  <c r="P53" i="70" s="1"/>
  <c r="F31" i="71" s="1"/>
  <c r="D53" i="70"/>
  <c r="C53" i="70"/>
  <c r="B53" i="70"/>
  <c r="L53" i="70" s="1"/>
  <c r="R73" i="70"/>
  <c r="H112" i="71" s="1"/>
  <c r="P73" i="70"/>
  <c r="F112" i="71" s="1"/>
  <c r="L73" i="70"/>
  <c r="B112" i="71" s="1"/>
  <c r="H72" i="70"/>
  <c r="R72" i="70" s="1"/>
  <c r="H111" i="71" s="1"/>
  <c r="M72" i="70"/>
  <c r="C111" i="71" s="1"/>
  <c r="Q71" i="70"/>
  <c r="G110" i="71" s="1"/>
  <c r="L71" i="70"/>
  <c r="B110" i="71" s="1"/>
  <c r="K70" i="70"/>
  <c r="P68" i="70"/>
  <c r="L68" i="70"/>
  <c r="B107" i="71" s="1"/>
  <c r="Q67" i="70"/>
  <c r="G106" i="71" s="1"/>
  <c r="P67" i="70"/>
  <c r="F106" i="71" s="1"/>
  <c r="R66" i="70"/>
  <c r="H105" i="71" s="1"/>
  <c r="M66" i="70"/>
  <c r="C105" i="71" s="1"/>
  <c r="K65" i="70"/>
  <c r="R62" i="70"/>
  <c r="H40" i="71" s="1"/>
  <c r="P62" i="70"/>
  <c r="F40" i="71" s="1"/>
  <c r="L62" i="70"/>
  <c r="B40" i="71" s="1"/>
  <c r="O62" i="70"/>
  <c r="E40" i="71" s="1"/>
  <c r="H61" i="70"/>
  <c r="R61" i="70" s="1"/>
  <c r="H39" i="71" s="1"/>
  <c r="N61" i="70"/>
  <c r="D39" i="71" s="1"/>
  <c r="M61" i="70"/>
  <c r="M60" i="70"/>
  <c r="C38" i="71" s="1"/>
  <c r="K59" i="70"/>
  <c r="I55" i="70"/>
  <c r="M55" i="70" s="1"/>
  <c r="C33" i="71" s="1"/>
  <c r="R54" i="70"/>
  <c r="L54" i="70"/>
  <c r="B32" i="71" s="1"/>
  <c r="M53" i="70"/>
  <c r="C31" i="71" s="1"/>
  <c r="K52" i="70"/>
  <c r="G37" i="69"/>
  <c r="F37" i="69"/>
  <c r="F45" i="69" s="1"/>
  <c r="F9" i="71" s="1"/>
  <c r="E37" i="69"/>
  <c r="D37" i="69"/>
  <c r="C37" i="69"/>
  <c r="B37" i="69"/>
  <c r="B45" i="69" s="1"/>
  <c r="B9" i="71" s="1"/>
  <c r="G36" i="69"/>
  <c r="F36" i="69"/>
  <c r="E36" i="69"/>
  <c r="D36" i="69"/>
  <c r="C36" i="69"/>
  <c r="B36" i="69"/>
  <c r="G35" i="69"/>
  <c r="F35" i="69"/>
  <c r="F43" i="69" s="1"/>
  <c r="F11" i="71" s="1"/>
  <c r="E35" i="69"/>
  <c r="D35" i="69"/>
  <c r="C35" i="69"/>
  <c r="B35" i="69"/>
  <c r="B43" i="69" s="1"/>
  <c r="B11" i="71" s="1"/>
  <c r="G34" i="69"/>
  <c r="F34" i="69"/>
  <c r="E34" i="69"/>
  <c r="D34" i="69"/>
  <c r="D38" i="69" s="1"/>
  <c r="C34" i="69"/>
  <c r="B34" i="69"/>
  <c r="G33" i="69"/>
  <c r="F33" i="69"/>
  <c r="F38" i="69" s="1"/>
  <c r="E33" i="69"/>
  <c r="E38" i="69" s="1"/>
  <c r="D33" i="69"/>
  <c r="C33" i="69"/>
  <c r="B33" i="69"/>
  <c r="B38" i="69" s="1"/>
  <c r="G30" i="69"/>
  <c r="G44" i="69" s="1"/>
  <c r="G12" i="71" s="1"/>
  <c r="F30" i="69"/>
  <c r="F44" i="69" s="1"/>
  <c r="F12" i="71" s="1"/>
  <c r="E30" i="69"/>
  <c r="D30" i="69"/>
  <c r="D45" i="69" s="1"/>
  <c r="D9" i="71" s="1"/>
  <c r="C30" i="69"/>
  <c r="C44" i="69" s="1"/>
  <c r="C12" i="71" s="1"/>
  <c r="K12" i="71" s="1"/>
  <c r="B30" i="69"/>
  <c r="B44" i="69" s="1"/>
  <c r="G29" i="69"/>
  <c r="F29" i="69"/>
  <c r="E29" i="69"/>
  <c r="D29" i="69"/>
  <c r="C29" i="69"/>
  <c r="B29" i="69"/>
  <c r="K25" i="71"/>
  <c r="N9" i="71" l="1"/>
  <c r="N12" i="71"/>
  <c r="I31" i="71"/>
  <c r="O68" i="70"/>
  <c r="E107" i="71" s="1"/>
  <c r="R68" i="70"/>
  <c r="H107" i="71" s="1"/>
  <c r="N68" i="70"/>
  <c r="D107" i="71" s="1"/>
  <c r="G73" i="70"/>
  <c r="Q73" i="70" s="1"/>
  <c r="G112" i="71" s="1"/>
  <c r="M73" i="70"/>
  <c r="C112" i="71" s="1"/>
  <c r="J12" i="71"/>
  <c r="K26" i="71"/>
  <c r="K27" i="71" s="1"/>
  <c r="E45" i="69"/>
  <c r="E9" i="71" s="1"/>
  <c r="M9" i="71" s="1"/>
  <c r="C38" i="69"/>
  <c r="G38" i="69"/>
  <c r="G62" i="70"/>
  <c r="Q62" i="70" s="1"/>
  <c r="G40" i="71" s="1"/>
  <c r="N66" i="70"/>
  <c r="D105" i="71" s="1"/>
  <c r="M67" i="70"/>
  <c r="C106" i="71" s="1"/>
  <c r="G68" i="70"/>
  <c r="Q68" i="70" s="1"/>
  <c r="G107" i="71" s="1"/>
  <c r="N71" i="70"/>
  <c r="D110" i="71" s="1"/>
  <c r="O72" i="70"/>
  <c r="E111" i="71" s="1"/>
  <c r="N73" i="70"/>
  <c r="D112" i="71" s="1"/>
  <c r="G4" i="71"/>
  <c r="F25" i="71" s="1"/>
  <c r="P25" i="71" s="1"/>
  <c r="G2" i="71"/>
  <c r="D26" i="71" s="1"/>
  <c r="D25" i="71"/>
  <c r="N25" i="71" s="1"/>
  <c r="G3" i="71"/>
  <c r="F24" i="71" s="1"/>
  <c r="P24" i="71" s="1"/>
  <c r="B25" i="71"/>
  <c r="I110" i="71"/>
  <c r="N53" i="70"/>
  <c r="D31" i="71" s="1"/>
  <c r="Q53" i="70"/>
  <c r="G31" i="71" s="1"/>
  <c r="Q60" i="70"/>
  <c r="G38" i="71" s="1"/>
  <c r="N62" i="70"/>
  <c r="O71" i="70"/>
  <c r="E110" i="71" s="1"/>
  <c r="R71" i="70"/>
  <c r="H110" i="71" s="1"/>
  <c r="O53" i="70"/>
  <c r="E31" i="71" s="1"/>
  <c r="O60" i="70"/>
  <c r="E38" i="71" s="1"/>
  <c r="M71" i="70"/>
  <c r="C110" i="71" s="1"/>
  <c r="O55" i="70"/>
  <c r="E33" i="71" s="1"/>
  <c r="P55" i="70"/>
  <c r="F33" i="71" s="1"/>
  <c r="L55" i="70"/>
  <c r="B33" i="71" s="1"/>
  <c r="R55" i="70"/>
  <c r="N55" i="70"/>
  <c r="D33" i="71" s="1"/>
  <c r="Q55" i="70"/>
  <c r="G33" i="71" s="1"/>
  <c r="O61" i="70"/>
  <c r="E39" i="71" s="1"/>
  <c r="P54" i="70"/>
  <c r="F60" i="70"/>
  <c r="P60" i="70" s="1"/>
  <c r="F38" i="71" s="1"/>
  <c r="N60" i="70"/>
  <c r="L61" i="70"/>
  <c r="B39" i="71" s="1"/>
  <c r="P61" i="70"/>
  <c r="F39" i="71" s="1"/>
  <c r="L66" i="70"/>
  <c r="B105" i="71" s="1"/>
  <c r="I105" i="71" s="1"/>
  <c r="H67" i="70"/>
  <c r="R67" i="70" s="1"/>
  <c r="H106" i="71" s="1"/>
  <c r="N67" i="70"/>
  <c r="D106" i="71" s="1"/>
  <c r="M68" i="70"/>
  <c r="F71" i="70"/>
  <c r="P71" i="70" s="1"/>
  <c r="F110" i="71" s="1"/>
  <c r="L72" i="70"/>
  <c r="B111" i="71" s="1"/>
  <c r="I111" i="71" s="1"/>
  <c r="P72" i="70"/>
  <c r="F111" i="71" s="1"/>
  <c r="O73" i="70"/>
  <c r="M54" i="70"/>
  <c r="C32" i="71" s="1"/>
  <c r="Q54" i="70"/>
  <c r="G32" i="71" s="1"/>
  <c r="Q61" i="70"/>
  <c r="G39" i="71" s="1"/>
  <c r="Q66" i="70"/>
  <c r="G105" i="71" s="1"/>
  <c r="Q72" i="70"/>
  <c r="G111" i="71" s="1"/>
  <c r="O54" i="70"/>
  <c r="E32" i="71" s="1"/>
  <c r="O66" i="70"/>
  <c r="E105" i="71" s="1"/>
  <c r="F66" i="70"/>
  <c r="P66" i="70" s="1"/>
  <c r="F105" i="71" s="1"/>
  <c r="B41" i="69"/>
  <c r="C41" i="69"/>
  <c r="C8" i="71" s="1"/>
  <c r="G41" i="69"/>
  <c r="G8" i="71" s="1"/>
  <c r="E42" i="69"/>
  <c r="E10" i="71" s="1"/>
  <c r="C43" i="69"/>
  <c r="C11" i="71" s="1"/>
  <c r="G43" i="69"/>
  <c r="G11" i="71" s="1"/>
  <c r="N11" i="71" s="1"/>
  <c r="E44" i="69"/>
  <c r="E12" i="71" s="1"/>
  <c r="M12" i="71" s="1"/>
  <c r="C45" i="69"/>
  <c r="C9" i="71" s="1"/>
  <c r="G45" i="69"/>
  <c r="G9" i="71" s="1"/>
  <c r="L9" i="71" s="1"/>
  <c r="F41" i="69"/>
  <c r="F8" i="71" s="1"/>
  <c r="N8" i="71" s="1"/>
  <c r="D42" i="69"/>
  <c r="D10" i="71" s="1"/>
  <c r="D44" i="69"/>
  <c r="D12" i="71" s="1"/>
  <c r="L12" i="71" s="1"/>
  <c r="D41" i="69"/>
  <c r="D8" i="71" s="1"/>
  <c r="L8" i="71" s="1"/>
  <c r="B42" i="69"/>
  <c r="B10" i="71" s="1"/>
  <c r="J10" i="71" s="1"/>
  <c r="F42" i="69"/>
  <c r="F10" i="71" s="1"/>
  <c r="D43" i="69"/>
  <c r="D11" i="71" s="1"/>
  <c r="E41" i="69"/>
  <c r="E8" i="71" s="1"/>
  <c r="M8" i="71" s="1"/>
  <c r="C42" i="69"/>
  <c r="C10" i="71" s="1"/>
  <c r="K10" i="71" s="1"/>
  <c r="G42" i="69"/>
  <c r="G10" i="71" s="1"/>
  <c r="E43" i="69"/>
  <c r="E11" i="71" s="1"/>
  <c r="AP30" i="63"/>
  <c r="AQ30" i="63"/>
  <c r="AR30" i="63"/>
  <c r="AN30" i="63"/>
  <c r="AO30" i="63"/>
  <c r="AM30" i="63"/>
  <c r="AL30" i="63"/>
  <c r="AK30" i="63"/>
  <c r="AJ30" i="63"/>
  <c r="AH30" i="63"/>
  <c r="AI30" i="63"/>
  <c r="AB30" i="63"/>
  <c r="AC30" i="63"/>
  <c r="AD30" i="63"/>
  <c r="AE30" i="63"/>
  <c r="AF30" i="63"/>
  <c r="AG30" i="63"/>
  <c r="P30" i="63"/>
  <c r="Q30" i="63"/>
  <c r="R30" i="63"/>
  <c r="S30" i="63"/>
  <c r="T30" i="63"/>
  <c r="U30" i="63"/>
  <c r="V30" i="63"/>
  <c r="W30" i="63"/>
  <c r="X30" i="63"/>
  <c r="Y30" i="63"/>
  <c r="Z30" i="63"/>
  <c r="AA30" i="63"/>
  <c r="F30" i="63"/>
  <c r="G30" i="63"/>
  <c r="H30" i="63"/>
  <c r="I30" i="63"/>
  <c r="J30" i="63"/>
  <c r="K30" i="63"/>
  <c r="L30" i="63"/>
  <c r="M30" i="63"/>
  <c r="E79" i="70" s="1"/>
  <c r="O30" i="63"/>
  <c r="N30" i="63"/>
  <c r="N26" i="71" l="1"/>
  <c r="E78" i="70"/>
  <c r="K11" i="71"/>
  <c r="B46" i="69"/>
  <c r="B8" i="71"/>
  <c r="E14" i="71"/>
  <c r="E17" i="71" s="1"/>
  <c r="D14" i="71"/>
  <c r="D16" i="71" s="1"/>
  <c r="J11" i="71"/>
  <c r="J9" i="71"/>
  <c r="M11" i="71"/>
  <c r="L11" i="71"/>
  <c r="K9" i="71"/>
  <c r="M10" i="71"/>
  <c r="S73" i="70"/>
  <c r="E112" i="71"/>
  <c r="I112" i="71" s="1"/>
  <c r="S68" i="70"/>
  <c r="C107" i="71"/>
  <c r="I107" i="71" s="1"/>
  <c r="S54" i="70"/>
  <c r="F32" i="71"/>
  <c r="S53" i="70"/>
  <c r="O12" i="71"/>
  <c r="C14" i="71"/>
  <c r="C17" i="71" s="1"/>
  <c r="K8" i="71"/>
  <c r="I32" i="71"/>
  <c r="S60" i="70"/>
  <c r="D38" i="71"/>
  <c r="I38" i="71" s="1"/>
  <c r="S62" i="70"/>
  <c r="D40" i="71"/>
  <c r="I40" i="71" s="1"/>
  <c r="F14" i="71"/>
  <c r="F17" i="71" s="1"/>
  <c r="N10" i="71"/>
  <c r="L10" i="71"/>
  <c r="O10" i="71" s="1"/>
  <c r="I39" i="71"/>
  <c r="I33" i="71"/>
  <c r="C25" i="71"/>
  <c r="M25" i="71" s="1"/>
  <c r="V39" i="71" s="1"/>
  <c r="E25" i="71"/>
  <c r="O25" i="71" s="1"/>
  <c r="I106" i="71"/>
  <c r="O9" i="71"/>
  <c r="L25" i="71"/>
  <c r="C24" i="71"/>
  <c r="M24" i="71" s="1"/>
  <c r="E24" i="71"/>
  <c r="O24" i="71" s="1"/>
  <c r="B24" i="71"/>
  <c r="B26" i="71"/>
  <c r="F26" i="71"/>
  <c r="P26" i="71" s="1"/>
  <c r="N24" i="71"/>
  <c r="E16" i="71"/>
  <c r="E26" i="71"/>
  <c r="O26" i="71" s="1"/>
  <c r="C26" i="71"/>
  <c r="M26" i="71" s="1"/>
  <c r="S67" i="70"/>
  <c r="S71" i="70"/>
  <c r="S61" i="70"/>
  <c r="S72" i="70"/>
  <c r="S66" i="70"/>
  <c r="S55" i="70"/>
  <c r="G46" i="69"/>
  <c r="F46" i="69"/>
  <c r="C46" i="69"/>
  <c r="E46" i="69"/>
  <c r="D46" i="69"/>
  <c r="B120" i="72"/>
  <c r="AR39" i="71" l="1"/>
  <c r="AG39" i="71"/>
  <c r="AM39" i="71" s="1"/>
  <c r="L39" i="71"/>
  <c r="O39" i="71" s="1"/>
  <c r="BC39" i="71"/>
  <c r="BG39" i="71" s="1"/>
  <c r="Q25" i="71"/>
  <c r="D17" i="71"/>
  <c r="F16" i="71"/>
  <c r="J8" i="71"/>
  <c r="O8" i="71" s="1"/>
  <c r="B14" i="71"/>
  <c r="C16" i="71"/>
  <c r="G25" i="71"/>
  <c r="O11" i="71"/>
  <c r="AR40" i="71"/>
  <c r="BC40" i="71"/>
  <c r="V40" i="71"/>
  <c r="AG40" i="71"/>
  <c r="L40" i="71"/>
  <c r="L26" i="71"/>
  <c r="Q26" i="71" s="1"/>
  <c r="G26" i="71"/>
  <c r="P39" i="71"/>
  <c r="Q39" i="71"/>
  <c r="S39" i="71"/>
  <c r="N39" i="71"/>
  <c r="V38" i="71"/>
  <c r="AG38" i="71"/>
  <c r="BC38" i="71"/>
  <c r="AR38" i="71"/>
  <c r="L38" i="71"/>
  <c r="V32" i="71"/>
  <c r="BC32" i="71"/>
  <c r="L32" i="71"/>
  <c r="AG32" i="71"/>
  <c r="R25" i="71"/>
  <c r="AR32" i="71"/>
  <c r="AI39" i="71"/>
  <c r="AJ39" i="71"/>
  <c r="AW39" i="71"/>
  <c r="AS39" i="71"/>
  <c r="AV39" i="71"/>
  <c r="AY39" i="71"/>
  <c r="AT39" i="71"/>
  <c r="AU39" i="71"/>
  <c r="AX39" i="71"/>
  <c r="AC39" i="71"/>
  <c r="Y39" i="71"/>
  <c r="AB39" i="71"/>
  <c r="W39" i="71"/>
  <c r="Z39" i="71"/>
  <c r="AA39" i="71"/>
  <c r="X39" i="71"/>
  <c r="G24" i="71"/>
  <c r="L24" i="71"/>
  <c r="Q24" i="71" s="1"/>
  <c r="AK39" i="71" l="1"/>
  <c r="AH39" i="71"/>
  <c r="AO39" i="71" s="1"/>
  <c r="AN39" i="71"/>
  <c r="AL39" i="71"/>
  <c r="BF39" i="71"/>
  <c r="U25" i="71"/>
  <c r="BH39" i="71"/>
  <c r="BD39" i="71"/>
  <c r="BK39" i="71" s="1"/>
  <c r="BJ39" i="71"/>
  <c r="BE39" i="71"/>
  <c r="BI39" i="71"/>
  <c r="M39" i="71"/>
  <c r="T39" i="71" s="1"/>
  <c r="R39" i="71"/>
  <c r="B17" i="71"/>
  <c r="B16" i="71"/>
  <c r="AD39" i="71"/>
  <c r="AZ39" i="71"/>
  <c r="AX38" i="71"/>
  <c r="AT38" i="71"/>
  <c r="AY38" i="71"/>
  <c r="AS38" i="71"/>
  <c r="AW38" i="71"/>
  <c r="AV38" i="71"/>
  <c r="AU38" i="71"/>
  <c r="BI32" i="71"/>
  <c r="BE32" i="71"/>
  <c r="BJ32" i="71"/>
  <c r="BD32" i="71"/>
  <c r="BH32" i="71"/>
  <c r="BG32" i="71"/>
  <c r="F68" i="71" s="1"/>
  <c r="BF32" i="71"/>
  <c r="E68" i="71" s="1"/>
  <c r="AB40" i="71"/>
  <c r="X40" i="71"/>
  <c r="AA40" i="71"/>
  <c r="Y40" i="71"/>
  <c r="Z40" i="71"/>
  <c r="AC40" i="71"/>
  <c r="W40" i="71"/>
  <c r="AD40" i="71" s="1"/>
  <c r="Z32" i="71"/>
  <c r="F53" i="71" s="1"/>
  <c r="AC32" i="71"/>
  <c r="I53" i="71" s="1"/>
  <c r="Y32" i="71"/>
  <c r="E53" i="71" s="1"/>
  <c r="W32" i="71"/>
  <c r="C53" i="71" s="1"/>
  <c r="AB32" i="71"/>
  <c r="H53" i="71" s="1"/>
  <c r="AA32" i="71"/>
  <c r="G53" i="71" s="1"/>
  <c r="X32" i="71"/>
  <c r="D53" i="71" s="1"/>
  <c r="AN38" i="71"/>
  <c r="AJ38" i="71"/>
  <c r="AL38" i="71"/>
  <c r="AI38" i="71"/>
  <c r="AK38" i="71"/>
  <c r="AM38" i="71"/>
  <c r="AH38" i="71"/>
  <c r="AG33" i="71"/>
  <c r="BC33" i="71"/>
  <c r="V33" i="71"/>
  <c r="R26" i="71"/>
  <c r="AR33" i="71"/>
  <c r="L33" i="71"/>
  <c r="BJ40" i="71"/>
  <c r="BF40" i="71"/>
  <c r="BH40" i="71"/>
  <c r="BE40" i="71"/>
  <c r="BG40" i="71"/>
  <c r="BI40" i="71"/>
  <c r="BD40" i="71"/>
  <c r="Q32" i="71"/>
  <c r="G48" i="71" s="1"/>
  <c r="M32" i="71"/>
  <c r="P32" i="71"/>
  <c r="F48" i="71" s="1"/>
  <c r="T25" i="71"/>
  <c r="N32" i="71"/>
  <c r="D48" i="71" s="1"/>
  <c r="S32" i="71"/>
  <c r="I48" i="71" s="1"/>
  <c r="R32" i="71"/>
  <c r="O32" i="71"/>
  <c r="E48" i="71" s="1"/>
  <c r="AL40" i="71"/>
  <c r="AH40" i="71"/>
  <c r="AN40" i="71"/>
  <c r="AI40" i="71"/>
  <c r="AM40" i="71"/>
  <c r="AK40" i="71"/>
  <c r="AJ40" i="71"/>
  <c r="AX32" i="71"/>
  <c r="H63" i="71" s="1"/>
  <c r="AT32" i="71"/>
  <c r="D63" i="71" s="1"/>
  <c r="AW32" i="71"/>
  <c r="G63" i="71" s="1"/>
  <c r="AS32" i="71"/>
  <c r="C63" i="71" s="1"/>
  <c r="AY32" i="71"/>
  <c r="I63" i="71" s="1"/>
  <c r="AU32" i="71"/>
  <c r="E63" i="71" s="1"/>
  <c r="AV32" i="71"/>
  <c r="F63" i="71" s="1"/>
  <c r="BH38" i="71"/>
  <c r="BD38" i="71"/>
  <c r="BF38" i="71"/>
  <c r="BI38" i="71"/>
  <c r="BJ38" i="71"/>
  <c r="BE38" i="71"/>
  <c r="BG38" i="71"/>
  <c r="V31" i="71"/>
  <c r="BC31" i="71"/>
  <c r="L31" i="71"/>
  <c r="AR31" i="71"/>
  <c r="AG31" i="71"/>
  <c r="R24" i="71"/>
  <c r="AN32" i="71"/>
  <c r="I58" i="71" s="1"/>
  <c r="AJ32" i="71"/>
  <c r="E58" i="71" s="1"/>
  <c r="AM32" i="71"/>
  <c r="H58" i="71" s="1"/>
  <c r="AI32" i="71"/>
  <c r="D58" i="71" s="1"/>
  <c r="AL32" i="71"/>
  <c r="G58" i="71" s="1"/>
  <c r="AK32" i="71"/>
  <c r="AH32" i="71"/>
  <c r="C58" i="71" s="1"/>
  <c r="Q38" i="71"/>
  <c r="M38" i="71"/>
  <c r="S38" i="71"/>
  <c r="N38" i="71"/>
  <c r="U24" i="71"/>
  <c r="R38" i="71"/>
  <c r="P38" i="71"/>
  <c r="O38" i="71"/>
  <c r="Z38" i="71"/>
  <c r="Y38" i="71"/>
  <c r="W38" i="71"/>
  <c r="AC38" i="71"/>
  <c r="X38" i="71"/>
  <c r="AB38" i="71"/>
  <c r="AA38" i="71"/>
  <c r="S40" i="71"/>
  <c r="O40" i="71"/>
  <c r="P40" i="71"/>
  <c r="R40" i="71"/>
  <c r="M40" i="71"/>
  <c r="N40" i="71"/>
  <c r="U26" i="71"/>
  <c r="Q40" i="71"/>
  <c r="AV40" i="71"/>
  <c r="AU40" i="71"/>
  <c r="AX40" i="71"/>
  <c r="AS40" i="71"/>
  <c r="AY40" i="71"/>
  <c r="AT40" i="71"/>
  <c r="AW40" i="71"/>
  <c r="F58" i="71" l="1"/>
  <c r="H48" i="71"/>
  <c r="H68" i="71"/>
  <c r="H73" i="71" s="1"/>
  <c r="G68" i="71"/>
  <c r="C48" i="71"/>
  <c r="C68" i="71"/>
  <c r="I68" i="71"/>
  <c r="I73" i="71" s="1"/>
  <c r="D23" i="60" s="1"/>
  <c r="D68" i="71"/>
  <c r="G73" i="71"/>
  <c r="D73" i="71"/>
  <c r="T93" i="72" s="1"/>
  <c r="E73" i="71"/>
  <c r="T87" i="72" s="1"/>
  <c r="T90" i="72" s="1"/>
  <c r="T40" i="71"/>
  <c r="F73" i="71"/>
  <c r="T38" i="71"/>
  <c r="BK40" i="71"/>
  <c r="AZ38" i="71"/>
  <c r="AD38" i="71"/>
  <c r="AO38" i="71"/>
  <c r="BK38" i="71"/>
  <c r="AZ40" i="71"/>
  <c r="AO40" i="71"/>
  <c r="B48" i="71"/>
  <c r="Z31" i="71"/>
  <c r="F52" i="71" s="1"/>
  <c r="Y31" i="71"/>
  <c r="E52" i="71" s="1"/>
  <c r="AC31" i="71"/>
  <c r="I52" i="71" s="1"/>
  <c r="X31" i="71"/>
  <c r="D52" i="71" s="1"/>
  <c r="W31" i="71"/>
  <c r="C52" i="71" s="1"/>
  <c r="AB31" i="71"/>
  <c r="H52" i="71" s="1"/>
  <c r="AA31" i="71"/>
  <c r="G52" i="71" s="1"/>
  <c r="B68" i="71"/>
  <c r="AX31" i="71"/>
  <c r="H62" i="71" s="1"/>
  <c r="AT31" i="71"/>
  <c r="D62" i="71" s="1"/>
  <c r="AW31" i="71"/>
  <c r="G62" i="71" s="1"/>
  <c r="AS31" i="71"/>
  <c r="C62" i="71" s="1"/>
  <c r="AY31" i="71"/>
  <c r="I62" i="71" s="1"/>
  <c r="AV31" i="71"/>
  <c r="F62" i="71" s="1"/>
  <c r="AU31" i="71"/>
  <c r="E62" i="71" s="1"/>
  <c r="B63" i="71"/>
  <c r="AO32" i="71"/>
  <c r="Q31" i="71"/>
  <c r="G47" i="71" s="1"/>
  <c r="M31" i="71"/>
  <c r="C47" i="71" s="1"/>
  <c r="P31" i="71"/>
  <c r="F47" i="71" s="1"/>
  <c r="T24" i="71"/>
  <c r="O31" i="71"/>
  <c r="E47" i="71" s="1"/>
  <c r="E50" i="71" s="1"/>
  <c r="N31" i="71"/>
  <c r="D47" i="71" s="1"/>
  <c r="S31" i="71"/>
  <c r="I47" i="71" s="1"/>
  <c r="R31" i="71"/>
  <c r="H47" i="71" s="1"/>
  <c r="R33" i="71"/>
  <c r="H49" i="71" s="1"/>
  <c r="N33" i="71"/>
  <c r="D49" i="71" s="1"/>
  <c r="P33" i="71"/>
  <c r="F49" i="71" s="1"/>
  <c r="O33" i="71"/>
  <c r="E49" i="71" s="1"/>
  <c r="M33" i="71"/>
  <c r="C49" i="71" s="1"/>
  <c r="T26" i="71"/>
  <c r="S33" i="71"/>
  <c r="I49" i="71" s="1"/>
  <c r="Q33" i="71"/>
  <c r="G49" i="71" s="1"/>
  <c r="BI33" i="71"/>
  <c r="H69" i="71" s="1"/>
  <c r="BE33" i="71"/>
  <c r="D69" i="71" s="1"/>
  <c r="BH33" i="71"/>
  <c r="G69" i="71" s="1"/>
  <c r="BG33" i="71"/>
  <c r="F69" i="71" s="1"/>
  <c r="BF33" i="71"/>
  <c r="E69" i="71" s="1"/>
  <c r="BD33" i="71"/>
  <c r="C69" i="71" s="1"/>
  <c r="BJ33" i="71"/>
  <c r="I69" i="71" s="1"/>
  <c r="BK32" i="71"/>
  <c r="AN31" i="71"/>
  <c r="I57" i="71" s="1"/>
  <c r="AJ31" i="71"/>
  <c r="E57" i="71" s="1"/>
  <c r="AI31" i="71"/>
  <c r="D57" i="71" s="1"/>
  <c r="AM31" i="71"/>
  <c r="H57" i="71" s="1"/>
  <c r="AH31" i="71"/>
  <c r="C57" i="71" s="1"/>
  <c r="AL31" i="71"/>
  <c r="G57" i="71" s="1"/>
  <c r="AK31" i="71"/>
  <c r="F57" i="71" s="1"/>
  <c r="AZ32" i="71"/>
  <c r="AA33" i="71"/>
  <c r="G54" i="71" s="1"/>
  <c r="W33" i="71"/>
  <c r="C54" i="71" s="1"/>
  <c r="AB33" i="71"/>
  <c r="H54" i="71" s="1"/>
  <c r="Z33" i="71"/>
  <c r="F54" i="71" s="1"/>
  <c r="Y33" i="71"/>
  <c r="E54" i="71" s="1"/>
  <c r="X33" i="71"/>
  <c r="D54" i="71" s="1"/>
  <c r="AC33" i="71"/>
  <c r="I54" i="71" s="1"/>
  <c r="B58" i="71"/>
  <c r="BH31" i="71"/>
  <c r="G67" i="71" s="1"/>
  <c r="BD31" i="71"/>
  <c r="C67" i="71" s="1"/>
  <c r="BG31" i="71"/>
  <c r="F67" i="71" s="1"/>
  <c r="BJ31" i="71"/>
  <c r="I67" i="71" s="1"/>
  <c r="I70" i="71" s="1"/>
  <c r="BI31" i="71"/>
  <c r="H67" i="71" s="1"/>
  <c r="H70" i="71" s="1"/>
  <c r="BF31" i="71"/>
  <c r="E67" i="71" s="1"/>
  <c r="BE31" i="71"/>
  <c r="D67" i="71" s="1"/>
  <c r="T32" i="71"/>
  <c r="AY33" i="71"/>
  <c r="I64" i="71" s="1"/>
  <c r="AU33" i="71"/>
  <c r="E64" i="71" s="1"/>
  <c r="AV33" i="71"/>
  <c r="F64" i="71" s="1"/>
  <c r="AT33" i="71"/>
  <c r="D64" i="71" s="1"/>
  <c r="AX33" i="71"/>
  <c r="H64" i="71" s="1"/>
  <c r="AW33" i="71"/>
  <c r="G64" i="71" s="1"/>
  <c r="AS33" i="71"/>
  <c r="C64" i="71" s="1"/>
  <c r="AK33" i="71"/>
  <c r="F59" i="71" s="1"/>
  <c r="AN33" i="71"/>
  <c r="I59" i="71" s="1"/>
  <c r="AI33" i="71"/>
  <c r="D59" i="71" s="1"/>
  <c r="AM33" i="71"/>
  <c r="H59" i="71" s="1"/>
  <c r="AH33" i="71"/>
  <c r="C59" i="71" s="1"/>
  <c r="AL33" i="71"/>
  <c r="G59" i="71" s="1"/>
  <c r="AJ33" i="71"/>
  <c r="E59" i="71" s="1"/>
  <c r="B53" i="71"/>
  <c r="AD32" i="71"/>
  <c r="C73" i="71" l="1"/>
  <c r="T22" i="72" s="1"/>
  <c r="U58" i="71"/>
  <c r="S58" i="71"/>
  <c r="R58" i="71"/>
  <c r="E60" i="71"/>
  <c r="B69" i="71"/>
  <c r="C50" i="71"/>
  <c r="E65" i="71"/>
  <c r="I55" i="71"/>
  <c r="H55" i="71"/>
  <c r="AO31" i="71"/>
  <c r="G70" i="71"/>
  <c r="D72" i="71"/>
  <c r="D50" i="71"/>
  <c r="G55" i="71"/>
  <c r="C60" i="71"/>
  <c r="H74" i="71"/>
  <c r="G50" i="71"/>
  <c r="F65" i="71"/>
  <c r="J48" i="71"/>
  <c r="D70" i="71"/>
  <c r="F70" i="71"/>
  <c r="F60" i="71"/>
  <c r="H60" i="71"/>
  <c r="G74" i="71"/>
  <c r="E74" i="71"/>
  <c r="H50" i="71"/>
  <c r="I65" i="71"/>
  <c r="H65" i="71"/>
  <c r="C55" i="71"/>
  <c r="F55" i="71"/>
  <c r="T58" i="71"/>
  <c r="D74" i="71"/>
  <c r="T110" i="72" s="1"/>
  <c r="G65" i="71"/>
  <c r="I60" i="71"/>
  <c r="C74" i="71"/>
  <c r="T36" i="72" s="1"/>
  <c r="D65" i="71"/>
  <c r="E55" i="71"/>
  <c r="U90" i="72"/>
  <c r="E70" i="71"/>
  <c r="C70" i="71"/>
  <c r="G60" i="71"/>
  <c r="D60" i="71"/>
  <c r="I74" i="71"/>
  <c r="F74" i="71"/>
  <c r="I50" i="71"/>
  <c r="F50" i="71"/>
  <c r="C65" i="71"/>
  <c r="D55" i="71"/>
  <c r="B73" i="71"/>
  <c r="Q58" i="71"/>
  <c r="T95" i="72"/>
  <c r="U95" i="72"/>
  <c r="C72" i="71"/>
  <c r="E72" i="71"/>
  <c r="G72" i="71"/>
  <c r="Q52" i="71" s="1"/>
  <c r="H72" i="71"/>
  <c r="H75" i="71" s="1"/>
  <c r="I72" i="71"/>
  <c r="I75" i="71" s="1"/>
  <c r="F72" i="71"/>
  <c r="U46" i="71" s="1"/>
  <c r="B59" i="71"/>
  <c r="AO33" i="71"/>
  <c r="AZ33" i="71"/>
  <c r="B67" i="71"/>
  <c r="AD33" i="71"/>
  <c r="B57" i="71"/>
  <c r="B64" i="71"/>
  <c r="B54" i="71"/>
  <c r="BK33" i="71"/>
  <c r="B49" i="71"/>
  <c r="T31" i="71"/>
  <c r="AZ31" i="71"/>
  <c r="B52" i="71"/>
  <c r="BK31" i="71"/>
  <c r="T33" i="71"/>
  <c r="B47" i="71"/>
  <c r="B62" i="71"/>
  <c r="AD31" i="71"/>
  <c r="S52" i="71" l="1"/>
  <c r="S46" i="71"/>
  <c r="G75" i="71"/>
  <c r="D22" i="60"/>
  <c r="E22" i="60" s="1"/>
  <c r="T52" i="71"/>
  <c r="R52" i="71"/>
  <c r="U52" i="71"/>
  <c r="T4" i="72"/>
  <c r="C75" i="71"/>
  <c r="Q70" i="71" s="1"/>
  <c r="B74" i="71"/>
  <c r="T112" i="72"/>
  <c r="U112" i="72"/>
  <c r="D75" i="71"/>
  <c r="S64" i="71" s="1"/>
  <c r="T101" i="72"/>
  <c r="G72" i="27"/>
  <c r="T115" i="72"/>
  <c r="T116" i="72"/>
  <c r="F75" i="71"/>
  <c r="T54" i="72"/>
  <c r="T75" i="72" s="1"/>
  <c r="E75" i="71"/>
  <c r="Q46" i="71"/>
  <c r="R46" i="71"/>
  <c r="T46" i="71"/>
  <c r="B72" i="71"/>
  <c r="B45" i="71" s="1"/>
  <c r="J47" i="71"/>
  <c r="AI24" i="71"/>
  <c r="J49" i="71"/>
  <c r="T64" i="71" l="1"/>
  <c r="U64" i="71"/>
  <c r="Q64" i="71"/>
  <c r="S70" i="71"/>
  <c r="U103" i="72"/>
  <c r="U92" i="72" s="1"/>
  <c r="D20" i="60" s="1"/>
  <c r="E20" i="60" s="1"/>
  <c r="T103" i="72"/>
  <c r="U70" i="71"/>
  <c r="T65" i="72"/>
  <c r="U65" i="72"/>
  <c r="U57" i="72"/>
  <c r="U75" i="72"/>
  <c r="T57" i="72"/>
  <c r="R64" i="71"/>
  <c r="T70" i="71"/>
  <c r="R70" i="71"/>
  <c r="U53" i="72" l="1"/>
  <c r="D18" i="60" l="1"/>
  <c r="E18" i="60" s="1"/>
  <c r="C77" i="60"/>
  <c r="C76" i="60"/>
  <c r="C75" i="60"/>
  <c r="C74" i="60"/>
  <c r="C73" i="60"/>
  <c r="L1" i="67" l="1"/>
  <c r="L60" i="67" s="1"/>
  <c r="L7" i="67" l="1"/>
  <c r="L16" i="67"/>
  <c r="L21" i="67"/>
  <c r="L25" i="67"/>
  <c r="L29" i="67"/>
  <c r="L34" i="67"/>
  <c r="L38" i="67"/>
  <c r="L43" i="67"/>
  <c r="L48" i="67"/>
  <c r="L52" i="67"/>
  <c r="L56" i="67"/>
  <c r="L13" i="67"/>
  <c r="L17" i="67"/>
  <c r="L22" i="67"/>
  <c r="L26" i="67"/>
  <c r="L30" i="67"/>
  <c r="L35" i="67"/>
  <c r="L39" i="67"/>
  <c r="L44" i="67"/>
  <c r="L49" i="67"/>
  <c r="L53" i="67"/>
  <c r="L57" i="67"/>
  <c r="L5" i="67"/>
  <c r="L9" i="67"/>
  <c r="L14" i="67"/>
  <c r="L18" i="67"/>
  <c r="L23" i="67"/>
  <c r="L27" i="67"/>
  <c r="L32" i="67"/>
  <c r="L36" i="67"/>
  <c r="L40" i="67"/>
  <c r="L45" i="67"/>
  <c r="L50" i="67"/>
  <c r="L54" i="67"/>
  <c r="L59" i="67"/>
  <c r="L6" i="67"/>
  <c r="L10" i="67"/>
  <c r="L15" i="67"/>
  <c r="L20" i="67"/>
  <c r="L24" i="67"/>
  <c r="L28" i="67"/>
  <c r="L33" i="67"/>
  <c r="L37" i="67"/>
  <c r="L42" i="67"/>
  <c r="L47" i="67"/>
  <c r="L51" i="67"/>
  <c r="L55" i="67"/>
  <c r="R121" i="27" l="1"/>
  <c r="P121" i="27"/>
  <c r="L121" i="27"/>
  <c r="M121" i="27"/>
  <c r="N121" i="27"/>
  <c r="O121" i="27"/>
  <c r="K121" i="27"/>
  <c r="Q121" i="27" l="1"/>
  <c r="J96" i="27" l="1"/>
  <c r="W37" i="63" l="1"/>
  <c r="W36" i="63"/>
  <c r="W35" i="63"/>
  <c r="W34" i="63"/>
  <c r="W38" i="63" l="1"/>
  <c r="X35" i="63" l="1"/>
  <c r="X37" i="63" l="1"/>
  <c r="X36" i="63"/>
  <c r="X34" i="63"/>
  <c r="E77" i="70" s="1"/>
  <c r="S116" i="65" l="1"/>
  <c r="R116" i="65"/>
  <c r="Q116" i="65"/>
  <c r="P116" i="65"/>
  <c r="O116" i="65"/>
  <c r="N116" i="65"/>
  <c r="M116" i="65"/>
  <c r="L116" i="65"/>
  <c r="X70" i="65"/>
  <c r="W70" i="65"/>
  <c r="V70" i="65"/>
  <c r="U70" i="65"/>
  <c r="T70" i="65"/>
  <c r="X64" i="65"/>
  <c r="W64" i="65"/>
  <c r="V64" i="65"/>
  <c r="U64" i="65"/>
  <c r="T64" i="65"/>
  <c r="S86" i="65"/>
  <c r="X57" i="65"/>
  <c r="X76" i="65" s="1"/>
  <c r="W57" i="65"/>
  <c r="V57" i="65"/>
  <c r="V76" i="65" s="1"/>
  <c r="U57" i="65"/>
  <c r="U76" i="65" s="1"/>
  <c r="T57" i="65"/>
  <c r="T76" i="65" s="1"/>
  <c r="Y51" i="65"/>
  <c r="Y70" i="65" s="1"/>
  <c r="Y45" i="65"/>
  <c r="Y64" i="65" s="1"/>
  <c r="P32" i="65"/>
  <c r="O32" i="65"/>
  <c r="N32" i="65"/>
  <c r="M32" i="65"/>
  <c r="L32" i="65"/>
  <c r="P31" i="65"/>
  <c r="P35" i="65" s="1"/>
  <c r="W52" i="65" s="1"/>
  <c r="W71" i="65" s="1"/>
  <c r="O31" i="65"/>
  <c r="N31" i="65"/>
  <c r="N35" i="65" s="1"/>
  <c r="M31" i="65"/>
  <c r="L31" i="65"/>
  <c r="L35" i="65" s="1"/>
  <c r="U46" i="65" s="1"/>
  <c r="U65" i="65" s="1"/>
  <c r="M35" i="65" l="1"/>
  <c r="O35" i="65"/>
  <c r="Y57" i="65"/>
  <c r="Y76" i="65" s="1"/>
  <c r="AF71" i="65"/>
  <c r="AR11" i="56" s="1"/>
  <c r="V46" i="65"/>
  <c r="V65" i="65" s="1"/>
  <c r="AE65" i="65" s="1"/>
  <c r="AQ10" i="56" s="1"/>
  <c r="N36" i="65"/>
  <c r="V59" i="65" s="1"/>
  <c r="V78" i="65" s="1"/>
  <c r="AE78" i="65" s="1"/>
  <c r="V52" i="65"/>
  <c r="V71" i="65" s="1"/>
  <c r="AE71" i="65" s="1"/>
  <c r="AR10" i="56" s="1"/>
  <c r="T52" i="65"/>
  <c r="T46" i="65"/>
  <c r="T58" i="65"/>
  <c r="M36" i="65"/>
  <c r="X52" i="65"/>
  <c r="X71" i="65" s="1"/>
  <c r="AG71" i="65" s="1"/>
  <c r="AR12" i="56" s="1"/>
  <c r="O36" i="65"/>
  <c r="X46" i="65"/>
  <c r="X65" i="65" s="1"/>
  <c r="AG65" i="65" s="1"/>
  <c r="AQ12" i="56" s="1"/>
  <c r="X58" i="65"/>
  <c r="X77" i="65" s="1"/>
  <c r="AG77" i="65" s="1"/>
  <c r="AS12" i="56" s="1"/>
  <c r="AN84" i="65"/>
  <c r="BB11" i="56" s="1"/>
  <c r="U86" i="65"/>
  <c r="T86" i="65"/>
  <c r="AD65" i="65"/>
  <c r="AQ9" i="56" s="1"/>
  <c r="P36" i="65"/>
  <c r="W46" i="65"/>
  <c r="W65" i="65" s="1"/>
  <c r="AF65" i="65" s="1"/>
  <c r="AQ11" i="56" s="1"/>
  <c r="U52" i="65"/>
  <c r="U71" i="65" s="1"/>
  <c r="AD71" i="65" s="1"/>
  <c r="AR9" i="56" s="1"/>
  <c r="S82" i="65"/>
  <c r="V58" i="65"/>
  <c r="V77" i="65" s="1"/>
  <c r="AE77" i="65" s="1"/>
  <c r="AS10" i="56" s="1"/>
  <c r="S84" i="65"/>
  <c r="S83" i="65"/>
  <c r="L36" i="65"/>
  <c r="S85" i="65"/>
  <c r="W76" i="65"/>
  <c r="W58" i="65"/>
  <c r="W77" i="65" s="1"/>
  <c r="AF77" i="65" s="1"/>
  <c r="AS11" i="56" s="1"/>
  <c r="U58" i="65"/>
  <c r="U77" i="65" s="1"/>
  <c r="AD77" i="65" s="1"/>
  <c r="AS9" i="56" s="1"/>
  <c r="AN126" i="65" l="1"/>
  <c r="BH11" i="56" s="1"/>
  <c r="AN119" i="65"/>
  <c r="BG11" i="56" s="1"/>
  <c r="AN105" i="65"/>
  <c r="BE11" i="56" s="1"/>
  <c r="AN91" i="65"/>
  <c r="BC11" i="56" s="1"/>
  <c r="AN77" i="65"/>
  <c r="BA11" i="56" s="1"/>
  <c r="AN98" i="65"/>
  <c r="BD11" i="56" s="1"/>
  <c r="AN112" i="65"/>
  <c r="BF11" i="56" s="1"/>
  <c r="U47" i="65"/>
  <c r="U66" i="65" s="1"/>
  <c r="AD66" i="65" s="1"/>
  <c r="AD64" i="65" s="1"/>
  <c r="U59" i="65"/>
  <c r="U78" i="65" s="1"/>
  <c r="AD78" i="65" s="1"/>
  <c r="AD76" i="65" s="1"/>
  <c r="U53" i="65"/>
  <c r="U72" i="65" s="1"/>
  <c r="AD72" i="65" s="1"/>
  <c r="AD70" i="65" s="1"/>
  <c r="W53" i="65"/>
  <c r="W72" i="65" s="1"/>
  <c r="AF72" i="65" s="1"/>
  <c r="W47" i="65"/>
  <c r="W66" i="65" s="1"/>
  <c r="AF66" i="65" s="1"/>
  <c r="AF64" i="65" s="1"/>
  <c r="Y52" i="65"/>
  <c r="Y71" i="65" s="1"/>
  <c r="T71" i="65"/>
  <c r="AC71" i="65" s="1"/>
  <c r="AR8" i="56" s="1"/>
  <c r="AR13" i="56" s="1"/>
  <c r="W59" i="65"/>
  <c r="W78" i="65" s="1"/>
  <c r="AF78" i="65" s="1"/>
  <c r="U82" i="65"/>
  <c r="T82" i="65"/>
  <c r="U84" i="65"/>
  <c r="T84" i="65"/>
  <c r="AE84" i="65" s="1"/>
  <c r="AT10" i="56" s="1"/>
  <c r="AL126" i="65"/>
  <c r="BH9" i="56" s="1"/>
  <c r="AL119" i="65"/>
  <c r="BG9" i="56" s="1"/>
  <c r="AL112" i="65"/>
  <c r="BF9" i="56" s="1"/>
  <c r="AL105" i="65"/>
  <c r="BE9" i="56" s="1"/>
  <c r="AL98" i="65"/>
  <c r="BD9" i="56" s="1"/>
  <c r="AL91" i="65"/>
  <c r="BC9" i="56" s="1"/>
  <c r="AL77" i="65"/>
  <c r="BA9" i="56" s="1"/>
  <c r="AL84" i="65"/>
  <c r="BB9" i="56" s="1"/>
  <c r="Y58" i="65"/>
  <c r="Y77" i="65" s="1"/>
  <c r="T77" i="65"/>
  <c r="AC77" i="65" s="1"/>
  <c r="AS8" i="56" s="1"/>
  <c r="AS13" i="56" s="1"/>
  <c r="V53" i="65"/>
  <c r="V72" i="65" s="1"/>
  <c r="AE72" i="65" s="1"/>
  <c r="AE70" i="65" s="1"/>
  <c r="V47" i="65"/>
  <c r="V66" i="65" s="1"/>
  <c r="AE66" i="65" s="1"/>
  <c r="AE64" i="65" s="1"/>
  <c r="AE76" i="65"/>
  <c r="AO119" i="65"/>
  <c r="BG12" i="56" s="1"/>
  <c r="AO91" i="65"/>
  <c r="BC12" i="56" s="1"/>
  <c r="AO84" i="65"/>
  <c r="BB12" i="56" s="1"/>
  <c r="AO126" i="65"/>
  <c r="BH12" i="56" s="1"/>
  <c r="AO98" i="65"/>
  <c r="BD12" i="56" s="1"/>
  <c r="AO105" i="65"/>
  <c r="BE12" i="56" s="1"/>
  <c r="AO77" i="65"/>
  <c r="BA12" i="56" s="1"/>
  <c r="AO112" i="65"/>
  <c r="BF12" i="56" s="1"/>
  <c r="T83" i="65"/>
  <c r="AD84" i="65" s="1"/>
  <c r="AT9" i="56" s="1"/>
  <c r="U83" i="65"/>
  <c r="AG84" i="65"/>
  <c r="AT12" i="56" s="1"/>
  <c r="T59" i="65"/>
  <c r="T47" i="65"/>
  <c r="T53" i="65"/>
  <c r="AM77" i="65"/>
  <c r="BA10" i="56" s="1"/>
  <c r="AM105" i="65"/>
  <c r="BE10" i="56" s="1"/>
  <c r="AM112" i="65"/>
  <c r="BF10" i="56" s="1"/>
  <c r="AM84" i="65"/>
  <c r="BB10" i="56" s="1"/>
  <c r="AM91" i="65"/>
  <c r="BC10" i="56" s="1"/>
  <c r="AM98" i="65"/>
  <c r="BD10" i="56" s="1"/>
  <c r="AM126" i="65"/>
  <c r="BH10" i="56" s="1"/>
  <c r="AM119" i="65"/>
  <c r="BG10" i="56" s="1"/>
  <c r="T85" i="65"/>
  <c r="AF84" i="65" s="1"/>
  <c r="AT11" i="56" s="1"/>
  <c r="U85" i="65"/>
  <c r="AE85" i="65"/>
  <c r="AE92" i="65" s="1"/>
  <c r="AE99" i="65" s="1"/>
  <c r="AE106" i="65" s="1"/>
  <c r="X59" i="65"/>
  <c r="X78" i="65" s="1"/>
  <c r="AG78" i="65" s="1"/>
  <c r="AG85" i="65" s="1"/>
  <c r="AG92" i="65" s="1"/>
  <c r="AG99" i="65" s="1"/>
  <c r="AG106" i="65" s="1"/>
  <c r="X53" i="65"/>
  <c r="X72" i="65" s="1"/>
  <c r="AG72" i="65" s="1"/>
  <c r="X47" i="65"/>
  <c r="X66" i="65" s="1"/>
  <c r="AG66" i="65" s="1"/>
  <c r="AG64" i="65" s="1"/>
  <c r="T65" i="65"/>
  <c r="Y46" i="65"/>
  <c r="Y65" i="65" s="1"/>
  <c r="AC65" i="65"/>
  <c r="AQ8" i="56" s="1"/>
  <c r="AQ13" i="56" s="1"/>
  <c r="AF85" i="65" l="1"/>
  <c r="AF92" i="65" s="1"/>
  <c r="AF99" i="65" s="1"/>
  <c r="AF106" i="65" s="1"/>
  <c r="AF113" i="65" s="1"/>
  <c r="AF120" i="65" s="1"/>
  <c r="AF127" i="65" s="1"/>
  <c r="AG113" i="65"/>
  <c r="AG120" i="65" s="1"/>
  <c r="AG127" i="65" s="1"/>
  <c r="AD85" i="65"/>
  <c r="AD92" i="65" s="1"/>
  <c r="AD99" i="65" s="1"/>
  <c r="AD106" i="65" s="1"/>
  <c r="AD113" i="65" s="1"/>
  <c r="AD120" i="65" s="1"/>
  <c r="AD127" i="65" s="1"/>
  <c r="AE83" i="65"/>
  <c r="AE91" i="65"/>
  <c r="AU10" i="56" s="1"/>
  <c r="AF91" i="65"/>
  <c r="AU11" i="56" s="1"/>
  <c r="AH65" i="65"/>
  <c r="T66" i="65"/>
  <c r="Y47" i="65"/>
  <c r="Y66" i="65" s="1"/>
  <c r="AC57" i="65"/>
  <c r="Z65" i="65"/>
  <c r="AH77" i="65"/>
  <c r="AC84" i="65"/>
  <c r="AT8" i="56" s="1"/>
  <c r="AT13" i="56" s="1"/>
  <c r="AK126" i="65"/>
  <c r="BH8" i="56" s="1"/>
  <c r="BH13" i="56" s="1"/>
  <c r="AK98" i="65"/>
  <c r="BD8" i="56" s="1"/>
  <c r="BD13" i="56" s="1"/>
  <c r="AK105" i="65"/>
  <c r="BE8" i="56" s="1"/>
  <c r="BE13" i="56" s="1"/>
  <c r="AK77" i="65"/>
  <c r="BA8" i="56" s="1"/>
  <c r="BA13" i="56" s="1"/>
  <c r="AH71" i="65"/>
  <c r="AK112" i="65"/>
  <c r="BF8" i="56" s="1"/>
  <c r="BF13" i="56" s="1"/>
  <c r="AK119" i="65"/>
  <c r="BG8" i="56" s="1"/>
  <c r="BG13" i="56" s="1"/>
  <c r="AK91" i="65"/>
  <c r="BC8" i="56" s="1"/>
  <c r="BC13" i="56" s="1"/>
  <c r="AK84" i="65"/>
  <c r="BB8" i="56" s="1"/>
  <c r="BB13" i="56" s="1"/>
  <c r="AN120" i="65"/>
  <c r="AN118" i="65" s="1"/>
  <c r="AN92" i="65"/>
  <c r="AN90" i="65" s="1"/>
  <c r="AN127" i="65"/>
  <c r="AN125" i="65" s="1"/>
  <c r="AN99" i="65"/>
  <c r="AN97" i="65" s="1"/>
  <c r="AN85" i="65"/>
  <c r="AN83" i="65" s="1"/>
  <c r="AN78" i="65"/>
  <c r="AN76" i="65" s="1"/>
  <c r="AN106" i="65"/>
  <c r="AN104" i="65" s="1"/>
  <c r="AN113" i="65"/>
  <c r="AN111" i="65" s="1"/>
  <c r="AF70" i="65"/>
  <c r="AF76" i="65"/>
  <c r="AO85" i="65"/>
  <c r="AO83" i="65" s="1"/>
  <c r="AO78" i="65"/>
  <c r="AO76" i="65" s="1"/>
  <c r="AO127" i="65"/>
  <c r="AO125" i="65" s="1"/>
  <c r="AO99" i="65"/>
  <c r="AO97" i="65" s="1"/>
  <c r="AO106" i="65"/>
  <c r="AO104" i="65" s="1"/>
  <c r="AO92" i="65"/>
  <c r="AO90" i="65" s="1"/>
  <c r="AO120" i="65"/>
  <c r="AO118" i="65" s="1"/>
  <c r="AO113" i="65"/>
  <c r="AO111" i="65" s="1"/>
  <c r="AE113" i="65"/>
  <c r="AE120" i="65" s="1"/>
  <c r="AE127" i="65" s="1"/>
  <c r="AD83" i="65"/>
  <c r="AD91" i="65"/>
  <c r="AU9" i="56" s="1"/>
  <c r="T78" i="65"/>
  <c r="AC78" i="65" s="1"/>
  <c r="AC76" i="65" s="1"/>
  <c r="Y59" i="65"/>
  <c r="Y78" i="65" s="1"/>
  <c r="AM113" i="65"/>
  <c r="AM111" i="65" s="1"/>
  <c r="AM120" i="65"/>
  <c r="AM118" i="65" s="1"/>
  <c r="AM92" i="65"/>
  <c r="AM90" i="65" s="1"/>
  <c r="AM127" i="65"/>
  <c r="AM125" i="65" s="1"/>
  <c r="AM78" i="65"/>
  <c r="AM76" i="65" s="1"/>
  <c r="AM99" i="65"/>
  <c r="AM97" i="65" s="1"/>
  <c r="AM106" i="65"/>
  <c r="AM104" i="65" s="1"/>
  <c r="AM85" i="65"/>
  <c r="AM83" i="65" s="1"/>
  <c r="AG76" i="65"/>
  <c r="T72" i="65"/>
  <c r="AC72" i="65" s="1"/>
  <c r="AC70" i="65" s="1"/>
  <c r="Y53" i="65"/>
  <c r="Y72" i="65" s="1"/>
  <c r="AG83" i="65"/>
  <c r="AG91" i="65"/>
  <c r="AU12" i="56" s="1"/>
  <c r="AG70" i="65"/>
  <c r="AL127" i="65"/>
  <c r="AL125" i="65" s="1"/>
  <c r="AL120" i="65"/>
  <c r="AL118" i="65" s="1"/>
  <c r="AL113" i="65"/>
  <c r="AL111" i="65" s="1"/>
  <c r="AL106" i="65"/>
  <c r="AL104" i="65" s="1"/>
  <c r="AL99" i="65"/>
  <c r="AL97" i="65" s="1"/>
  <c r="AL92" i="65"/>
  <c r="AL90" i="65" s="1"/>
  <c r="AL78" i="65"/>
  <c r="AL76" i="65" s="1"/>
  <c r="AL85" i="65"/>
  <c r="AL83" i="65" s="1"/>
  <c r="AF83" i="65" l="1"/>
  <c r="AG98" i="65"/>
  <c r="AV12" i="56" s="1"/>
  <c r="AG90" i="65"/>
  <c r="AP98" i="65"/>
  <c r="AD98" i="65"/>
  <c r="AV9" i="56" s="1"/>
  <c r="AD90" i="65"/>
  <c r="AP126" i="65"/>
  <c r="AC66" i="65"/>
  <c r="Z66" i="65"/>
  <c r="AP119" i="65"/>
  <c r="AP77" i="65"/>
  <c r="AE90" i="65"/>
  <c r="AE98" i="65"/>
  <c r="AV10" i="56" s="1"/>
  <c r="AP84" i="65"/>
  <c r="AH84" i="65"/>
  <c r="AC91" i="65"/>
  <c r="AU8" i="56" s="1"/>
  <c r="AU13" i="56" s="1"/>
  <c r="AP91" i="65"/>
  <c r="AF98" i="65"/>
  <c r="AV11" i="56" s="1"/>
  <c r="AF90" i="65"/>
  <c r="AK85" i="65"/>
  <c r="AP85" i="65" s="1"/>
  <c r="AK78" i="65"/>
  <c r="AP78" i="65" s="1"/>
  <c r="AK106" i="65"/>
  <c r="AP106" i="65" s="1"/>
  <c r="AH72" i="65"/>
  <c r="AH70" i="65" s="1"/>
  <c r="AK113" i="65"/>
  <c r="AP113" i="65" s="1"/>
  <c r="AK92" i="65"/>
  <c r="AP92" i="65" s="1"/>
  <c r="AK127" i="65"/>
  <c r="AP127" i="65" s="1"/>
  <c r="AK120" i="65"/>
  <c r="AP120" i="65" s="1"/>
  <c r="AK99" i="65"/>
  <c r="AP99" i="65" s="1"/>
  <c r="AC85" i="65"/>
  <c r="AC83" i="65" s="1"/>
  <c r="AH78" i="65"/>
  <c r="AH76" i="65" s="1"/>
  <c r="AP112" i="65"/>
  <c r="AK111" i="65"/>
  <c r="AP105" i="65"/>
  <c r="AK104" i="65"/>
  <c r="AP76" i="65" l="1"/>
  <c r="AK76" i="65"/>
  <c r="AP125" i="65"/>
  <c r="AP90" i="65"/>
  <c r="AP118" i="65"/>
  <c r="AP83" i="65"/>
  <c r="AP111" i="65"/>
  <c r="AH66" i="65"/>
  <c r="AH64" i="65" s="1"/>
  <c r="AC64" i="65"/>
  <c r="AK97" i="65"/>
  <c r="AH91" i="65"/>
  <c r="AC98" i="65"/>
  <c r="AV8" i="56" s="1"/>
  <c r="AV13" i="56" s="1"/>
  <c r="AK83" i="65"/>
  <c r="AP97" i="65"/>
  <c r="AF105" i="65"/>
  <c r="AW11" i="56" s="1"/>
  <c r="AF97" i="65"/>
  <c r="AE105" i="65"/>
  <c r="AW10" i="56" s="1"/>
  <c r="AE97" i="65"/>
  <c r="AP104" i="65"/>
  <c r="AH85" i="65"/>
  <c r="AH83" i="65" s="1"/>
  <c r="AC92" i="65"/>
  <c r="AC90" i="65" s="1"/>
  <c r="AK90" i="65"/>
  <c r="AK118" i="65"/>
  <c r="AK125" i="65"/>
  <c r="AD105" i="65"/>
  <c r="AW9" i="56" s="1"/>
  <c r="AD97" i="65"/>
  <c r="AG105" i="65"/>
  <c r="AW12" i="56" s="1"/>
  <c r="AG97" i="65"/>
  <c r="AD104" i="65" l="1"/>
  <c r="AD112" i="65"/>
  <c r="AX9" i="56" s="1"/>
  <c r="AG112" i="65"/>
  <c r="AX12" i="56" s="1"/>
  <c r="AG104" i="65"/>
  <c r="AF112" i="65"/>
  <c r="AX11" i="56" s="1"/>
  <c r="AF104" i="65"/>
  <c r="AH98" i="65"/>
  <c r="AC105" i="65"/>
  <c r="AW8" i="56" s="1"/>
  <c r="AW13" i="56" s="1"/>
  <c r="AC99" i="65"/>
  <c r="AH92" i="65"/>
  <c r="AH90" i="65" s="1"/>
  <c r="AE112" i="65"/>
  <c r="AX10" i="56" s="1"/>
  <c r="AE104" i="65"/>
  <c r="AH99" i="65" l="1"/>
  <c r="AH97" i="65" s="1"/>
  <c r="AC106" i="65"/>
  <c r="AC97" i="65"/>
  <c r="AD111" i="65"/>
  <c r="AD119" i="65"/>
  <c r="AY9" i="56" s="1"/>
  <c r="AG119" i="65"/>
  <c r="AY12" i="56" s="1"/>
  <c r="AG111" i="65"/>
  <c r="AF119" i="65"/>
  <c r="AY11" i="56" s="1"/>
  <c r="AF111" i="65"/>
  <c r="AE119" i="65"/>
  <c r="AY10" i="56" s="1"/>
  <c r="AE111" i="65"/>
  <c r="AC112" i="65"/>
  <c r="AX8" i="56" s="1"/>
  <c r="AX13" i="56" s="1"/>
  <c r="AH105" i="65"/>
  <c r="AE118" i="65" l="1"/>
  <c r="AE126" i="65"/>
  <c r="AG118" i="65"/>
  <c r="AG126" i="65"/>
  <c r="AH106" i="65"/>
  <c r="AH104" i="65" s="1"/>
  <c r="AC113" i="65"/>
  <c r="AC111" i="65" s="1"/>
  <c r="AC104" i="65"/>
  <c r="AD126" i="65"/>
  <c r="AD118" i="65"/>
  <c r="AC119" i="65"/>
  <c r="AY8" i="56" s="1"/>
  <c r="AY13" i="56" s="1"/>
  <c r="AH112" i="65"/>
  <c r="AF126" i="65"/>
  <c r="AF118" i="65"/>
  <c r="AG125" i="65" l="1"/>
  <c r="AZ12" i="56"/>
  <c r="AD125" i="65"/>
  <c r="AZ9" i="56"/>
  <c r="AE125" i="65"/>
  <c r="AZ10" i="56"/>
  <c r="AF125" i="65"/>
  <c r="AZ11" i="56"/>
  <c r="AH119" i="65"/>
  <c r="AC126" i="65"/>
  <c r="AZ8" i="56" s="1"/>
  <c r="AH113" i="65"/>
  <c r="AH111" i="65" s="1"/>
  <c r="AC120" i="65"/>
  <c r="AC118" i="65" s="1"/>
  <c r="AZ13" i="56" l="1"/>
  <c r="AH126" i="65"/>
  <c r="AC127" i="65"/>
  <c r="AH127" i="65" s="1"/>
  <c r="AH120" i="65"/>
  <c r="AH118" i="65" s="1"/>
  <c r="AC125" i="65" l="1"/>
  <c r="AH125" i="65"/>
  <c r="C67" i="27" l="1"/>
  <c r="C30" i="63" l="1"/>
  <c r="D27" i="63" s="1"/>
  <c r="AZ28" i="63"/>
  <c r="AY28" i="63"/>
  <c r="AX28" i="63"/>
  <c r="AW28" i="63"/>
  <c r="AV28" i="63"/>
  <c r="AU28" i="63"/>
  <c r="AT28" i="63"/>
  <c r="AS28" i="63"/>
  <c r="AZ27" i="63"/>
  <c r="AY27" i="63"/>
  <c r="AX27" i="63"/>
  <c r="AW27" i="63"/>
  <c r="AV27" i="63"/>
  <c r="AU27" i="63"/>
  <c r="AT27" i="63"/>
  <c r="AS27" i="63"/>
  <c r="AZ26" i="63"/>
  <c r="AY26" i="63"/>
  <c r="AX26" i="63"/>
  <c r="AW26" i="63"/>
  <c r="AV26" i="63"/>
  <c r="AU26" i="63"/>
  <c r="AT26" i="63"/>
  <c r="AS26" i="63"/>
  <c r="AZ25" i="63"/>
  <c r="AY25" i="63"/>
  <c r="AX25" i="63"/>
  <c r="AW25" i="63"/>
  <c r="AV25" i="63"/>
  <c r="AU25" i="63"/>
  <c r="AT25" i="63"/>
  <c r="AS25" i="63"/>
  <c r="AZ24" i="63"/>
  <c r="AY24" i="63"/>
  <c r="AX24" i="63"/>
  <c r="AW24" i="63"/>
  <c r="AV24" i="63"/>
  <c r="AU24" i="63"/>
  <c r="AT24" i="63"/>
  <c r="AS24" i="63"/>
  <c r="AZ23" i="63"/>
  <c r="AY23" i="63"/>
  <c r="AX23" i="63"/>
  <c r="AW23" i="63"/>
  <c r="AV23" i="63"/>
  <c r="AU23" i="63"/>
  <c r="AT23" i="63"/>
  <c r="AS23" i="63"/>
  <c r="AZ22" i="63"/>
  <c r="AY22" i="63"/>
  <c r="AX22" i="63"/>
  <c r="AW22" i="63"/>
  <c r="AV22" i="63"/>
  <c r="AU22" i="63"/>
  <c r="AT22" i="63"/>
  <c r="AS22" i="63"/>
  <c r="AZ21" i="63"/>
  <c r="AY21" i="63"/>
  <c r="AX21" i="63"/>
  <c r="AW21" i="63"/>
  <c r="AV21" i="63"/>
  <c r="AU21" i="63"/>
  <c r="AT21" i="63"/>
  <c r="AS21" i="63"/>
  <c r="AZ20" i="63"/>
  <c r="AY20" i="63"/>
  <c r="AX20" i="63"/>
  <c r="AW20" i="63"/>
  <c r="AV20" i="63"/>
  <c r="AU20" i="63"/>
  <c r="AT20" i="63"/>
  <c r="AS20" i="63"/>
  <c r="AZ19" i="63"/>
  <c r="AY19" i="63"/>
  <c r="AX19" i="63"/>
  <c r="AW19" i="63"/>
  <c r="AV19" i="63"/>
  <c r="AU19" i="63"/>
  <c r="AT19" i="63"/>
  <c r="AS19" i="63"/>
  <c r="AZ18" i="63"/>
  <c r="AY18" i="63"/>
  <c r="AX18" i="63"/>
  <c r="AW18" i="63"/>
  <c r="AV18" i="63"/>
  <c r="AU18" i="63"/>
  <c r="AT18" i="63"/>
  <c r="AS18" i="63"/>
  <c r="AZ17" i="63"/>
  <c r="AY17" i="63"/>
  <c r="AX17" i="63"/>
  <c r="AW17" i="63"/>
  <c r="AV17" i="63"/>
  <c r="AU17" i="63"/>
  <c r="AT17" i="63"/>
  <c r="AS17" i="63"/>
  <c r="AZ16" i="63"/>
  <c r="AY16" i="63"/>
  <c r="AX16" i="63"/>
  <c r="AW16" i="63"/>
  <c r="AV16" i="63"/>
  <c r="AU16" i="63"/>
  <c r="AT16" i="63"/>
  <c r="AS16" i="63"/>
  <c r="AZ15" i="63"/>
  <c r="AY15" i="63"/>
  <c r="AX15" i="63"/>
  <c r="AW15" i="63"/>
  <c r="AV15" i="63"/>
  <c r="AU15" i="63"/>
  <c r="AT15" i="63"/>
  <c r="AS15" i="63"/>
  <c r="AZ14" i="63"/>
  <c r="AY14" i="63"/>
  <c r="AX14" i="63"/>
  <c r="AW14" i="63"/>
  <c r="AV14" i="63"/>
  <c r="AU14" i="63"/>
  <c r="AT14" i="63"/>
  <c r="AS14" i="63"/>
  <c r="AZ13" i="63"/>
  <c r="AY13" i="63"/>
  <c r="AX13" i="63"/>
  <c r="AW13" i="63"/>
  <c r="AV13" i="63"/>
  <c r="AU13" i="63"/>
  <c r="AT13" i="63"/>
  <c r="AS13" i="63"/>
  <c r="AZ12" i="63"/>
  <c r="AY12" i="63"/>
  <c r="AX12" i="63"/>
  <c r="AW12" i="63"/>
  <c r="AV12" i="63"/>
  <c r="AU12" i="63"/>
  <c r="AT12" i="63"/>
  <c r="AS12" i="63"/>
  <c r="AZ11" i="63"/>
  <c r="AY11" i="63"/>
  <c r="AX11" i="63"/>
  <c r="AW11" i="63"/>
  <c r="AV11" i="63"/>
  <c r="AU11" i="63"/>
  <c r="AT11" i="63"/>
  <c r="AS11" i="63"/>
  <c r="AZ10" i="63"/>
  <c r="AY10" i="63"/>
  <c r="AX10" i="63"/>
  <c r="AW10" i="63"/>
  <c r="AV10" i="63"/>
  <c r="AU10" i="63"/>
  <c r="AT10" i="63"/>
  <c r="AS10" i="63"/>
  <c r="AZ9" i="63"/>
  <c r="AY9" i="63"/>
  <c r="AX9" i="63"/>
  <c r="AW9" i="63"/>
  <c r="AV9" i="63"/>
  <c r="AU9" i="63"/>
  <c r="AT9" i="63"/>
  <c r="AS9" i="63"/>
  <c r="AZ8" i="63"/>
  <c r="AY8" i="63"/>
  <c r="AX8" i="63"/>
  <c r="AW8" i="63"/>
  <c r="AV8" i="63"/>
  <c r="AU8" i="63"/>
  <c r="AT8" i="63"/>
  <c r="AS8" i="63"/>
  <c r="AZ7" i="63"/>
  <c r="AY7" i="63"/>
  <c r="AX7" i="63"/>
  <c r="AW7" i="63"/>
  <c r="AV7" i="63"/>
  <c r="AU7" i="63"/>
  <c r="AT7" i="63"/>
  <c r="AS7" i="63"/>
  <c r="AZ6" i="63"/>
  <c r="AY6" i="63"/>
  <c r="AX6" i="63"/>
  <c r="AW6" i="63"/>
  <c r="AV6" i="63"/>
  <c r="AU6" i="63"/>
  <c r="AT6" i="63"/>
  <c r="AS6" i="63"/>
  <c r="AZ5" i="63"/>
  <c r="AY5" i="63"/>
  <c r="AX5" i="63"/>
  <c r="AW5" i="63"/>
  <c r="AV5" i="63"/>
  <c r="AU5" i="63"/>
  <c r="AT5" i="63"/>
  <c r="AS5" i="63"/>
  <c r="AZ4" i="63"/>
  <c r="AY4" i="63"/>
  <c r="AX4" i="63"/>
  <c r="AW4" i="63"/>
  <c r="AV4" i="63"/>
  <c r="AU4" i="63"/>
  <c r="AT4" i="63"/>
  <c r="AS4" i="63"/>
  <c r="AZ3" i="63"/>
  <c r="AY3" i="63"/>
  <c r="AX3" i="63"/>
  <c r="AW3" i="63"/>
  <c r="AV3" i="63"/>
  <c r="AU3" i="63"/>
  <c r="AT3" i="63"/>
  <c r="AS3" i="63"/>
  <c r="D67" i="26"/>
  <c r="E67" i="26"/>
  <c r="F67" i="26"/>
  <c r="G67" i="26"/>
  <c r="H67" i="26"/>
  <c r="I67" i="26"/>
  <c r="J67" i="26"/>
  <c r="L151" i="26"/>
  <c r="L150" i="26"/>
  <c r="L149" i="26"/>
  <c r="L148" i="26"/>
  <c r="L147" i="26"/>
  <c r="L146" i="26"/>
  <c r="L145" i="26"/>
  <c r="L144" i="26"/>
  <c r="L143" i="26"/>
  <c r="L142" i="26"/>
  <c r="M96" i="26"/>
  <c r="Q292" i="60"/>
  <c r="Q293" i="60" s="1"/>
  <c r="P292" i="60"/>
  <c r="P293" i="60" s="1"/>
  <c r="O292" i="60"/>
  <c r="O293" i="60" s="1"/>
  <c r="N292" i="60"/>
  <c r="N293" i="60" s="1"/>
  <c r="M292" i="60"/>
  <c r="M293" i="60" s="1"/>
  <c r="L292" i="60"/>
  <c r="L293" i="60" s="1"/>
  <c r="L294" i="60" s="1"/>
  <c r="K274" i="60"/>
  <c r="Q272" i="60"/>
  <c r="Q273" i="60" s="1"/>
  <c r="P272" i="60"/>
  <c r="P273" i="60" s="1"/>
  <c r="O272" i="60"/>
  <c r="O273" i="60" s="1"/>
  <c r="N272" i="60"/>
  <c r="N273" i="60" s="1"/>
  <c r="M272" i="60"/>
  <c r="M273" i="60" s="1"/>
  <c r="L272" i="60"/>
  <c r="L273" i="60" s="1"/>
  <c r="J269" i="60"/>
  <c r="J287" i="60" s="1"/>
  <c r="I269" i="60"/>
  <c r="I287" i="60" s="1"/>
  <c r="H269" i="60"/>
  <c r="H287" i="60" s="1"/>
  <c r="G269" i="60"/>
  <c r="F269" i="60"/>
  <c r="F287" i="60" s="1"/>
  <c r="E269" i="60"/>
  <c r="E287" i="60" s="1"/>
  <c r="D269" i="60"/>
  <c r="D287" i="60" s="1"/>
  <c r="C269" i="60"/>
  <c r="J260" i="60"/>
  <c r="I260" i="60"/>
  <c r="H260" i="60"/>
  <c r="G260" i="60"/>
  <c r="F260" i="60"/>
  <c r="E260" i="60"/>
  <c r="D260" i="60"/>
  <c r="C260" i="60"/>
  <c r="J255" i="60"/>
  <c r="I255" i="60"/>
  <c r="H255" i="60"/>
  <c r="G255" i="60"/>
  <c r="F255" i="60"/>
  <c r="E255" i="60"/>
  <c r="D255" i="60"/>
  <c r="C255" i="60"/>
  <c r="J249" i="60"/>
  <c r="I249" i="60"/>
  <c r="H249" i="60"/>
  <c r="G249" i="60"/>
  <c r="F249" i="60"/>
  <c r="E249" i="60"/>
  <c r="D249" i="60"/>
  <c r="C249" i="60"/>
  <c r="J241" i="60"/>
  <c r="J286" i="60" s="1"/>
  <c r="I241" i="60"/>
  <c r="I286" i="60" s="1"/>
  <c r="H241" i="60"/>
  <c r="H286" i="60" s="1"/>
  <c r="G241" i="60"/>
  <c r="G286" i="60" s="1"/>
  <c r="F241" i="60"/>
  <c r="F286" i="60" s="1"/>
  <c r="E241" i="60"/>
  <c r="E286" i="60" s="1"/>
  <c r="D241" i="60"/>
  <c r="D286" i="60" s="1"/>
  <c r="C241" i="60"/>
  <c r="C286" i="60" s="1"/>
  <c r="J217" i="60"/>
  <c r="I217" i="60"/>
  <c r="H217" i="60"/>
  <c r="G217" i="60"/>
  <c r="F217" i="60"/>
  <c r="E217" i="60"/>
  <c r="D217" i="60"/>
  <c r="C217" i="60"/>
  <c r="J216" i="60"/>
  <c r="I216" i="60"/>
  <c r="H216" i="60"/>
  <c r="G216" i="60"/>
  <c r="F216" i="60"/>
  <c r="E216" i="60"/>
  <c r="D216" i="60"/>
  <c r="C216" i="60"/>
  <c r="J215" i="60"/>
  <c r="I215" i="60"/>
  <c r="H215" i="60"/>
  <c r="G215" i="60"/>
  <c r="F215" i="60"/>
  <c r="E215" i="60"/>
  <c r="D215" i="60"/>
  <c r="C215" i="60"/>
  <c r="C144" i="60"/>
  <c r="C169" i="60" s="1"/>
  <c r="I101" i="60"/>
  <c r="H101" i="60"/>
  <c r="G101" i="60"/>
  <c r="F101" i="60"/>
  <c r="E101" i="60"/>
  <c r="D101" i="60"/>
  <c r="C101" i="60"/>
  <c r="I100" i="60"/>
  <c r="H100" i="60"/>
  <c r="G100" i="60"/>
  <c r="F100" i="60"/>
  <c r="E100" i="60"/>
  <c r="D100" i="60"/>
  <c r="C100" i="60"/>
  <c r="I99" i="60"/>
  <c r="H99" i="60"/>
  <c r="G99" i="60"/>
  <c r="F99" i="60"/>
  <c r="E99" i="60"/>
  <c r="D99" i="60"/>
  <c r="C99" i="60"/>
  <c r="I98" i="60"/>
  <c r="H98" i="60"/>
  <c r="G98" i="60"/>
  <c r="F98" i="60"/>
  <c r="E98" i="60"/>
  <c r="D98" i="60"/>
  <c r="C98" i="60"/>
  <c r="I93" i="60"/>
  <c r="H93" i="60"/>
  <c r="G93" i="60"/>
  <c r="F93" i="60"/>
  <c r="E93" i="60"/>
  <c r="D93" i="60"/>
  <c r="C93" i="60"/>
  <c r="I92" i="60"/>
  <c r="H92" i="60"/>
  <c r="G92" i="60"/>
  <c r="F92" i="60"/>
  <c r="E92" i="60"/>
  <c r="D92" i="60"/>
  <c r="C92" i="60"/>
  <c r="I91" i="60"/>
  <c r="H91" i="60"/>
  <c r="G91" i="60"/>
  <c r="F91" i="60"/>
  <c r="E91" i="60"/>
  <c r="D91" i="60"/>
  <c r="C91" i="60"/>
  <c r="I90" i="60"/>
  <c r="H90" i="60"/>
  <c r="G90" i="60"/>
  <c r="F90" i="60"/>
  <c r="E90" i="60"/>
  <c r="D90" i="60"/>
  <c r="C90" i="60"/>
  <c r="I89" i="60"/>
  <c r="H89" i="60"/>
  <c r="G89" i="60"/>
  <c r="F89" i="60"/>
  <c r="E89" i="60"/>
  <c r="D89" i="60"/>
  <c r="C89" i="60"/>
  <c r="I88" i="60"/>
  <c r="F88" i="60"/>
  <c r="E88" i="60"/>
  <c r="C64" i="60"/>
  <c r="M58" i="60"/>
  <c r="L58" i="60"/>
  <c r="K58" i="60"/>
  <c r="J58" i="60"/>
  <c r="I58" i="60"/>
  <c r="H58" i="60"/>
  <c r="G58" i="60"/>
  <c r="F58" i="60"/>
  <c r="E58" i="60"/>
  <c r="D58" i="60"/>
  <c r="C58" i="60"/>
  <c r="F54" i="60"/>
  <c r="E54" i="60"/>
  <c r="E5" i="60" s="1"/>
  <c r="D54" i="60"/>
  <c r="D5" i="60" s="1"/>
  <c r="C54" i="60"/>
  <c r="I45" i="60"/>
  <c r="H45" i="60"/>
  <c r="G45" i="60"/>
  <c r="F45" i="60"/>
  <c r="E45" i="60"/>
  <c r="D45" i="60"/>
  <c r="C45" i="60"/>
  <c r="M42" i="60"/>
  <c r="L42" i="60"/>
  <c r="L41" i="60" s="1"/>
  <c r="K42" i="60"/>
  <c r="J42" i="60"/>
  <c r="I42" i="60"/>
  <c r="H42" i="60"/>
  <c r="G42" i="60"/>
  <c r="F42" i="60"/>
  <c r="E42" i="60"/>
  <c r="D42" i="60"/>
  <c r="D41" i="60" s="1"/>
  <c r="C42" i="60"/>
  <c r="C40" i="60"/>
  <c r="C39" i="60" s="1"/>
  <c r="I34" i="60"/>
  <c r="H34" i="60"/>
  <c r="G34" i="60"/>
  <c r="F34" i="60"/>
  <c r="D34" i="60"/>
  <c r="E34" i="60" s="1"/>
  <c r="C34" i="60"/>
  <c r="I33" i="60"/>
  <c r="I60" i="60" s="1"/>
  <c r="I10" i="60" s="1"/>
  <c r="H33" i="60"/>
  <c r="H60" i="60" s="1"/>
  <c r="H10" i="60" s="1"/>
  <c r="G33" i="60"/>
  <c r="G60" i="60" s="1"/>
  <c r="G10" i="60" s="1"/>
  <c r="F33" i="60"/>
  <c r="F60" i="60" s="1"/>
  <c r="F10" i="60" s="1"/>
  <c r="E33" i="60"/>
  <c r="E60" i="60" s="1"/>
  <c r="E10" i="60" s="1"/>
  <c r="D33" i="60"/>
  <c r="D60" i="60" s="1"/>
  <c r="D10" i="60" s="1"/>
  <c r="C33" i="60"/>
  <c r="C60" i="60" s="1"/>
  <c r="C10" i="60" s="1"/>
  <c r="D32" i="60"/>
  <c r="C32" i="60"/>
  <c r="I31" i="60"/>
  <c r="H31" i="60"/>
  <c r="G31" i="60"/>
  <c r="F31" i="60"/>
  <c r="E31" i="60"/>
  <c r="D31" i="60"/>
  <c r="C31" i="60"/>
  <c r="I30" i="60"/>
  <c r="H30" i="60"/>
  <c r="H51" i="60" s="1"/>
  <c r="G30" i="60"/>
  <c r="G51" i="60" s="1"/>
  <c r="F30" i="60"/>
  <c r="F51" i="60" s="1"/>
  <c r="D30" i="60"/>
  <c r="C30" i="60"/>
  <c r="C51" i="60" s="1"/>
  <c r="I29" i="60"/>
  <c r="H29" i="60"/>
  <c r="G29" i="60"/>
  <c r="F29" i="60"/>
  <c r="E29" i="60"/>
  <c r="D29" i="60"/>
  <c r="C29" i="60"/>
  <c r="D9" i="60"/>
  <c r="M5" i="60"/>
  <c r="K5" i="60"/>
  <c r="J5" i="60"/>
  <c r="I5" i="60"/>
  <c r="H5" i="60"/>
  <c r="G5" i="60"/>
  <c r="F5" i="60"/>
  <c r="C5" i="60"/>
  <c r="C5" i="28"/>
  <c r="C13" i="28" s="1"/>
  <c r="J66" i="28"/>
  <c r="R66" i="28" s="1"/>
  <c r="H66" i="28"/>
  <c r="J65" i="28"/>
  <c r="H65" i="28"/>
  <c r="P65" i="28" s="1"/>
  <c r="J64" i="28"/>
  <c r="H64" i="28"/>
  <c r="J63" i="28"/>
  <c r="H63" i="28"/>
  <c r="J62" i="28"/>
  <c r="H62" i="28"/>
  <c r="J61" i="28"/>
  <c r="H61" i="28"/>
  <c r="F61" i="28"/>
  <c r="C61" i="28"/>
  <c r="B61" i="28"/>
  <c r="F53" i="28"/>
  <c r="C53" i="28"/>
  <c r="B53" i="28"/>
  <c r="D13" i="28"/>
  <c r="E13" i="28"/>
  <c r="F13" i="28"/>
  <c r="G13" i="28"/>
  <c r="H13" i="28"/>
  <c r="I13" i="28"/>
  <c r="J13" i="28"/>
  <c r="K13" i="28"/>
  <c r="L13" i="28"/>
  <c r="M13" i="28"/>
  <c r="N13" i="28"/>
  <c r="K62" i="26"/>
  <c r="L62" i="26" s="1"/>
  <c r="M62" i="26" s="1"/>
  <c r="N62" i="26" s="1"/>
  <c r="K61" i="26"/>
  <c r="D35" i="26"/>
  <c r="D36" i="26" s="1"/>
  <c r="C35" i="26"/>
  <c r="C36" i="26" s="1"/>
  <c r="H7" i="70" l="1"/>
  <c r="H13" i="70"/>
  <c r="D15" i="70"/>
  <c r="H18" i="70"/>
  <c r="D20" i="70"/>
  <c r="D21" i="70"/>
  <c r="D23" i="70"/>
  <c r="H26" i="70"/>
  <c r="D27" i="70"/>
  <c r="H88" i="60"/>
  <c r="E29" i="70"/>
  <c r="AV31" i="63"/>
  <c r="I2" i="70"/>
  <c r="AZ31" i="63"/>
  <c r="E6" i="70"/>
  <c r="I7" i="70"/>
  <c r="I9" i="70"/>
  <c r="E10" i="70"/>
  <c r="I11" i="70"/>
  <c r="E13" i="70"/>
  <c r="E15" i="70"/>
  <c r="I16" i="70"/>
  <c r="E17" i="70"/>
  <c r="I18" i="70"/>
  <c r="I20" i="70"/>
  <c r="I21" i="70"/>
  <c r="E23" i="70"/>
  <c r="I26" i="70"/>
  <c r="E27" i="70"/>
  <c r="Q47" i="71"/>
  <c r="AY29" i="63"/>
  <c r="AY31" i="63"/>
  <c r="D10" i="70"/>
  <c r="D16" i="70"/>
  <c r="P61" i="28"/>
  <c r="N61" i="28" s="1"/>
  <c r="D88" i="60"/>
  <c r="AS31" i="63"/>
  <c r="F29" i="70"/>
  <c r="AW31" i="63"/>
  <c r="F3" i="70"/>
  <c r="F5" i="70"/>
  <c r="B7" i="70"/>
  <c r="F7" i="70"/>
  <c r="B9" i="70"/>
  <c r="F9" i="70"/>
  <c r="B11" i="70"/>
  <c r="F11" i="70"/>
  <c r="F12" i="70"/>
  <c r="B16" i="70"/>
  <c r="F16" i="70"/>
  <c r="B18" i="70"/>
  <c r="F18" i="70"/>
  <c r="B20" i="70"/>
  <c r="B21" i="70"/>
  <c r="F21" i="70"/>
  <c r="B23" i="70"/>
  <c r="F24" i="70"/>
  <c r="B26" i="70"/>
  <c r="F26" i="70"/>
  <c r="D29" i="70"/>
  <c r="AU31" i="63"/>
  <c r="H9" i="70"/>
  <c r="D12" i="70"/>
  <c r="H17" i="70"/>
  <c r="D51" i="60"/>
  <c r="N22" i="60"/>
  <c r="C57" i="60"/>
  <c r="E32" i="60"/>
  <c r="F32" i="60" s="1"/>
  <c r="C63" i="60"/>
  <c r="E94" i="60"/>
  <c r="D102" i="60"/>
  <c r="H102" i="60"/>
  <c r="H103" i="60" s="1"/>
  <c r="O284" i="60"/>
  <c r="O285" i="60" s="1"/>
  <c r="L274" i="60"/>
  <c r="AT31" i="63"/>
  <c r="C2" i="70"/>
  <c r="AX29" i="63"/>
  <c r="AX31" i="63"/>
  <c r="C5" i="70"/>
  <c r="C6" i="70"/>
  <c r="G6" i="70"/>
  <c r="G9" i="70"/>
  <c r="G10" i="70"/>
  <c r="C12" i="70"/>
  <c r="G12" i="70"/>
  <c r="C13" i="70"/>
  <c r="G13" i="70"/>
  <c r="G15" i="70"/>
  <c r="G17" i="70"/>
  <c r="G18" i="70"/>
  <c r="G20" i="70"/>
  <c r="G21" i="70"/>
  <c r="C23" i="70"/>
  <c r="G23" i="70"/>
  <c r="C27" i="70"/>
  <c r="G27" i="70"/>
  <c r="E51" i="60"/>
  <c r="C9" i="60"/>
  <c r="AT29" i="63"/>
  <c r="I36" i="26"/>
  <c r="C37" i="26"/>
  <c r="G41" i="60"/>
  <c r="K41" i="60"/>
  <c r="L61" i="26"/>
  <c r="K67" i="26"/>
  <c r="P63" i="28"/>
  <c r="L63" i="28" s="1"/>
  <c r="R63" i="28"/>
  <c r="M63" i="28" s="1"/>
  <c r="C287" i="60"/>
  <c r="C88" i="60"/>
  <c r="C94" i="60" s="1"/>
  <c r="C95" i="60" s="1"/>
  <c r="G287" i="60"/>
  <c r="G88" i="60"/>
  <c r="G94" i="60" s="1"/>
  <c r="D35" i="60"/>
  <c r="D37" i="26"/>
  <c r="J36" i="26"/>
  <c r="J30" i="60"/>
  <c r="J34" i="60"/>
  <c r="F94" i="60"/>
  <c r="J29" i="60"/>
  <c r="K29" i="60" s="1"/>
  <c r="L29" i="60" s="1"/>
  <c r="M29" i="60" s="1"/>
  <c r="D57" i="60"/>
  <c r="H41" i="60"/>
  <c r="D103" i="60"/>
  <c r="AV29" i="63"/>
  <c r="AZ29" i="63"/>
  <c r="R61" i="28"/>
  <c r="R62" i="28"/>
  <c r="R64" i="28"/>
  <c r="C35" i="60"/>
  <c r="J31" i="60"/>
  <c r="K31" i="60" s="1"/>
  <c r="L31" i="60" s="1"/>
  <c r="M31" i="60" s="1"/>
  <c r="I94" i="60"/>
  <c r="C102" i="60"/>
  <c r="C103" i="60" s="1"/>
  <c r="G102" i="60"/>
  <c r="G103" i="60" s="1"/>
  <c r="AS29" i="63"/>
  <c r="AW29" i="63"/>
  <c r="BA4" i="63"/>
  <c r="BA5" i="63"/>
  <c r="BA6" i="63"/>
  <c r="H30" i="70" s="1"/>
  <c r="BA7" i="63"/>
  <c r="I6" i="70" s="1"/>
  <c r="BA8" i="63"/>
  <c r="BA9" i="63"/>
  <c r="I8" i="70" s="1"/>
  <c r="BA10" i="63"/>
  <c r="BA11" i="63"/>
  <c r="I10" i="70" s="1"/>
  <c r="BA12" i="63"/>
  <c r="BA13" i="63"/>
  <c r="E12" i="70" s="1"/>
  <c r="BA14" i="63"/>
  <c r="I13" i="70" s="1"/>
  <c r="BA15" i="63"/>
  <c r="C14" i="70" s="1"/>
  <c r="BA16" i="63"/>
  <c r="I15" i="70" s="1"/>
  <c r="BA17" i="63"/>
  <c r="H16" i="70" s="1"/>
  <c r="BA18" i="63"/>
  <c r="I17" i="70" s="1"/>
  <c r="BA19" i="63"/>
  <c r="C18" i="70" s="1"/>
  <c r="BA20" i="63"/>
  <c r="I19" i="70" s="1"/>
  <c r="BA21" i="63"/>
  <c r="D32" i="70" s="1"/>
  <c r="BA22" i="63"/>
  <c r="BA23" i="63"/>
  <c r="I22" i="70" s="1"/>
  <c r="BA24" i="63"/>
  <c r="H33" i="70" s="1"/>
  <c r="BA25" i="63"/>
  <c r="BA26" i="63"/>
  <c r="H25" i="70" s="1"/>
  <c r="BA27" i="63"/>
  <c r="C26" i="70" s="1"/>
  <c r="BA28" i="63"/>
  <c r="H27" i="70" s="1"/>
  <c r="M41" i="60"/>
  <c r="E102" i="60"/>
  <c r="I102" i="60"/>
  <c r="L284" i="60"/>
  <c r="L285" i="60" s="1"/>
  <c r="L286" i="60" s="1"/>
  <c r="M286" i="60" s="1"/>
  <c r="P284" i="60"/>
  <c r="P285" i="60" s="1"/>
  <c r="AT33" i="63"/>
  <c r="D94" i="60"/>
  <c r="H94" i="60"/>
  <c r="F102" i="60"/>
  <c r="F103" i="60" s="1"/>
  <c r="AU29" i="63"/>
  <c r="D75" i="26"/>
  <c r="H75" i="26"/>
  <c r="G75" i="26"/>
  <c r="J75" i="26"/>
  <c r="F75" i="26"/>
  <c r="I75" i="26"/>
  <c r="E75" i="26"/>
  <c r="D4" i="63"/>
  <c r="D6" i="63"/>
  <c r="D8" i="63"/>
  <c r="D10" i="63"/>
  <c r="D12" i="63"/>
  <c r="D14" i="63"/>
  <c r="D16" i="63"/>
  <c r="D18" i="63"/>
  <c r="D20" i="63"/>
  <c r="D22" i="63"/>
  <c r="D24" i="63"/>
  <c r="D26" i="63"/>
  <c r="D28" i="63"/>
  <c r="BA3" i="63"/>
  <c r="E2" i="70" s="1"/>
  <c r="D3" i="63"/>
  <c r="D5" i="63"/>
  <c r="D7" i="63"/>
  <c r="D9" i="63"/>
  <c r="D11" i="63"/>
  <c r="D13" i="63"/>
  <c r="D15" i="63"/>
  <c r="D17" i="63"/>
  <c r="D19" i="63"/>
  <c r="D21" i="63"/>
  <c r="D23" i="63"/>
  <c r="D25" i="63"/>
  <c r="L5" i="60"/>
  <c r="N284" i="60"/>
  <c r="N285" i="60" s="1"/>
  <c r="J51" i="60"/>
  <c r="K30" i="60"/>
  <c r="K34" i="60"/>
  <c r="M274" i="60"/>
  <c r="D40" i="60"/>
  <c r="D39" i="60" s="1"/>
  <c r="M294" i="60"/>
  <c r="N294" i="60" s="1"/>
  <c r="O294" i="60" s="1"/>
  <c r="P294" i="60" s="1"/>
  <c r="Q294" i="60" s="1"/>
  <c r="D64" i="60"/>
  <c r="D63" i="60" s="1"/>
  <c r="E103" i="60"/>
  <c r="I103" i="60"/>
  <c r="M284" i="60"/>
  <c r="M285" i="60" s="1"/>
  <c r="Q284" i="60"/>
  <c r="Q285" i="60" s="1"/>
  <c r="J33" i="60"/>
  <c r="E41" i="60"/>
  <c r="I41" i="60"/>
  <c r="I51" i="60"/>
  <c r="F41" i="60"/>
  <c r="J41" i="60"/>
  <c r="M61" i="28"/>
  <c r="N63" i="28"/>
  <c r="P62" i="28"/>
  <c r="P64" i="28"/>
  <c r="M64" i="28" s="1"/>
  <c r="R65" i="28"/>
  <c r="M65" i="28" s="1"/>
  <c r="P66" i="28"/>
  <c r="E35" i="60" l="1"/>
  <c r="E57" i="60"/>
  <c r="E9" i="60"/>
  <c r="F9" i="60" s="1"/>
  <c r="AZ30" i="63"/>
  <c r="G25" i="70"/>
  <c r="G22" i="70"/>
  <c r="H31" i="70"/>
  <c r="D30" i="70"/>
  <c r="J23" i="70"/>
  <c r="Q53" i="71"/>
  <c r="Q48" i="71"/>
  <c r="I33" i="70"/>
  <c r="E22" i="70"/>
  <c r="E19" i="70"/>
  <c r="G33" i="70"/>
  <c r="C22" i="70"/>
  <c r="C19" i="70"/>
  <c r="C15" i="70"/>
  <c r="C31" i="70"/>
  <c r="C10" i="70"/>
  <c r="C30" i="70"/>
  <c r="G2" i="70"/>
  <c r="C29" i="70"/>
  <c r="D8" i="70"/>
  <c r="H3" i="70"/>
  <c r="J18" i="70"/>
  <c r="F31" i="70"/>
  <c r="F30" i="70"/>
  <c r="B3" i="70"/>
  <c r="D24" i="70"/>
  <c r="H14" i="70"/>
  <c r="H8" i="70"/>
  <c r="H2" i="70"/>
  <c r="E20" i="70"/>
  <c r="J20" i="70" s="1"/>
  <c r="I14" i="70"/>
  <c r="G26" i="70"/>
  <c r="G24" i="70"/>
  <c r="C20" i="70"/>
  <c r="G16" i="70"/>
  <c r="G14" i="70"/>
  <c r="G11" i="70"/>
  <c r="G7" i="70"/>
  <c r="G5" i="70"/>
  <c r="G3" i="70"/>
  <c r="G29" i="70"/>
  <c r="BA31" i="63"/>
  <c r="D22" i="70"/>
  <c r="D14" i="70"/>
  <c r="D31" i="70"/>
  <c r="H6" i="70"/>
  <c r="F27" i="70"/>
  <c r="F25" i="70"/>
  <c r="F23" i="70"/>
  <c r="F22" i="70"/>
  <c r="F20" i="70"/>
  <c r="F19" i="70"/>
  <c r="F17" i="70"/>
  <c r="F15" i="70"/>
  <c r="F13" i="70"/>
  <c r="B12" i="70"/>
  <c r="F10" i="70"/>
  <c r="F8" i="70"/>
  <c r="F6" i="70"/>
  <c r="B5" i="70"/>
  <c r="B2" i="70"/>
  <c r="H19" i="70"/>
  <c r="D13" i="70"/>
  <c r="D7" i="70"/>
  <c r="H29" i="70"/>
  <c r="E26" i="70"/>
  <c r="E24" i="70"/>
  <c r="E33" i="70"/>
  <c r="E21" i="70"/>
  <c r="E32" i="70"/>
  <c r="E18" i="70"/>
  <c r="E16" i="70"/>
  <c r="E14" i="70"/>
  <c r="I12" i="70"/>
  <c r="E11" i="70"/>
  <c r="E9" i="70"/>
  <c r="E7" i="70"/>
  <c r="I5" i="70"/>
  <c r="E3" i="70"/>
  <c r="D26" i="70"/>
  <c r="J26" i="70" s="1"/>
  <c r="H23" i="70"/>
  <c r="H22" i="70"/>
  <c r="H32" i="70"/>
  <c r="D18" i="70"/>
  <c r="D11" i="70"/>
  <c r="G19" i="70"/>
  <c r="G8" i="70"/>
  <c r="F14" i="70"/>
  <c r="E25" i="70"/>
  <c r="E31" i="70"/>
  <c r="E8" i="70"/>
  <c r="E30" i="70"/>
  <c r="D25" i="70"/>
  <c r="L61" i="28"/>
  <c r="AV30" i="63"/>
  <c r="C25" i="70"/>
  <c r="G32" i="70"/>
  <c r="C17" i="70"/>
  <c r="C8" i="70"/>
  <c r="G32" i="60"/>
  <c r="F57" i="60"/>
  <c r="H15" i="70"/>
  <c r="B24" i="70"/>
  <c r="B33" i="70"/>
  <c r="B32" i="70"/>
  <c r="B14" i="70"/>
  <c r="J14" i="70" s="1"/>
  <c r="I24" i="70"/>
  <c r="I31" i="70"/>
  <c r="I30" i="70"/>
  <c r="I3" i="70"/>
  <c r="I29" i="70"/>
  <c r="H24" i="70"/>
  <c r="D33" i="70"/>
  <c r="H20" i="70"/>
  <c r="H5" i="70"/>
  <c r="AT30" i="63"/>
  <c r="U47" i="71"/>
  <c r="S47" i="71"/>
  <c r="R47" i="71"/>
  <c r="T47" i="71"/>
  <c r="F35" i="60"/>
  <c r="C24" i="70"/>
  <c r="C33" i="70"/>
  <c r="C21" i="70"/>
  <c r="J21" i="70" s="1"/>
  <c r="C32" i="70"/>
  <c r="C16" i="70"/>
  <c r="J16" i="70" s="1"/>
  <c r="G31" i="70"/>
  <c r="C11" i="70"/>
  <c r="J11" i="70" s="1"/>
  <c r="C9" i="70"/>
  <c r="J9" i="70" s="1"/>
  <c r="C7" i="70"/>
  <c r="J7" i="70" s="1"/>
  <c r="G30" i="70"/>
  <c r="C3" i="70"/>
  <c r="D19" i="70"/>
  <c r="H12" i="70"/>
  <c r="H10" i="70"/>
  <c r="D5" i="70"/>
  <c r="D2" i="70"/>
  <c r="B27" i="70"/>
  <c r="B25" i="70"/>
  <c r="F33" i="70"/>
  <c r="B22" i="70"/>
  <c r="F32" i="70"/>
  <c r="B19" i="70"/>
  <c r="B17" i="70"/>
  <c r="B15" i="70"/>
  <c r="J15" i="70" s="1"/>
  <c r="B13" i="70"/>
  <c r="J13" i="70" s="1"/>
  <c r="B31" i="70"/>
  <c r="B10" i="70"/>
  <c r="B8" i="70"/>
  <c r="B6" i="70"/>
  <c r="J6" i="70" s="1"/>
  <c r="B30" i="70"/>
  <c r="F2" i="70"/>
  <c r="B29" i="70"/>
  <c r="J29" i="70" s="1"/>
  <c r="D17" i="70"/>
  <c r="H11" i="70"/>
  <c r="D6" i="70"/>
  <c r="AY30" i="63"/>
  <c r="I27" i="70"/>
  <c r="I25" i="70"/>
  <c r="I23" i="70"/>
  <c r="I32" i="70"/>
  <c r="E5" i="70"/>
  <c r="H21" i="70"/>
  <c r="D9" i="70"/>
  <c r="D3" i="70"/>
  <c r="K75" i="26"/>
  <c r="M61" i="26"/>
  <c r="L67" i="26"/>
  <c r="D38" i="26"/>
  <c r="J37" i="26"/>
  <c r="BA29" i="63"/>
  <c r="AS30" i="63" s="1"/>
  <c r="I37" i="26"/>
  <c r="C38" i="26"/>
  <c r="D30" i="63"/>
  <c r="E64" i="60"/>
  <c r="E63" i="60" s="1"/>
  <c r="N286" i="60"/>
  <c r="L34" i="60"/>
  <c r="J60" i="60"/>
  <c r="J10" i="60" s="1"/>
  <c r="K33" i="60"/>
  <c r="D95" i="60"/>
  <c r="E40" i="60"/>
  <c r="E39" i="60" s="1"/>
  <c r="N274" i="60"/>
  <c r="K51" i="60"/>
  <c r="L30" i="60"/>
  <c r="N62" i="28"/>
  <c r="L62" i="28"/>
  <c r="L66" i="28"/>
  <c r="N66" i="28"/>
  <c r="M66" i="28"/>
  <c r="M62" i="28"/>
  <c r="N65" i="28"/>
  <c r="L65" i="28"/>
  <c r="N64" i="28"/>
  <c r="L64" i="28"/>
  <c r="J27" i="70" l="1"/>
  <c r="J8" i="70"/>
  <c r="J22" i="70"/>
  <c r="R53" i="71"/>
  <c r="R48" i="71"/>
  <c r="R49" i="71" s="1"/>
  <c r="J3" i="70"/>
  <c r="Q59" i="71"/>
  <c r="Q54" i="71"/>
  <c r="J10" i="70"/>
  <c r="J17" i="70"/>
  <c r="AX30" i="63"/>
  <c r="S53" i="71"/>
  <c r="S48" i="71"/>
  <c r="S49" i="71" s="1"/>
  <c r="AW30" i="63"/>
  <c r="J32" i="70"/>
  <c r="J2" i="70"/>
  <c r="T53" i="71"/>
  <c r="T48" i="71"/>
  <c r="T49" i="71" s="1"/>
  <c r="J24" i="70"/>
  <c r="Q49" i="71"/>
  <c r="J30" i="70"/>
  <c r="J31" i="70"/>
  <c r="J19" i="70"/>
  <c r="J25" i="70"/>
  <c r="AU30" i="63"/>
  <c r="BA30" i="63" s="1"/>
  <c r="U53" i="71"/>
  <c r="U48" i="71"/>
  <c r="U49" i="71" s="1"/>
  <c r="J33" i="70"/>
  <c r="H32" i="60"/>
  <c r="G57" i="60"/>
  <c r="G35" i="60"/>
  <c r="J5" i="70"/>
  <c r="J12" i="70"/>
  <c r="G9" i="60"/>
  <c r="N61" i="26"/>
  <c r="M67" i="26"/>
  <c r="I38" i="26"/>
  <c r="C39" i="26"/>
  <c r="L75" i="26"/>
  <c r="D39" i="26"/>
  <c r="J38" i="26"/>
  <c r="K60" i="60"/>
  <c r="K10" i="60" s="1"/>
  <c r="L33" i="60"/>
  <c r="O286" i="60"/>
  <c r="F64" i="60"/>
  <c r="F63" i="60" s="1"/>
  <c r="O274" i="60"/>
  <c r="F40" i="60"/>
  <c r="F39" i="60" s="1"/>
  <c r="E95" i="60"/>
  <c r="M34" i="60"/>
  <c r="M30" i="60"/>
  <c r="M51" i="60" s="1"/>
  <c r="L51" i="60"/>
  <c r="H9" i="60" l="1"/>
  <c r="S59" i="71"/>
  <c r="S54" i="71"/>
  <c r="S55" i="71" s="1"/>
  <c r="I32" i="60"/>
  <c r="H57" i="60"/>
  <c r="H35" i="60"/>
  <c r="T59" i="71"/>
  <c r="T54" i="71"/>
  <c r="T55" i="71" s="1"/>
  <c r="Q55" i="71"/>
  <c r="R59" i="71"/>
  <c r="R54" i="71"/>
  <c r="R55" i="71" s="1"/>
  <c r="U59" i="71"/>
  <c r="U54" i="71"/>
  <c r="U55" i="71" s="1"/>
  <c r="V48" i="71"/>
  <c r="Q65" i="71"/>
  <c r="Q60" i="71"/>
  <c r="C40" i="26"/>
  <c r="I39" i="26"/>
  <c r="D40" i="26"/>
  <c r="J39" i="26"/>
  <c r="N67" i="26"/>
  <c r="M75" i="26"/>
  <c r="M33" i="60"/>
  <c r="M60" i="60" s="1"/>
  <c r="M10" i="60" s="1"/>
  <c r="L60" i="60"/>
  <c r="L10" i="60" s="1"/>
  <c r="F95" i="60"/>
  <c r="P274" i="60"/>
  <c r="G40" i="60"/>
  <c r="G39" i="60" s="1"/>
  <c r="G64" i="60"/>
  <c r="G63" i="60" s="1"/>
  <c r="P286" i="60"/>
  <c r="Q61" i="71" l="1"/>
  <c r="Q66" i="71"/>
  <c r="Q71" i="71"/>
  <c r="Q72" i="71" s="1"/>
  <c r="S65" i="71"/>
  <c r="S60" i="71"/>
  <c r="S61" i="71" s="1"/>
  <c r="J32" i="60"/>
  <c r="I35" i="60"/>
  <c r="J35" i="60" s="1"/>
  <c r="K35" i="60" s="1"/>
  <c r="L35" i="60" s="1"/>
  <c r="M35" i="60" s="1"/>
  <c r="I57" i="60"/>
  <c r="R65" i="71"/>
  <c r="R60" i="71"/>
  <c r="R61" i="71" s="1"/>
  <c r="T65" i="71"/>
  <c r="T60" i="71"/>
  <c r="T61" i="71" s="1"/>
  <c r="U65" i="71"/>
  <c r="U60" i="71"/>
  <c r="U61" i="71" s="1"/>
  <c r="V54" i="71"/>
  <c r="I9" i="60"/>
  <c r="N75" i="26"/>
  <c r="D41" i="26"/>
  <c r="J40" i="26"/>
  <c r="C41" i="26"/>
  <c r="I40" i="26"/>
  <c r="Q274" i="60"/>
  <c r="I40" i="60" s="1"/>
  <c r="H40" i="60"/>
  <c r="H39" i="60" s="1"/>
  <c r="H64" i="60"/>
  <c r="H63" i="60" s="1"/>
  <c r="Q286" i="60"/>
  <c r="I64" i="60" s="1"/>
  <c r="G95" i="60"/>
  <c r="J9" i="60" l="1"/>
  <c r="K32" i="60"/>
  <c r="J57" i="60"/>
  <c r="Q67" i="71"/>
  <c r="T71" i="71"/>
  <c r="T72" i="71" s="1"/>
  <c r="T73" i="71" s="1"/>
  <c r="T66" i="71"/>
  <c r="T67" i="71" s="1"/>
  <c r="V60" i="71"/>
  <c r="U71" i="71"/>
  <c r="U72" i="71" s="1"/>
  <c r="U73" i="71" s="1"/>
  <c r="U66" i="71"/>
  <c r="U67" i="71" s="1"/>
  <c r="Q73" i="71"/>
  <c r="R71" i="71"/>
  <c r="R72" i="71" s="1"/>
  <c r="R73" i="71" s="1"/>
  <c r="R66" i="71"/>
  <c r="R67" i="71" s="1"/>
  <c r="S71" i="71"/>
  <c r="S72" i="71" s="1"/>
  <c r="S73" i="71" s="1"/>
  <c r="S66" i="71"/>
  <c r="S67" i="71" s="1"/>
  <c r="C42" i="26"/>
  <c r="I42" i="26" s="1"/>
  <c r="I41" i="26"/>
  <c r="D42" i="26"/>
  <c r="J42" i="26" s="1"/>
  <c r="J41" i="26"/>
  <c r="J64" i="60"/>
  <c r="I63" i="60"/>
  <c r="H95" i="60"/>
  <c r="J40" i="60"/>
  <c r="I39" i="60"/>
  <c r="L32" i="60" l="1"/>
  <c r="K57" i="60"/>
  <c r="V72" i="71"/>
  <c r="V66" i="71"/>
  <c r="K9" i="60"/>
  <c r="I95" i="60"/>
  <c r="K40" i="60"/>
  <c r="J39" i="60"/>
  <c r="K64" i="60"/>
  <c r="J63" i="60"/>
  <c r="L9" i="60" l="1"/>
  <c r="M32" i="60"/>
  <c r="M57" i="60" s="1"/>
  <c r="L57" i="60"/>
  <c r="L40" i="60"/>
  <c r="K39" i="60"/>
  <c r="L64" i="60"/>
  <c r="K63" i="60"/>
  <c r="M9" i="60" l="1"/>
  <c r="M64" i="60"/>
  <c r="M63" i="60" s="1"/>
  <c r="L63" i="60"/>
  <c r="M40" i="60"/>
  <c r="M39" i="60" s="1"/>
  <c r="L39" i="60"/>
  <c r="C22" i="60" l="1"/>
  <c r="C8" i="60" s="1"/>
  <c r="D8" i="60"/>
  <c r="C18" i="60" l="1"/>
  <c r="F22" i="60"/>
  <c r="E8" i="60"/>
  <c r="C4" i="60" l="1"/>
  <c r="D4" i="60"/>
  <c r="G22" i="60"/>
  <c r="F8" i="60"/>
  <c r="E4" i="60" l="1"/>
  <c r="F18" i="60"/>
  <c r="H22" i="60"/>
  <c r="G8" i="60"/>
  <c r="H8" i="60" l="1"/>
  <c r="I22" i="60"/>
  <c r="F4" i="60"/>
  <c r="G18" i="60"/>
  <c r="J22" i="60" l="1"/>
  <c r="I8" i="60"/>
  <c r="H18" i="60"/>
  <c r="G4" i="60"/>
  <c r="I18" i="60" l="1"/>
  <c r="H4" i="60"/>
  <c r="J8" i="60"/>
  <c r="K22" i="60"/>
  <c r="K8" i="60" l="1"/>
  <c r="L22" i="60"/>
  <c r="J18" i="60"/>
  <c r="I4" i="60"/>
  <c r="L8" i="60" l="1"/>
  <c r="M22" i="60"/>
  <c r="M8" i="60" s="1"/>
  <c r="K18" i="60"/>
  <c r="J4" i="60"/>
  <c r="L18" i="60" l="1"/>
  <c r="K4" i="60"/>
  <c r="M18" i="60" l="1"/>
  <c r="M4" i="60" s="1"/>
  <c r="L4" i="60"/>
  <c r="C58" i="27" l="1"/>
  <c r="C37" i="27"/>
  <c r="D285" i="27"/>
  <c r="E285" i="27"/>
  <c r="F285" i="27"/>
  <c r="G285" i="27"/>
  <c r="H285" i="27"/>
  <c r="I285" i="27"/>
  <c r="J285" i="27"/>
  <c r="C285" i="27"/>
  <c r="N285" i="27" s="1"/>
  <c r="D37" i="27" l="1"/>
  <c r="O285" i="27"/>
  <c r="P285" i="27" s="1"/>
  <c r="Q285" i="27" s="1"/>
  <c r="R285" i="27" s="1"/>
  <c r="S285" i="27" s="1"/>
  <c r="T285" i="27" s="1"/>
  <c r="J37" i="27" s="1"/>
  <c r="E37" i="27"/>
  <c r="T52" i="26"/>
  <c r="T51" i="26"/>
  <c r="T50" i="26"/>
  <c r="T48" i="26"/>
  <c r="T47" i="26"/>
  <c r="T40" i="26"/>
  <c r="T39" i="26"/>
  <c r="T36" i="26"/>
  <c r="T35" i="26"/>
  <c r="D87" i="26"/>
  <c r="D86" i="26"/>
  <c r="H37" i="27" l="1"/>
  <c r="G37" i="27"/>
  <c r="I37" i="27"/>
  <c r="F37" i="27"/>
  <c r="AB53" i="26" l="1"/>
  <c r="AB52" i="26"/>
  <c r="AC52" i="26" s="1"/>
  <c r="AD52" i="26" s="1"/>
  <c r="AB51" i="26"/>
  <c r="AC51" i="26" s="1"/>
  <c r="AD51" i="26" s="1"/>
  <c r="AB50" i="26"/>
  <c r="AC50" i="26" s="1"/>
  <c r="AD50" i="26" s="1"/>
  <c r="AB49" i="26"/>
  <c r="AC49" i="26" s="1"/>
  <c r="AD49" i="26" s="1"/>
  <c r="AB48" i="26"/>
  <c r="AC48" i="26" s="1"/>
  <c r="AD48" i="26" s="1"/>
  <c r="AB47" i="26"/>
  <c r="AC47" i="26" s="1"/>
  <c r="AD47" i="26" s="1"/>
  <c r="AB46" i="26"/>
  <c r="AC46" i="26" s="1"/>
  <c r="AD46" i="26" s="1"/>
  <c r="AB45" i="26"/>
  <c r="AC45" i="26" s="1"/>
  <c r="AD45" i="26" s="1"/>
  <c r="AB44" i="26"/>
  <c r="AC44" i="26" s="1"/>
  <c r="AD44" i="26" s="1"/>
  <c r="AB33" i="26"/>
  <c r="AC33" i="26" s="1"/>
  <c r="AD33" i="26" s="1"/>
  <c r="AB34" i="26"/>
  <c r="AC34" i="26" s="1"/>
  <c r="AD34" i="26" s="1"/>
  <c r="AB35" i="26"/>
  <c r="AC35" i="26" s="1"/>
  <c r="AD35" i="26" s="1"/>
  <c r="AB36" i="26"/>
  <c r="AC36" i="26" s="1"/>
  <c r="AD36" i="26" s="1"/>
  <c r="AB37" i="26"/>
  <c r="AC37" i="26" s="1"/>
  <c r="AD37" i="26" s="1"/>
  <c r="AB38" i="26"/>
  <c r="AC38" i="26"/>
  <c r="AD38" i="26" s="1"/>
  <c r="AB39" i="26"/>
  <c r="AC39" i="26" s="1"/>
  <c r="AD39" i="26" s="1"/>
  <c r="AB40" i="26"/>
  <c r="AC40" i="26" s="1"/>
  <c r="AD40" i="26" s="1"/>
  <c r="AB41" i="26"/>
  <c r="AB32" i="26"/>
  <c r="AC32" i="26" s="1"/>
  <c r="AD32" i="26" s="1"/>
  <c r="AC41" i="26" l="1"/>
  <c r="AC53" i="26"/>
  <c r="AD53" i="26" l="1"/>
  <c r="AD41" i="26"/>
  <c r="C68" i="27" l="1"/>
  <c r="C69" i="27"/>
  <c r="H290" i="15"/>
  <c r="H263" i="15"/>
  <c r="B121" i="72"/>
  <c r="Q120" i="72" l="1"/>
  <c r="C72" i="27"/>
  <c r="H249" i="15"/>
  <c r="H245" i="15"/>
  <c r="J248" i="29" l="1"/>
  <c r="J249" i="29"/>
  <c r="K249" i="29" s="1"/>
  <c r="G306" i="15" s="1"/>
  <c r="H248" i="29"/>
  <c r="H249" i="29"/>
  <c r="F248" i="29"/>
  <c r="F249" i="29"/>
  <c r="J247" i="29"/>
  <c r="K247" i="29" s="1"/>
  <c r="G304" i="15" s="1"/>
  <c r="H247" i="29"/>
  <c r="F247" i="29"/>
  <c r="J246" i="29"/>
  <c r="K246" i="29" s="1"/>
  <c r="G303" i="15" s="1"/>
  <c r="H246" i="29"/>
  <c r="F246" i="29"/>
  <c r="J243" i="29"/>
  <c r="K243" i="29" s="1"/>
  <c r="G301" i="15" s="1"/>
  <c r="H243" i="29"/>
  <c r="F243" i="29"/>
  <c r="J242" i="29"/>
  <c r="K242" i="29" s="1"/>
  <c r="G300" i="15" s="1"/>
  <c r="H242" i="29"/>
  <c r="F242" i="29"/>
  <c r="J240" i="29"/>
  <c r="K240" i="29" s="1"/>
  <c r="G299" i="15" s="1"/>
  <c r="J238" i="29"/>
  <c r="K238" i="29" s="1"/>
  <c r="G297" i="15" s="1"/>
  <c r="J239" i="29"/>
  <c r="H238" i="29"/>
  <c r="H239" i="29"/>
  <c r="H240" i="29"/>
  <c r="F238" i="29"/>
  <c r="F239" i="29"/>
  <c r="F240" i="29"/>
  <c r="J237" i="29"/>
  <c r="K237" i="29" s="1"/>
  <c r="G296" i="15" s="1"/>
  <c r="H237" i="29"/>
  <c r="F237" i="29"/>
  <c r="J233" i="29"/>
  <c r="K233" i="29" s="1"/>
  <c r="G293" i="15" s="1"/>
  <c r="J234" i="29"/>
  <c r="K234" i="29" s="1"/>
  <c r="G294" i="15" s="1"/>
  <c r="J235" i="29"/>
  <c r="K235" i="29" s="1"/>
  <c r="G295" i="15" s="1"/>
  <c r="H233" i="29"/>
  <c r="H234" i="29"/>
  <c r="H235" i="29"/>
  <c r="F233" i="29"/>
  <c r="F234" i="29"/>
  <c r="F235" i="29"/>
  <c r="J232" i="29"/>
  <c r="K232" i="29" s="1"/>
  <c r="G292" i="15" s="1"/>
  <c r="H232" i="29"/>
  <c r="F232" i="29"/>
  <c r="J231" i="29"/>
  <c r="K231" i="29" s="1"/>
  <c r="H231" i="29"/>
  <c r="F231" i="29"/>
  <c r="K248" i="29"/>
  <c r="G305" i="15" s="1"/>
  <c r="J245" i="29"/>
  <c r="K245" i="29" s="1"/>
  <c r="G302" i="15" s="1"/>
  <c r="H245" i="29"/>
  <c r="F245" i="29"/>
  <c r="K239" i="29"/>
  <c r="G298" i="15" s="1"/>
  <c r="J224" i="29"/>
  <c r="K224" i="29" s="1"/>
  <c r="G286" i="15" s="1"/>
  <c r="J225" i="29"/>
  <c r="K225" i="29" s="1"/>
  <c r="G287" i="15" s="1"/>
  <c r="J226" i="29"/>
  <c r="K226" i="29" s="1"/>
  <c r="G288" i="15" s="1"/>
  <c r="H224" i="29"/>
  <c r="H225" i="29"/>
  <c r="H226" i="29"/>
  <c r="F224" i="29"/>
  <c r="F225" i="29"/>
  <c r="F226" i="29"/>
  <c r="J223" i="29"/>
  <c r="H223" i="29"/>
  <c r="F223" i="29"/>
  <c r="J222" i="29"/>
  <c r="K222" i="29" s="1"/>
  <c r="G284" i="15" s="1"/>
  <c r="H222" i="29"/>
  <c r="F222" i="29"/>
  <c r="J221" i="29"/>
  <c r="H221" i="29"/>
  <c r="F221" i="29"/>
  <c r="J220" i="29"/>
  <c r="H220" i="29"/>
  <c r="F220" i="29"/>
  <c r="K223" i="29"/>
  <c r="G285" i="15" s="1"/>
  <c r="K221" i="29"/>
  <c r="G283" i="15" s="1"/>
  <c r="J215" i="29"/>
  <c r="K215" i="29" s="1"/>
  <c r="G278" i="15" s="1"/>
  <c r="J216" i="29"/>
  <c r="H215" i="29"/>
  <c r="H216" i="29"/>
  <c r="F215" i="29"/>
  <c r="F216" i="29"/>
  <c r="J214" i="29"/>
  <c r="K214" i="29" s="1"/>
  <c r="G277" i="15" s="1"/>
  <c r="H214" i="29"/>
  <c r="F214" i="29"/>
  <c r="J213" i="29"/>
  <c r="H213" i="29"/>
  <c r="F213" i="29"/>
  <c r="J212" i="29"/>
  <c r="K212" i="29" s="1"/>
  <c r="G275" i="15" s="1"/>
  <c r="H212" i="29"/>
  <c r="F212" i="29"/>
  <c r="K216" i="29"/>
  <c r="G279" i="15" s="1"/>
  <c r="K213" i="29"/>
  <c r="G276" i="15" s="1"/>
  <c r="J210" i="29"/>
  <c r="K210" i="29" s="1"/>
  <c r="G274" i="15" s="1"/>
  <c r="H210" i="29"/>
  <c r="F210" i="29"/>
  <c r="J209" i="29"/>
  <c r="K209" i="29" s="1"/>
  <c r="G273" i="15" s="1"/>
  <c r="H209" i="29"/>
  <c r="F209" i="29"/>
  <c r="J208" i="29"/>
  <c r="K208" i="29" s="1"/>
  <c r="G272" i="15" s="1"/>
  <c r="H208" i="29"/>
  <c r="F208" i="29"/>
  <c r="J207" i="29"/>
  <c r="K207" i="29" s="1"/>
  <c r="G271" i="15" s="1"/>
  <c r="H207" i="29"/>
  <c r="F207" i="29"/>
  <c r="J205" i="29"/>
  <c r="K205" i="29" s="1"/>
  <c r="G270" i="15" s="1"/>
  <c r="H205" i="29"/>
  <c r="F205" i="29"/>
  <c r="J204" i="29"/>
  <c r="K204" i="29" s="1"/>
  <c r="G269" i="15" s="1"/>
  <c r="H204" i="29"/>
  <c r="F204" i="29"/>
  <c r="J203" i="29"/>
  <c r="K203" i="29" s="1"/>
  <c r="G268" i="15" s="1"/>
  <c r="H203" i="29"/>
  <c r="F203" i="29"/>
  <c r="J202" i="29"/>
  <c r="K202" i="29" s="1"/>
  <c r="G267" i="15" s="1"/>
  <c r="H202" i="29"/>
  <c r="F202" i="29"/>
  <c r="J198" i="29"/>
  <c r="J199" i="29"/>
  <c r="J200" i="29"/>
  <c r="J197" i="29"/>
  <c r="K197" i="29" s="1"/>
  <c r="H198" i="29"/>
  <c r="H199" i="29"/>
  <c r="H200" i="29"/>
  <c r="H197" i="29"/>
  <c r="F198" i="29"/>
  <c r="F199" i="29"/>
  <c r="F200" i="29"/>
  <c r="F197" i="29"/>
  <c r="G291" i="15" l="1"/>
  <c r="K229" i="29"/>
  <c r="F219" i="29"/>
  <c r="K220" i="29"/>
  <c r="G282" i="15" s="1"/>
  <c r="J219" i="29"/>
  <c r="K219" i="29" s="1"/>
  <c r="G281" i="15" s="1"/>
  <c r="C245" i="29"/>
  <c r="C246" i="29"/>
  <c r="C247" i="29"/>
  <c r="C248" i="29"/>
  <c r="C249" i="29"/>
  <c r="B248" i="29"/>
  <c r="B249" i="29"/>
  <c r="B247" i="29"/>
  <c r="B246" i="29"/>
  <c r="B245" i="29"/>
  <c r="C242" i="29"/>
  <c r="C243" i="29"/>
  <c r="B243" i="29"/>
  <c r="B242" i="29"/>
  <c r="C237" i="29"/>
  <c r="C238" i="29"/>
  <c r="C239" i="29"/>
  <c r="C240" i="29"/>
  <c r="B238" i="29"/>
  <c r="B239" i="29"/>
  <c r="B240" i="29"/>
  <c r="B237" i="29"/>
  <c r="C231" i="29"/>
  <c r="C232" i="29"/>
  <c r="C233" i="29"/>
  <c r="C234" i="29"/>
  <c r="C235" i="29"/>
  <c r="B233" i="29"/>
  <c r="B234" i="29"/>
  <c r="B235" i="29"/>
  <c r="B232" i="29"/>
  <c r="B231" i="29"/>
  <c r="C220" i="29"/>
  <c r="C221" i="29"/>
  <c r="C222" i="29"/>
  <c r="C223" i="29"/>
  <c r="C224" i="29"/>
  <c r="C225" i="29"/>
  <c r="C226" i="29"/>
  <c r="B224" i="29"/>
  <c r="B225" i="29"/>
  <c r="B226" i="29"/>
  <c r="B223" i="29"/>
  <c r="B222" i="29"/>
  <c r="B221" i="29"/>
  <c r="B220" i="29"/>
  <c r="C213" i="29"/>
  <c r="C214" i="29"/>
  <c r="C215" i="29"/>
  <c r="C216" i="29"/>
  <c r="B215" i="29"/>
  <c r="B216" i="29"/>
  <c r="B214" i="29"/>
  <c r="B213" i="29"/>
  <c r="C212" i="29"/>
  <c r="B212" i="29"/>
  <c r="C207" i="29"/>
  <c r="C208" i="29"/>
  <c r="C209" i="29"/>
  <c r="C210" i="29"/>
  <c r="B208" i="29"/>
  <c r="B209" i="29"/>
  <c r="B210" i="29"/>
  <c r="B207" i="29"/>
  <c r="C202" i="29"/>
  <c r="C203" i="29"/>
  <c r="C204" i="29"/>
  <c r="C205" i="29"/>
  <c r="B203" i="29"/>
  <c r="B204" i="29"/>
  <c r="B205" i="29"/>
  <c r="B202" i="29"/>
  <c r="C197" i="29"/>
  <c r="C198" i="29"/>
  <c r="C199" i="29"/>
  <c r="C200" i="29"/>
  <c r="B198" i="29"/>
  <c r="B199" i="29"/>
  <c r="B200" i="29"/>
  <c r="B197" i="29"/>
  <c r="B119" i="72" s="1"/>
  <c r="J190" i="29"/>
  <c r="K190" i="29" s="1"/>
  <c r="G259" i="15" s="1"/>
  <c r="J191" i="29"/>
  <c r="K191" i="29" s="1"/>
  <c r="G260" i="15" s="1"/>
  <c r="J192" i="29"/>
  <c r="K192" i="29" s="1"/>
  <c r="G261" i="15" s="1"/>
  <c r="J189" i="29"/>
  <c r="J188" i="29"/>
  <c r="J187" i="29"/>
  <c r="H190" i="29"/>
  <c r="H191" i="29"/>
  <c r="H192" i="29"/>
  <c r="H189" i="29"/>
  <c r="H188" i="29"/>
  <c r="H187" i="29"/>
  <c r="F187" i="29"/>
  <c r="F190" i="29"/>
  <c r="F191" i="29"/>
  <c r="F192" i="29"/>
  <c r="F189" i="29"/>
  <c r="F188" i="29"/>
  <c r="C187" i="29"/>
  <c r="C188" i="29"/>
  <c r="C189" i="29"/>
  <c r="C190" i="29"/>
  <c r="C191" i="29"/>
  <c r="C192" i="29"/>
  <c r="B190" i="29"/>
  <c r="B191" i="29"/>
  <c r="B192" i="29"/>
  <c r="B189" i="29"/>
  <c r="B188" i="29"/>
  <c r="B187" i="29"/>
  <c r="J182" i="29"/>
  <c r="J183" i="29"/>
  <c r="J184" i="29"/>
  <c r="J185" i="29"/>
  <c r="J181" i="29"/>
  <c r="J180" i="29" s="1"/>
  <c r="H185" i="29"/>
  <c r="H184" i="29"/>
  <c r="H183" i="29"/>
  <c r="H182" i="29"/>
  <c r="H181" i="29"/>
  <c r="F185" i="29"/>
  <c r="F184" i="29"/>
  <c r="F183" i="29"/>
  <c r="F182" i="29"/>
  <c r="F181" i="29"/>
  <c r="F180" i="29" s="1"/>
  <c r="C181" i="29"/>
  <c r="C182" i="29"/>
  <c r="C183" i="29"/>
  <c r="C184" i="29"/>
  <c r="C185" i="29"/>
  <c r="B185" i="29"/>
  <c r="B182" i="29"/>
  <c r="B183" i="29"/>
  <c r="B184" i="29"/>
  <c r="B181" i="29"/>
  <c r="B118" i="72" s="1"/>
  <c r="J178" i="29"/>
  <c r="H178" i="29"/>
  <c r="F178" i="29"/>
  <c r="C178" i="29"/>
  <c r="B178" i="29"/>
  <c r="J177" i="29"/>
  <c r="J176" i="29" s="1"/>
  <c r="H177" i="29"/>
  <c r="F177" i="29"/>
  <c r="F176" i="29" s="1"/>
  <c r="C177" i="29"/>
  <c r="B177" i="29"/>
  <c r="B117" i="72" s="1"/>
  <c r="D22" i="27"/>
  <c r="E22" i="27"/>
  <c r="F22" i="27"/>
  <c r="G22" i="27"/>
  <c r="H22" i="27"/>
  <c r="I22" i="27"/>
  <c r="J22" i="27"/>
  <c r="C22" i="27"/>
  <c r="D25" i="27"/>
  <c r="E25" i="27"/>
  <c r="F25" i="27"/>
  <c r="G25" i="27"/>
  <c r="H25" i="27"/>
  <c r="I25" i="27"/>
  <c r="J25" i="27"/>
  <c r="C25" i="27"/>
  <c r="D27" i="27"/>
  <c r="E27" i="27"/>
  <c r="F27" i="27"/>
  <c r="G27" i="27"/>
  <c r="H27" i="27"/>
  <c r="I27" i="27"/>
  <c r="J27" i="27"/>
  <c r="C27" i="27"/>
  <c r="K25" i="27" l="1"/>
  <c r="L25" i="27" s="1"/>
  <c r="M25" i="27" s="1"/>
  <c r="K22" i="27"/>
  <c r="L22" i="27" s="1"/>
  <c r="M22" i="27" s="1"/>
  <c r="D26" i="27"/>
  <c r="E26" i="27"/>
  <c r="F26" i="27"/>
  <c r="G26" i="27"/>
  <c r="H26" i="27"/>
  <c r="I26" i="27"/>
  <c r="J26" i="27"/>
  <c r="C26" i="27"/>
  <c r="C34" i="27" l="1"/>
  <c r="H64" i="29" l="1"/>
  <c r="I139" i="29" l="1"/>
  <c r="F139" i="29"/>
  <c r="E139" i="29"/>
  <c r="D139" i="29"/>
  <c r="I128" i="29"/>
  <c r="F128" i="29"/>
  <c r="E128" i="29"/>
  <c r="D128" i="29"/>
  <c r="I117" i="29"/>
  <c r="F117" i="29"/>
  <c r="E117" i="29"/>
  <c r="D117" i="29"/>
  <c r="I88" i="29"/>
  <c r="F88" i="29"/>
  <c r="E88" i="29"/>
  <c r="D88" i="29"/>
  <c r="I87" i="29"/>
  <c r="F87" i="29"/>
  <c r="E87" i="29"/>
  <c r="D87" i="29"/>
  <c r="I86" i="29"/>
  <c r="F86" i="29"/>
  <c r="E86" i="29"/>
  <c r="D86" i="29"/>
  <c r="I85" i="29"/>
  <c r="F85" i="29"/>
  <c r="E85" i="29"/>
  <c r="D85" i="29"/>
  <c r="I84" i="29"/>
  <c r="F84" i="29"/>
  <c r="E84" i="29"/>
  <c r="D84" i="29"/>
  <c r="I83" i="29"/>
  <c r="F83" i="29"/>
  <c r="H83" i="29" s="1"/>
  <c r="E83" i="29"/>
  <c r="D83" i="29"/>
  <c r="I82" i="29"/>
  <c r="F82" i="29"/>
  <c r="E82" i="29"/>
  <c r="D82" i="29"/>
  <c r="I46" i="29"/>
  <c r="F46" i="29"/>
  <c r="E46" i="29"/>
  <c r="D46" i="29"/>
  <c r="I45" i="29"/>
  <c r="F45" i="29"/>
  <c r="E45" i="29"/>
  <c r="D45" i="29"/>
  <c r="I100" i="29"/>
  <c r="F100" i="29"/>
  <c r="E100" i="29"/>
  <c r="D100" i="29"/>
  <c r="I99" i="29"/>
  <c r="F99" i="29"/>
  <c r="H99" i="29" s="1"/>
  <c r="E99" i="29"/>
  <c r="D99" i="29"/>
  <c r="I98" i="29"/>
  <c r="F98" i="29"/>
  <c r="E98" i="29"/>
  <c r="D98" i="29"/>
  <c r="I97" i="29"/>
  <c r="F97" i="29"/>
  <c r="E97" i="29"/>
  <c r="D97" i="29"/>
  <c r="I96" i="29"/>
  <c r="F96" i="29"/>
  <c r="E96" i="29"/>
  <c r="D96" i="29"/>
  <c r="D18" i="29"/>
  <c r="D14" i="29"/>
  <c r="I17" i="29"/>
  <c r="F17" i="29"/>
  <c r="H17" i="29" s="1"/>
  <c r="E17" i="29"/>
  <c r="D17" i="29"/>
  <c r="I18" i="29"/>
  <c r="F18" i="29"/>
  <c r="E18" i="29"/>
  <c r="I14" i="29"/>
  <c r="F14" i="29"/>
  <c r="E14" i="29"/>
  <c r="D260" i="27" l="1"/>
  <c r="D265" i="27" s="1"/>
  <c r="J54" i="27" l="1"/>
  <c r="E20" i="27"/>
  <c r="F20" i="27"/>
  <c r="G20" i="27"/>
  <c r="H20" i="27"/>
  <c r="I20" i="27"/>
  <c r="J20" i="27"/>
  <c r="K20" i="27" s="1"/>
  <c r="E21" i="27"/>
  <c r="F21" i="27"/>
  <c r="G21" i="27"/>
  <c r="H21" i="27"/>
  <c r="I21" i="27"/>
  <c r="J21" i="27"/>
  <c r="E23" i="27"/>
  <c r="F23" i="27"/>
  <c r="G23" i="27"/>
  <c r="H23" i="27"/>
  <c r="I23" i="27"/>
  <c r="J23" i="27"/>
  <c r="E24" i="27"/>
  <c r="F24" i="27"/>
  <c r="G24" i="27"/>
  <c r="H24" i="27"/>
  <c r="I24" i="27"/>
  <c r="J24" i="27"/>
  <c r="J45" i="27" s="1"/>
  <c r="E28" i="27"/>
  <c r="F28" i="27"/>
  <c r="G28" i="27"/>
  <c r="H28" i="27"/>
  <c r="I28" i="27"/>
  <c r="J28" i="27"/>
  <c r="E29" i="27"/>
  <c r="J29" i="27"/>
  <c r="J89" i="27"/>
  <c r="J90" i="27"/>
  <c r="J91" i="27"/>
  <c r="J92" i="27"/>
  <c r="J80" i="27"/>
  <c r="J81" i="27"/>
  <c r="J82" i="27"/>
  <c r="J83" i="27"/>
  <c r="J84" i="27"/>
  <c r="J276" i="27"/>
  <c r="J274" i="27"/>
  <c r="J272" i="27"/>
  <c r="J269" i="27"/>
  <c r="J260" i="27"/>
  <c r="J265" i="27" s="1"/>
  <c r="E260" i="27"/>
  <c r="E265" i="27" s="1"/>
  <c r="F260" i="27"/>
  <c r="F265" i="27" s="1"/>
  <c r="G260" i="27"/>
  <c r="G265" i="27" s="1"/>
  <c r="H260" i="27"/>
  <c r="H265" i="27" s="1"/>
  <c r="I260" i="27"/>
  <c r="I265" i="27" s="1"/>
  <c r="D208" i="27"/>
  <c r="E208" i="27"/>
  <c r="F208" i="27"/>
  <c r="G208" i="27"/>
  <c r="H208" i="27"/>
  <c r="I208" i="27"/>
  <c r="J208" i="27"/>
  <c r="C208" i="27"/>
  <c r="C207" i="27"/>
  <c r="C206" i="27"/>
  <c r="J206" i="27"/>
  <c r="J207" i="27"/>
  <c r="C27" i="31"/>
  <c r="C28" i="31"/>
  <c r="C29" i="31"/>
  <c r="C30" i="31"/>
  <c r="C31" i="31"/>
  <c r="C32" i="31"/>
  <c r="C33" i="31"/>
  <c r="C34" i="31"/>
  <c r="C35" i="31"/>
  <c r="C36" i="31"/>
  <c r="C37" i="31"/>
  <c r="C38" i="31"/>
  <c r="C39" i="31"/>
  <c r="C40" i="31"/>
  <c r="C41" i="31"/>
  <c r="C42" i="31"/>
  <c r="C43" i="31"/>
  <c r="C44" i="31"/>
  <c r="C45" i="31"/>
  <c r="C46" i="31"/>
  <c r="C47" i="31"/>
  <c r="C48" i="31"/>
  <c r="C49" i="31"/>
  <c r="C50" i="31"/>
  <c r="C51" i="31"/>
  <c r="C52" i="31"/>
  <c r="C53" i="31"/>
  <c r="C54" i="31"/>
  <c r="C55" i="31"/>
  <c r="C26" i="31"/>
  <c r="I29" i="27" l="1"/>
  <c r="F29" i="27"/>
  <c r="G29" i="27"/>
  <c r="J95" i="27"/>
  <c r="H29" i="27"/>
  <c r="J93" i="27"/>
  <c r="J277" i="27"/>
  <c r="J278" i="27"/>
  <c r="J79" i="27"/>
  <c r="J85" i="27" s="1"/>
  <c r="M52" i="27"/>
  <c r="E54" i="27" l="1"/>
  <c r="E10" i="27" s="1"/>
  <c r="F54" i="27"/>
  <c r="F10" i="27" s="1"/>
  <c r="G54" i="27"/>
  <c r="G10" i="27" s="1"/>
  <c r="H54" i="27"/>
  <c r="H10" i="27" s="1"/>
  <c r="C54" i="27"/>
  <c r="C10" i="27" s="1"/>
  <c r="D54" i="27"/>
  <c r="D10" i="27" s="1"/>
  <c r="I169" i="29"/>
  <c r="E169" i="29"/>
  <c r="D169" i="29"/>
  <c r="I168" i="29"/>
  <c r="E168" i="29"/>
  <c r="D168" i="29"/>
  <c r="I167" i="29"/>
  <c r="E167" i="29"/>
  <c r="D167" i="29"/>
  <c r="I166" i="29"/>
  <c r="E166" i="29"/>
  <c r="D166" i="29"/>
  <c r="I165" i="29"/>
  <c r="E165" i="29"/>
  <c r="D165" i="29"/>
  <c r="I164" i="29"/>
  <c r="E164" i="29"/>
  <c r="D164" i="29"/>
  <c r="I161" i="29"/>
  <c r="E161" i="29"/>
  <c r="D161" i="29"/>
  <c r="I160" i="29"/>
  <c r="E160" i="29"/>
  <c r="D160" i="29"/>
  <c r="I159" i="29"/>
  <c r="E159" i="29"/>
  <c r="D159" i="29"/>
  <c r="I158" i="29"/>
  <c r="E158" i="29"/>
  <c r="D158" i="29"/>
  <c r="I157" i="29"/>
  <c r="E157" i="29"/>
  <c r="D157" i="29"/>
  <c r="I156" i="29"/>
  <c r="E156" i="29"/>
  <c r="D156" i="29"/>
  <c r="I155" i="29"/>
  <c r="E155" i="29"/>
  <c r="D155" i="29"/>
  <c r="I154" i="29"/>
  <c r="E154" i="29"/>
  <c r="D154" i="29"/>
  <c r="I153" i="29"/>
  <c r="E153" i="29"/>
  <c r="D153" i="29"/>
  <c r="I152" i="29"/>
  <c r="E152" i="29"/>
  <c r="D152" i="29"/>
  <c r="I151" i="29"/>
  <c r="E151" i="29"/>
  <c r="D151" i="29"/>
  <c r="I147" i="29"/>
  <c r="F147" i="29"/>
  <c r="H147" i="29" s="1"/>
  <c r="E147" i="29"/>
  <c r="D147" i="29"/>
  <c r="I141" i="29"/>
  <c r="F141" i="29"/>
  <c r="H141" i="29" s="1"/>
  <c r="E141" i="29"/>
  <c r="D141" i="29"/>
  <c r="I140" i="29"/>
  <c r="F140" i="29"/>
  <c r="H140" i="29" s="1"/>
  <c r="E140" i="29"/>
  <c r="D140" i="29"/>
  <c r="H139" i="29"/>
  <c r="I138" i="29"/>
  <c r="F138" i="29"/>
  <c r="H138" i="29" s="1"/>
  <c r="E138" i="29"/>
  <c r="D138" i="29"/>
  <c r="I134" i="29"/>
  <c r="F134" i="29"/>
  <c r="H134" i="29" s="1"/>
  <c r="E134" i="29"/>
  <c r="D134" i="29"/>
  <c r="I129" i="29"/>
  <c r="F129" i="29"/>
  <c r="H129" i="29" s="1"/>
  <c r="E129" i="29"/>
  <c r="D129" i="29"/>
  <c r="H128" i="29"/>
  <c r="I127" i="29"/>
  <c r="F127" i="29"/>
  <c r="H127" i="29" s="1"/>
  <c r="E127" i="29"/>
  <c r="D127" i="29"/>
  <c r="D119" i="29"/>
  <c r="E119" i="29"/>
  <c r="F119" i="29"/>
  <c r="H119" i="29" s="1"/>
  <c r="I119" i="29"/>
  <c r="I118" i="29"/>
  <c r="F118" i="29"/>
  <c r="H118" i="29" s="1"/>
  <c r="E118" i="29"/>
  <c r="D118" i="29"/>
  <c r="I116" i="29"/>
  <c r="F116" i="29"/>
  <c r="H116" i="29" s="1"/>
  <c r="E116" i="29"/>
  <c r="D116" i="29"/>
  <c r="H87" i="29"/>
  <c r="H86" i="29"/>
  <c r="H84" i="29"/>
  <c r="H82" i="29"/>
  <c r="D75" i="29"/>
  <c r="E75" i="29"/>
  <c r="F75" i="29"/>
  <c r="H75" i="29" s="1"/>
  <c r="I75" i="29"/>
  <c r="D76" i="29"/>
  <c r="E76" i="29"/>
  <c r="F76" i="29"/>
  <c r="H76" i="29" s="1"/>
  <c r="I76" i="29"/>
  <c r="D77" i="29"/>
  <c r="E77" i="29"/>
  <c r="F77" i="29"/>
  <c r="H77" i="29" s="1"/>
  <c r="I77" i="29"/>
  <c r="D78" i="29"/>
  <c r="E78" i="29"/>
  <c r="F78" i="29"/>
  <c r="H78" i="29" s="1"/>
  <c r="I78" i="29"/>
  <c r="D79" i="29"/>
  <c r="E79" i="29"/>
  <c r="F79" i="29"/>
  <c r="H79" i="29" s="1"/>
  <c r="I79" i="29"/>
  <c r="I111" i="29"/>
  <c r="F111" i="29"/>
  <c r="H111" i="29" s="1"/>
  <c r="E111" i="29"/>
  <c r="D111" i="29"/>
  <c r="I70" i="29"/>
  <c r="F70" i="29"/>
  <c r="H70" i="29" s="1"/>
  <c r="E70" i="29"/>
  <c r="D70" i="29"/>
  <c r="I108" i="29"/>
  <c r="F108" i="29"/>
  <c r="H108" i="29" s="1"/>
  <c r="E108" i="29"/>
  <c r="D108" i="29"/>
  <c r="I107" i="29"/>
  <c r="F107" i="29"/>
  <c r="H107" i="29" s="1"/>
  <c r="E107" i="29"/>
  <c r="D107" i="29"/>
  <c r="I106" i="29"/>
  <c r="F106" i="29"/>
  <c r="H106" i="29" s="1"/>
  <c r="E106" i="29"/>
  <c r="D106" i="29"/>
  <c r="I67" i="29"/>
  <c r="F67" i="29"/>
  <c r="H67" i="29" s="1"/>
  <c r="E67" i="29"/>
  <c r="D67" i="29"/>
  <c r="I66" i="29"/>
  <c r="F66" i="29"/>
  <c r="H66" i="29" s="1"/>
  <c r="E66" i="29"/>
  <c r="D66" i="29"/>
  <c r="I65" i="29"/>
  <c r="F65" i="29"/>
  <c r="H65" i="29" s="1"/>
  <c r="E65" i="29"/>
  <c r="D65" i="29"/>
  <c r="I62" i="29"/>
  <c r="F62" i="29"/>
  <c r="H62" i="29" s="1"/>
  <c r="E62" i="29"/>
  <c r="D62" i="29"/>
  <c r="I47" i="29"/>
  <c r="F47" i="29"/>
  <c r="H47" i="29" s="1"/>
  <c r="E47" i="29"/>
  <c r="D47" i="29"/>
  <c r="H46" i="29"/>
  <c r="H45" i="29"/>
  <c r="I44" i="29"/>
  <c r="F44" i="29"/>
  <c r="H44" i="29" s="1"/>
  <c r="E44" i="29"/>
  <c r="D44" i="29"/>
  <c r="I43" i="29"/>
  <c r="F43" i="29"/>
  <c r="H43" i="29" s="1"/>
  <c r="E43" i="29"/>
  <c r="D43" i="29"/>
  <c r="D40" i="29"/>
  <c r="I40" i="29"/>
  <c r="F40" i="29"/>
  <c r="H40" i="29" s="1"/>
  <c r="E40" i="29"/>
  <c r="I34" i="29"/>
  <c r="F34" i="29"/>
  <c r="H34" i="29" s="1"/>
  <c r="E34" i="29"/>
  <c r="D34" i="29"/>
  <c r="D32" i="29"/>
  <c r="E32" i="29"/>
  <c r="F32" i="29"/>
  <c r="H32" i="29" s="1"/>
  <c r="I32" i="29"/>
  <c r="D33" i="29"/>
  <c r="E33" i="29"/>
  <c r="F33" i="29"/>
  <c r="H33" i="29" s="1"/>
  <c r="I33" i="29"/>
  <c r="I31" i="29"/>
  <c r="F31" i="29"/>
  <c r="H31" i="29" s="1"/>
  <c r="E31" i="29"/>
  <c r="D31" i="29"/>
  <c r="I28" i="29"/>
  <c r="F28" i="29"/>
  <c r="H28" i="29" s="1"/>
  <c r="E28" i="29"/>
  <c r="D28" i="29"/>
  <c r="I27" i="29"/>
  <c r="F27" i="29"/>
  <c r="H27" i="29" s="1"/>
  <c r="E27" i="29"/>
  <c r="D27" i="29"/>
  <c r="I26" i="29"/>
  <c r="F26" i="29"/>
  <c r="H26" i="29" s="1"/>
  <c r="E26" i="29"/>
  <c r="D26" i="29"/>
  <c r="I25" i="29"/>
  <c r="F25" i="29"/>
  <c r="H25" i="29" s="1"/>
  <c r="E25" i="29"/>
  <c r="D25" i="29"/>
  <c r="I24" i="29"/>
  <c r="F24" i="29"/>
  <c r="H24" i="29" s="1"/>
  <c r="E24" i="29"/>
  <c r="D24" i="29"/>
  <c r="D103" i="29"/>
  <c r="E103" i="29"/>
  <c r="F103" i="29"/>
  <c r="H103" i="29" s="1"/>
  <c r="I103" i="29"/>
  <c r="H100" i="29"/>
  <c r="H98" i="29"/>
  <c r="H97" i="29"/>
  <c r="H96" i="29"/>
  <c r="I21" i="29"/>
  <c r="F21" i="29"/>
  <c r="H21" i="29" s="1"/>
  <c r="E21" i="29"/>
  <c r="D21" i="29"/>
  <c r="H18" i="29"/>
  <c r="I16" i="29"/>
  <c r="F16" i="29"/>
  <c r="H16" i="29" s="1"/>
  <c r="E16" i="29"/>
  <c r="D16" i="29"/>
  <c r="I15" i="29"/>
  <c r="F15" i="29"/>
  <c r="H15" i="29" s="1"/>
  <c r="E15" i="29"/>
  <c r="D15" i="29"/>
  <c r="H14" i="29"/>
  <c r="X12" i="44"/>
  <c r="Y12" i="44" s="1"/>
  <c r="V12" i="44"/>
  <c r="W12" i="44" s="1"/>
  <c r="X11" i="44"/>
  <c r="Y11" i="44" s="1"/>
  <c r="X10" i="44"/>
  <c r="Y10" i="44" s="1"/>
  <c r="AF9" i="44"/>
  <c r="AD9" i="44"/>
  <c r="X9" i="44"/>
  <c r="Y9" i="44" s="1"/>
  <c r="X8" i="44"/>
  <c r="Y8" i="44" s="1"/>
  <c r="V8" i="44"/>
  <c r="W8" i="44" s="1"/>
  <c r="C21" i="43"/>
  <c r="E21" i="43" s="1"/>
  <c r="D21" i="43" s="1"/>
  <c r="E20" i="43"/>
  <c r="D20" i="43" s="1"/>
  <c r="C19" i="43"/>
  <c r="E19" i="43"/>
  <c r="D19" i="43" s="1"/>
  <c r="J7" i="44" s="1"/>
  <c r="K7" i="44" s="1"/>
  <c r="C18" i="43"/>
  <c r="E18" i="43" s="1"/>
  <c r="D18" i="43" s="1"/>
  <c r="E17" i="43"/>
  <c r="D17" i="43" s="1"/>
  <c r="E16" i="43"/>
  <c r="D16" i="43" s="1"/>
  <c r="E15" i="43"/>
  <c r="D15" i="43" s="1"/>
  <c r="E14" i="43"/>
  <c r="D14" i="43" s="1"/>
  <c r="E13" i="43"/>
  <c r="D13" i="43" s="1"/>
  <c r="J12" i="44" s="1"/>
  <c r="E12" i="43"/>
  <c r="D12" i="43"/>
  <c r="J11" i="44" s="1"/>
  <c r="E11" i="43"/>
  <c r="D11" i="43"/>
  <c r="E10" i="43"/>
  <c r="D10" i="43" s="1"/>
  <c r="J10" i="44" s="1"/>
  <c r="E9" i="43"/>
  <c r="D9" i="43" s="1"/>
  <c r="J8" i="44" s="1"/>
  <c r="J24" i="40"/>
  <c r="B24" i="40"/>
  <c r="V11" i="44"/>
  <c r="W11" i="44" s="1"/>
  <c r="T11" i="44"/>
  <c r="U11" i="44" s="1"/>
  <c r="R11" i="44"/>
  <c r="P11" i="44"/>
  <c r="N11" i="44"/>
  <c r="AD11" i="44"/>
  <c r="B23" i="40"/>
  <c r="T12" i="44"/>
  <c r="U12" i="44" s="1"/>
  <c r="R12" i="44"/>
  <c r="P12" i="44"/>
  <c r="N12" i="44"/>
  <c r="AD12" i="44"/>
  <c r="B22" i="40"/>
  <c r="B21" i="40"/>
  <c r="B20" i="40"/>
  <c r="J19" i="40"/>
  <c r="B19" i="40"/>
  <c r="B18" i="40"/>
  <c r="B17" i="40"/>
  <c r="B16" i="40"/>
  <c r="B15" i="40"/>
  <c r="B14" i="40"/>
  <c r="B13" i="40"/>
  <c r="J12" i="40"/>
  <c r="B12" i="40"/>
  <c r="B11" i="40"/>
  <c r="B10" i="40"/>
  <c r="L11" i="44"/>
  <c r="B9" i="40"/>
  <c r="L12" i="44"/>
  <c r="B8" i="40"/>
  <c r="V10" i="44"/>
  <c r="W10" i="44" s="1"/>
  <c r="T10" i="44"/>
  <c r="U10" i="44" s="1"/>
  <c r="R10" i="44"/>
  <c r="P10" i="44"/>
  <c r="N10" i="44"/>
  <c r="L10" i="44"/>
  <c r="AD10" i="44"/>
  <c r="B7" i="40"/>
  <c r="T8" i="44"/>
  <c r="U8" i="44" s="1"/>
  <c r="R8" i="44"/>
  <c r="P8" i="44"/>
  <c r="N8" i="44"/>
  <c r="L8" i="44"/>
  <c r="AD8" i="44"/>
  <c r="B6" i="40"/>
  <c r="V9" i="44"/>
  <c r="W9" i="44" s="1"/>
  <c r="T9" i="44"/>
  <c r="U9" i="44" s="1"/>
  <c r="R9" i="44"/>
  <c r="N9" i="44"/>
  <c r="L9" i="44"/>
  <c r="B5" i="40"/>
  <c r="K200" i="29"/>
  <c r="G266" i="15" s="1"/>
  <c r="K199" i="29"/>
  <c r="G265" i="15" s="1"/>
  <c r="K198" i="29"/>
  <c r="K189" i="29"/>
  <c r="G258" i="15" s="1"/>
  <c r="K188" i="29"/>
  <c r="G257" i="15" s="1"/>
  <c r="K187" i="29"/>
  <c r="G256" i="15" s="1"/>
  <c r="K185" i="29"/>
  <c r="G254" i="15" s="1"/>
  <c r="K184" i="29"/>
  <c r="G253" i="15" s="1"/>
  <c r="K183" i="29"/>
  <c r="G252" i="15" s="1"/>
  <c r="K182" i="29"/>
  <c r="G251" i="15" s="1"/>
  <c r="K181" i="29"/>
  <c r="G250" i="15" s="1"/>
  <c r="K180" i="29"/>
  <c r="G249" i="15" s="1"/>
  <c r="K178" i="29"/>
  <c r="G247" i="15" s="1"/>
  <c r="K177" i="29"/>
  <c r="G246" i="15" s="1"/>
  <c r="K176" i="29"/>
  <c r="G245" i="15" s="1"/>
  <c r="E150" i="29"/>
  <c r="D150" i="29"/>
  <c r="F146" i="29"/>
  <c r="H146" i="29" s="1"/>
  <c r="E146" i="29"/>
  <c r="D146" i="29"/>
  <c r="F145" i="29"/>
  <c r="H145" i="29" s="1"/>
  <c r="E145" i="29"/>
  <c r="D145" i="29"/>
  <c r="F143" i="29"/>
  <c r="H143" i="29" s="1"/>
  <c r="E143" i="29"/>
  <c r="D143" i="29"/>
  <c r="F142" i="29"/>
  <c r="H142" i="29" s="1"/>
  <c r="E142" i="29"/>
  <c r="D142" i="29"/>
  <c r="F137" i="29"/>
  <c r="H137" i="29" s="1"/>
  <c r="E137" i="29"/>
  <c r="D137" i="29"/>
  <c r="F133" i="29"/>
  <c r="H133" i="29" s="1"/>
  <c r="E133" i="29"/>
  <c r="D133" i="29"/>
  <c r="F132" i="29"/>
  <c r="H132" i="29" s="1"/>
  <c r="E132" i="29"/>
  <c r="D132" i="29"/>
  <c r="F126" i="29"/>
  <c r="H126" i="29" s="1"/>
  <c r="E126" i="29"/>
  <c r="D126" i="29"/>
  <c r="F125" i="29"/>
  <c r="H125" i="29" s="1"/>
  <c r="E125" i="29"/>
  <c r="D125" i="29"/>
  <c r="F124" i="29"/>
  <c r="H124" i="29" s="1"/>
  <c r="E124" i="29"/>
  <c r="D124" i="29"/>
  <c r="F123" i="29"/>
  <c r="H123" i="29" s="1"/>
  <c r="E123" i="29"/>
  <c r="D123" i="29"/>
  <c r="F120" i="29"/>
  <c r="H120" i="29" s="1"/>
  <c r="E120" i="29"/>
  <c r="D120" i="29"/>
  <c r="H117" i="29"/>
  <c r="F115" i="29"/>
  <c r="H115" i="29" s="1"/>
  <c r="E115" i="29"/>
  <c r="D115" i="29"/>
  <c r="F112" i="29"/>
  <c r="H112" i="29" s="1"/>
  <c r="E112" i="29"/>
  <c r="D112" i="29"/>
  <c r="F102" i="29"/>
  <c r="H102" i="29" s="1"/>
  <c r="E102" i="29"/>
  <c r="D102" i="29"/>
  <c r="F101" i="29"/>
  <c r="H101" i="29" s="1"/>
  <c r="E101" i="29"/>
  <c r="D101" i="29"/>
  <c r="F95" i="29"/>
  <c r="H95" i="29" s="1"/>
  <c r="E95" i="29"/>
  <c r="D95" i="29"/>
  <c r="F94" i="29"/>
  <c r="H94" i="29" s="1"/>
  <c r="E94" i="29"/>
  <c r="D94" i="29"/>
  <c r="F93" i="29"/>
  <c r="H93" i="29" s="1"/>
  <c r="E93" i="29"/>
  <c r="D93" i="29"/>
  <c r="F92" i="29"/>
  <c r="H92" i="29" s="1"/>
  <c r="E92" i="29"/>
  <c r="D92" i="29"/>
  <c r="F89" i="29"/>
  <c r="H89" i="29" s="1"/>
  <c r="E89" i="29"/>
  <c r="D89" i="29"/>
  <c r="H88" i="29"/>
  <c r="H85" i="29"/>
  <c r="F74" i="29"/>
  <c r="H74" i="29" s="1"/>
  <c r="E74" i="29"/>
  <c r="D74" i="29"/>
  <c r="F71" i="29"/>
  <c r="H71" i="29" s="1"/>
  <c r="E71" i="29"/>
  <c r="D71" i="29"/>
  <c r="F59" i="29"/>
  <c r="H59" i="29" s="1"/>
  <c r="E59" i="29"/>
  <c r="D59" i="29"/>
  <c r="F58" i="29"/>
  <c r="H58" i="29" s="1"/>
  <c r="E58" i="29"/>
  <c r="D58" i="29"/>
  <c r="F57" i="29"/>
  <c r="E57" i="29"/>
  <c r="D57" i="29"/>
  <c r="F56" i="29"/>
  <c r="E56" i="29"/>
  <c r="D56" i="29"/>
  <c r="F53" i="29"/>
  <c r="H53" i="29" s="1"/>
  <c r="E53" i="29"/>
  <c r="D53" i="29"/>
  <c r="F52" i="29"/>
  <c r="H52" i="29" s="1"/>
  <c r="E52" i="29"/>
  <c r="D52" i="29"/>
  <c r="F51" i="29"/>
  <c r="H51" i="29" s="1"/>
  <c r="E51" i="29"/>
  <c r="D51" i="29"/>
  <c r="F50" i="29"/>
  <c r="H50" i="29" s="1"/>
  <c r="E50" i="29"/>
  <c r="D50" i="29"/>
  <c r="F39" i="29"/>
  <c r="H39" i="29" s="1"/>
  <c r="E39" i="29"/>
  <c r="D39" i="29"/>
  <c r="F38" i="29"/>
  <c r="H38" i="29" s="1"/>
  <c r="E38" i="29"/>
  <c r="D38" i="29"/>
  <c r="F37" i="29"/>
  <c r="H37" i="29" s="1"/>
  <c r="E37" i="29"/>
  <c r="D37" i="29"/>
  <c r="F20" i="29"/>
  <c r="H20" i="29" s="1"/>
  <c r="E20" i="29"/>
  <c r="D20" i="29"/>
  <c r="F19" i="29"/>
  <c r="H19" i="29" s="1"/>
  <c r="E19" i="29"/>
  <c r="D19" i="29"/>
  <c r="F13" i="29"/>
  <c r="H13" i="29" s="1"/>
  <c r="E13" i="29"/>
  <c r="D13" i="29"/>
  <c r="F12" i="29"/>
  <c r="H12" i="29" s="1"/>
  <c r="E12" i="29"/>
  <c r="D12" i="29"/>
  <c r="F11" i="29"/>
  <c r="H11" i="29" s="1"/>
  <c r="E11" i="29"/>
  <c r="D11" i="29"/>
  <c r="F10" i="29"/>
  <c r="H10" i="29" s="1"/>
  <c r="E10" i="29"/>
  <c r="D10" i="29"/>
  <c r="F7" i="29"/>
  <c r="H7" i="29" s="1"/>
  <c r="D7" i="29"/>
  <c r="I150" i="29"/>
  <c r="I146" i="29"/>
  <c r="I145" i="29"/>
  <c r="I143" i="29"/>
  <c r="I142" i="29"/>
  <c r="I137" i="29"/>
  <c r="I133" i="29"/>
  <c r="I132" i="29"/>
  <c r="I126" i="29"/>
  <c r="I125" i="29"/>
  <c r="I124" i="29"/>
  <c r="I123" i="29"/>
  <c r="I120" i="29"/>
  <c r="I115" i="29"/>
  <c r="I112" i="29"/>
  <c r="I102" i="29"/>
  <c r="I101" i="29"/>
  <c r="I95" i="29"/>
  <c r="I94" i="29"/>
  <c r="I93" i="29"/>
  <c r="I92" i="29"/>
  <c r="I89" i="29"/>
  <c r="I74" i="29"/>
  <c r="I71" i="29"/>
  <c r="I59" i="29"/>
  <c r="I58" i="29"/>
  <c r="I57" i="29"/>
  <c r="I56" i="29"/>
  <c r="H55" i="29"/>
  <c r="I53" i="29"/>
  <c r="I52" i="29"/>
  <c r="I51" i="29"/>
  <c r="I50" i="29"/>
  <c r="H42" i="29"/>
  <c r="I39" i="29"/>
  <c r="I38" i="29"/>
  <c r="I37" i="29"/>
  <c r="H36" i="29"/>
  <c r="H30" i="29"/>
  <c r="I20" i="29"/>
  <c r="I19" i="29"/>
  <c r="I13" i="29"/>
  <c r="I12" i="29"/>
  <c r="I11" i="29"/>
  <c r="I10" i="29"/>
  <c r="I7" i="29"/>
  <c r="H136" i="29"/>
  <c r="H131" i="29"/>
  <c r="H122" i="29"/>
  <c r="H114" i="29"/>
  <c r="H110" i="29"/>
  <c r="H69" i="29"/>
  <c r="H49" i="29"/>
  <c r="H23" i="29"/>
  <c r="C66" i="26"/>
  <c r="N142" i="26" s="1"/>
  <c r="C67" i="26"/>
  <c r="C75" i="26" s="1"/>
  <c r="N144" i="26"/>
  <c r="N146" i="26"/>
  <c r="N147" i="26"/>
  <c r="N148" i="26"/>
  <c r="N150" i="26"/>
  <c r="J53" i="25"/>
  <c r="I53" i="25"/>
  <c r="H53" i="25"/>
  <c r="G53" i="25"/>
  <c r="F53" i="25"/>
  <c r="E53" i="25"/>
  <c r="D53" i="25"/>
  <c r="J41" i="25"/>
  <c r="I41" i="25"/>
  <c r="H41" i="25"/>
  <c r="G41" i="25"/>
  <c r="F41" i="25"/>
  <c r="E41" i="25"/>
  <c r="D41" i="25"/>
  <c r="E124" i="72"/>
  <c r="K235" i="15"/>
  <c r="B6" i="31"/>
  <c r="G169" i="29" s="1"/>
  <c r="H169" i="29" s="1"/>
  <c r="I243" i="15" s="1"/>
  <c r="B7" i="31"/>
  <c r="B8" i="31"/>
  <c r="B9" i="31"/>
  <c r="B17" i="31"/>
  <c r="G66" i="26"/>
  <c r="C30" i="28"/>
  <c r="D30" i="28"/>
  <c r="E30" i="28"/>
  <c r="F30" i="28"/>
  <c r="G30" i="28"/>
  <c r="H30" i="28"/>
  <c r="I30" i="28"/>
  <c r="J30" i="28"/>
  <c r="K30" i="28"/>
  <c r="L30" i="28"/>
  <c r="M30" i="28"/>
  <c r="N30" i="28"/>
  <c r="C43" i="28"/>
  <c r="D43" i="28"/>
  <c r="E43" i="28"/>
  <c r="F43" i="28"/>
  <c r="G43" i="28"/>
  <c r="H43" i="28"/>
  <c r="I43" i="28"/>
  <c r="J43" i="28"/>
  <c r="K43" i="28"/>
  <c r="L43" i="28"/>
  <c r="M43" i="28"/>
  <c r="N43" i="28"/>
  <c r="D20" i="27"/>
  <c r="C21" i="27"/>
  <c r="D21" i="27"/>
  <c r="C23" i="27"/>
  <c r="D23" i="27"/>
  <c r="C24" i="27"/>
  <c r="C45" i="27" s="1"/>
  <c r="C8" i="27" s="1"/>
  <c r="D24" i="27"/>
  <c r="D45" i="27" s="1"/>
  <c r="D8" i="27" s="1"/>
  <c r="F45" i="27"/>
  <c r="F8" i="27" s="1"/>
  <c r="G45" i="27"/>
  <c r="G8" i="27" s="1"/>
  <c r="H45" i="27"/>
  <c r="H8" i="27" s="1"/>
  <c r="I45" i="27"/>
  <c r="I8" i="27" s="1"/>
  <c r="C28" i="27"/>
  <c r="D28" i="27"/>
  <c r="E45" i="27"/>
  <c r="E8" i="27" s="1"/>
  <c r="C52" i="27"/>
  <c r="D52" i="27"/>
  <c r="E52" i="27"/>
  <c r="F52" i="27"/>
  <c r="G52" i="27"/>
  <c r="H52" i="27"/>
  <c r="I52" i="27"/>
  <c r="J52" i="27"/>
  <c r="J51" i="27" s="1"/>
  <c r="K52" i="27"/>
  <c r="L52" i="27"/>
  <c r="D206" i="27"/>
  <c r="E206" i="27"/>
  <c r="F206" i="27"/>
  <c r="G206" i="27"/>
  <c r="H206" i="27"/>
  <c r="I206" i="27"/>
  <c r="D207" i="27"/>
  <c r="E207" i="27"/>
  <c r="F207" i="27"/>
  <c r="G207" i="27"/>
  <c r="H207" i="27"/>
  <c r="I207" i="27"/>
  <c r="C260" i="27"/>
  <c r="C265" i="27" s="1"/>
  <c r="E79" i="27"/>
  <c r="C269" i="27"/>
  <c r="H91" i="29" s="1"/>
  <c r="D269" i="27"/>
  <c r="E269" i="27"/>
  <c r="F269" i="27"/>
  <c r="G269" i="27"/>
  <c r="H269" i="27"/>
  <c r="I269" i="27"/>
  <c r="C272" i="27"/>
  <c r="D272" i="27"/>
  <c r="E272" i="27"/>
  <c r="F272" i="27"/>
  <c r="G272" i="27"/>
  <c r="H272" i="27"/>
  <c r="I272" i="27"/>
  <c r="C274" i="27"/>
  <c r="H81" i="29" s="1"/>
  <c r="D274" i="27"/>
  <c r="E274" i="27"/>
  <c r="F274" i="27"/>
  <c r="G274" i="27"/>
  <c r="H274" i="27"/>
  <c r="I274" i="27"/>
  <c r="C276" i="27"/>
  <c r="H73" i="29" s="1"/>
  <c r="D276" i="27"/>
  <c r="E276" i="27"/>
  <c r="F276" i="27"/>
  <c r="G276" i="27"/>
  <c r="H276" i="27"/>
  <c r="I276" i="27"/>
  <c r="D80" i="27"/>
  <c r="E80" i="27"/>
  <c r="F80" i="27"/>
  <c r="G80" i="27"/>
  <c r="H80" i="27"/>
  <c r="I80" i="27"/>
  <c r="C81" i="27"/>
  <c r="D81" i="27"/>
  <c r="E81" i="27"/>
  <c r="F81" i="27"/>
  <c r="G81" i="27"/>
  <c r="H81" i="27"/>
  <c r="I81" i="27"/>
  <c r="C82" i="27"/>
  <c r="D82" i="27"/>
  <c r="E82" i="27"/>
  <c r="F82" i="27"/>
  <c r="G82" i="27"/>
  <c r="H82" i="27"/>
  <c r="I82" i="27"/>
  <c r="C83" i="27"/>
  <c r="D83" i="27"/>
  <c r="E83" i="27"/>
  <c r="F83" i="27"/>
  <c r="G83" i="27"/>
  <c r="H83" i="27"/>
  <c r="I83" i="27"/>
  <c r="C84" i="27"/>
  <c r="D84" i="27"/>
  <c r="E84" i="27"/>
  <c r="F84" i="27"/>
  <c r="G84" i="27"/>
  <c r="H84" i="27"/>
  <c r="I84" i="27"/>
  <c r="C89" i="27"/>
  <c r="D89" i="27"/>
  <c r="E89" i="27"/>
  <c r="F89" i="27"/>
  <c r="G89" i="27"/>
  <c r="H89" i="27"/>
  <c r="I89" i="27"/>
  <c r="C90" i="27"/>
  <c r="D90" i="27"/>
  <c r="E90" i="27"/>
  <c r="F90" i="27"/>
  <c r="G90" i="27"/>
  <c r="H90" i="27"/>
  <c r="I90" i="27"/>
  <c r="C91" i="27"/>
  <c r="D91" i="27"/>
  <c r="E91" i="27"/>
  <c r="F91" i="27"/>
  <c r="G91" i="27"/>
  <c r="H91" i="27"/>
  <c r="I91" i="27"/>
  <c r="C92" i="27"/>
  <c r="D92" i="27"/>
  <c r="E92" i="27"/>
  <c r="F92" i="27"/>
  <c r="G92" i="27"/>
  <c r="H92" i="27"/>
  <c r="I92" i="27"/>
  <c r="P6" i="26"/>
  <c r="J34" i="26" s="1"/>
  <c r="P7" i="26"/>
  <c r="I34" i="26" s="1"/>
  <c r="P8" i="26"/>
  <c r="P9" i="26"/>
  <c r="P10" i="26"/>
  <c r="P11" i="26"/>
  <c r="P12" i="26"/>
  <c r="P13" i="26"/>
  <c r="P14" i="26"/>
  <c r="P15" i="26"/>
  <c r="P16" i="26"/>
  <c r="T37" i="26" s="1"/>
  <c r="P17" i="26"/>
  <c r="P18" i="26"/>
  <c r="T38" i="26" s="1"/>
  <c r="P19" i="26"/>
  <c r="P20" i="26"/>
  <c r="P21" i="26"/>
  <c r="P22" i="26"/>
  <c r="P23" i="26"/>
  <c r="I35" i="26"/>
  <c r="T45" i="26" s="1"/>
  <c r="T46" i="26"/>
  <c r="N96" i="26"/>
  <c r="O96" i="26" s="1"/>
  <c r="M97" i="26"/>
  <c r="N97" i="26" s="1"/>
  <c r="O97" i="26" s="1"/>
  <c r="M98" i="26"/>
  <c r="N98" i="26" s="1"/>
  <c r="C112" i="26" s="1"/>
  <c r="M99" i="26"/>
  <c r="N99" i="26" s="1"/>
  <c r="O99" i="26" s="1"/>
  <c r="M100" i="26"/>
  <c r="N100" i="26" s="1"/>
  <c r="O100" i="26" s="1"/>
  <c r="M101" i="26"/>
  <c r="N101" i="26" s="1"/>
  <c r="C115" i="26" s="1"/>
  <c r="M102" i="26"/>
  <c r="N102" i="26" s="1"/>
  <c r="M103" i="26"/>
  <c r="N103" i="26" s="1"/>
  <c r="M104" i="26"/>
  <c r="N104" i="26" s="1"/>
  <c r="M105" i="26"/>
  <c r="N105" i="26" s="1"/>
  <c r="D110" i="26"/>
  <c r="E110" i="26" s="1"/>
  <c r="F110" i="26" s="1"/>
  <c r="D111" i="26"/>
  <c r="D112" i="26"/>
  <c r="D113" i="26"/>
  <c r="D114" i="26"/>
  <c r="D115" i="26"/>
  <c r="D116" i="26"/>
  <c r="D117" i="26"/>
  <c r="D118" i="26"/>
  <c r="D119" i="26"/>
  <c r="F132" i="26"/>
  <c r="F133" i="26"/>
  <c r="L154" i="26"/>
  <c r="M154" i="26"/>
  <c r="L155" i="26"/>
  <c r="M155" i="26"/>
  <c r="L156" i="26"/>
  <c r="M156" i="26"/>
  <c r="L157" i="26"/>
  <c r="M157" i="26"/>
  <c r="L158" i="26"/>
  <c r="M158" i="26"/>
  <c r="L159" i="26"/>
  <c r="M159" i="26"/>
  <c r="L160" i="26"/>
  <c r="M160" i="26"/>
  <c r="L161" i="26"/>
  <c r="M161" i="26"/>
  <c r="L162" i="26"/>
  <c r="M162" i="26"/>
  <c r="L163" i="26"/>
  <c r="M163" i="26"/>
  <c r="I66" i="26"/>
  <c r="I74" i="26"/>
  <c r="E66" i="26"/>
  <c r="E74" i="26"/>
  <c r="D66" i="26"/>
  <c r="D74" i="26"/>
  <c r="O162" i="26"/>
  <c r="O160" i="26"/>
  <c r="O158" i="26"/>
  <c r="O156" i="26"/>
  <c r="O154" i="26"/>
  <c r="AB10" i="44" l="1"/>
  <c r="AC10" i="44" s="1"/>
  <c r="S10" i="44"/>
  <c r="AG9" i="44"/>
  <c r="AJ9" i="44" s="1"/>
  <c r="M9" i="44"/>
  <c r="AH12" i="44"/>
  <c r="O12" i="44"/>
  <c r="AH9" i="44"/>
  <c r="O9" i="44"/>
  <c r="AG12" i="44"/>
  <c r="AJ12" i="44" s="1"/>
  <c r="M12" i="44"/>
  <c r="Z12" i="44"/>
  <c r="AA12" i="44" s="1"/>
  <c r="Q12" i="44"/>
  <c r="AB9" i="44"/>
  <c r="AC9" i="44" s="1"/>
  <c r="S9" i="44"/>
  <c r="AB12" i="44"/>
  <c r="AC12" i="44" s="1"/>
  <c r="S12" i="44"/>
  <c r="AI12" i="44"/>
  <c r="AE12" i="44"/>
  <c r="AG11" i="44"/>
  <c r="AJ11" i="44" s="1"/>
  <c r="M11" i="44"/>
  <c r="AI11" i="44"/>
  <c r="AE11" i="44"/>
  <c r="AI8" i="44"/>
  <c r="AE8" i="44"/>
  <c r="AH11" i="44"/>
  <c r="O11" i="44"/>
  <c r="AG8" i="44"/>
  <c r="AJ8" i="44" s="1"/>
  <c r="M8" i="44"/>
  <c r="Z11" i="44"/>
  <c r="AA11" i="44" s="1"/>
  <c r="Q11" i="44"/>
  <c r="AI9" i="44"/>
  <c r="AE9" i="44"/>
  <c r="AH8" i="44"/>
  <c r="O8" i="44"/>
  <c r="AB11" i="44"/>
  <c r="AC11" i="44" s="1"/>
  <c r="S11" i="44"/>
  <c r="Z10" i="44"/>
  <c r="AA10" i="44" s="1"/>
  <c r="Q10" i="44"/>
  <c r="AF11" i="44"/>
  <c r="K11" i="44"/>
  <c r="AF12" i="44"/>
  <c r="K12" i="44"/>
  <c r="Z8" i="44"/>
  <c r="AA8" i="44" s="1"/>
  <c r="Q8" i="44"/>
  <c r="AB8" i="44"/>
  <c r="AC8" i="44" s="1"/>
  <c r="S8" i="44"/>
  <c r="AI10" i="44"/>
  <c r="AE10" i="44"/>
  <c r="AF8" i="44"/>
  <c r="K8" i="44"/>
  <c r="AG10" i="44"/>
  <c r="AJ10" i="44" s="1"/>
  <c r="M10" i="44"/>
  <c r="AF10" i="44"/>
  <c r="K10" i="44"/>
  <c r="AH10" i="44"/>
  <c r="O10" i="44"/>
  <c r="F95" i="27"/>
  <c r="I95" i="27"/>
  <c r="G150" i="29"/>
  <c r="H150" i="29" s="1"/>
  <c r="I224" i="15" s="1"/>
  <c r="T44" i="26"/>
  <c r="G80" i="26"/>
  <c r="K80" i="26"/>
  <c r="E80" i="26"/>
  <c r="H80" i="26"/>
  <c r="L80" i="26"/>
  <c r="F80" i="26"/>
  <c r="D80" i="26"/>
  <c r="I80" i="26"/>
  <c r="M80" i="26"/>
  <c r="J80" i="26"/>
  <c r="N80" i="26"/>
  <c r="H95" i="27"/>
  <c r="D95" i="27"/>
  <c r="G200" i="29"/>
  <c r="I266" i="15" s="1"/>
  <c r="E95" i="27"/>
  <c r="G149" i="29"/>
  <c r="H149" i="29" s="1"/>
  <c r="C40" i="27" s="1"/>
  <c r="D40" i="27" s="1"/>
  <c r="E40" i="27" s="1"/>
  <c r="F40" i="27" s="1"/>
  <c r="G40" i="27" s="1"/>
  <c r="H40" i="27" s="1"/>
  <c r="I40" i="27" s="1"/>
  <c r="J40" i="27" s="1"/>
  <c r="T32" i="26"/>
  <c r="G95" i="27"/>
  <c r="C95" i="27"/>
  <c r="C93" i="27"/>
  <c r="J5" i="40"/>
  <c r="P9" i="44" s="1"/>
  <c r="E39" i="26"/>
  <c r="E41" i="26"/>
  <c r="I249" i="29"/>
  <c r="H306" i="15" s="1"/>
  <c r="I210" i="29"/>
  <c r="H274" i="15" s="1"/>
  <c r="I246" i="29"/>
  <c r="H303" i="15" s="1"/>
  <c r="I220" i="29"/>
  <c r="I222" i="29"/>
  <c r="H284" i="15" s="1"/>
  <c r="I248" i="29"/>
  <c r="H305" i="15" s="1"/>
  <c r="I200" i="29"/>
  <c r="I205" i="29"/>
  <c r="H270" i="15" s="1"/>
  <c r="I239" i="29"/>
  <c r="H298" i="15" s="1"/>
  <c r="I242" i="29"/>
  <c r="H300" i="15" s="1"/>
  <c r="I187" i="29"/>
  <c r="I177" i="29"/>
  <c r="H246" i="15" s="1"/>
  <c r="I183" i="29"/>
  <c r="H252" i="15" s="1"/>
  <c r="J17" i="29"/>
  <c r="I225" i="29"/>
  <c r="H287" i="15" s="1"/>
  <c r="J83" i="29"/>
  <c r="I216" i="29"/>
  <c r="H279" i="15" s="1"/>
  <c r="I212" i="29"/>
  <c r="H275" i="15" s="1"/>
  <c r="I243" i="29"/>
  <c r="H301" i="15" s="1"/>
  <c r="I224" i="29"/>
  <c r="H286" i="15" s="1"/>
  <c r="I199" i="29"/>
  <c r="I202" i="29"/>
  <c r="H267" i="15" s="1"/>
  <c r="I231" i="29"/>
  <c r="H291" i="15" s="1"/>
  <c r="I215" i="29"/>
  <c r="H278" i="15" s="1"/>
  <c r="I245" i="29"/>
  <c r="H302" i="15" s="1"/>
  <c r="I238" i="29"/>
  <c r="H297" i="15" s="1"/>
  <c r="I182" i="29"/>
  <c r="I184" i="29"/>
  <c r="I191" i="29"/>
  <c r="H260" i="15" s="1"/>
  <c r="I189" i="29"/>
  <c r="H258" i="15" s="1"/>
  <c r="I232" i="29"/>
  <c r="H292" i="15" s="1"/>
  <c r="I188" i="29"/>
  <c r="I223" i="29"/>
  <c r="H285" i="15" s="1"/>
  <c r="I233" i="29"/>
  <c r="H293" i="15" s="1"/>
  <c r="I209" i="29"/>
  <c r="H273" i="15" s="1"/>
  <c r="I247" i="29"/>
  <c r="H304" i="15" s="1"/>
  <c r="I235" i="29"/>
  <c r="H295" i="15" s="1"/>
  <c r="I221" i="29"/>
  <c r="H283" i="15" s="1"/>
  <c r="I240" i="29"/>
  <c r="H299" i="15" s="1"/>
  <c r="I226" i="29"/>
  <c r="H288" i="15" s="1"/>
  <c r="I204" i="29"/>
  <c r="H269" i="15" s="1"/>
  <c r="I208" i="29"/>
  <c r="H272" i="15" s="1"/>
  <c r="I185" i="29"/>
  <c r="I192" i="29"/>
  <c r="H261" i="15" s="1"/>
  <c r="I190" i="29"/>
  <c r="H259" i="15" s="1"/>
  <c r="J99" i="29"/>
  <c r="I214" i="29"/>
  <c r="H277" i="15" s="1"/>
  <c r="I197" i="29"/>
  <c r="I234" i="29"/>
  <c r="H294" i="15" s="1"/>
  <c r="I213" i="29"/>
  <c r="H276" i="15" s="1"/>
  <c r="I203" i="29"/>
  <c r="H268" i="15" s="1"/>
  <c r="I237" i="29"/>
  <c r="H296" i="15" s="1"/>
  <c r="I198" i="29"/>
  <c r="I207" i="29"/>
  <c r="H271" i="15" s="1"/>
  <c r="I178" i="29"/>
  <c r="I181" i="29"/>
  <c r="K154" i="29"/>
  <c r="H228" i="15" s="1"/>
  <c r="K155" i="29"/>
  <c r="H229" i="15" s="1"/>
  <c r="K159" i="29"/>
  <c r="K165" i="29"/>
  <c r="H239" i="15" s="1"/>
  <c r="K169" i="29"/>
  <c r="H243" i="15" s="1"/>
  <c r="K153" i="29"/>
  <c r="G153" i="29"/>
  <c r="H153" i="29" s="1"/>
  <c r="I227" i="15" s="1"/>
  <c r="K158" i="29"/>
  <c r="K164" i="29"/>
  <c r="H238" i="15" s="1"/>
  <c r="K168" i="29"/>
  <c r="H242" i="15" s="1"/>
  <c r="G73" i="26"/>
  <c r="E114" i="26"/>
  <c r="F114" i="26" s="1"/>
  <c r="G163" i="29"/>
  <c r="H163" i="29" s="1"/>
  <c r="C49" i="27" s="1"/>
  <c r="J73" i="26"/>
  <c r="E113" i="26"/>
  <c r="F113" i="26" s="1"/>
  <c r="G243" i="29"/>
  <c r="I301" i="15" s="1"/>
  <c r="G224" i="29"/>
  <c r="I286" i="15" s="1"/>
  <c r="G234" i="29"/>
  <c r="I294" i="15" s="1"/>
  <c r="G216" i="29"/>
  <c r="I279" i="15" s="1"/>
  <c r="G214" i="29"/>
  <c r="I277" i="15" s="1"/>
  <c r="G212" i="29"/>
  <c r="I275" i="15" s="1"/>
  <c r="G213" i="29"/>
  <c r="I276" i="15" s="1"/>
  <c r="G210" i="29"/>
  <c r="I274" i="15" s="1"/>
  <c r="G242" i="29"/>
  <c r="I300" i="15" s="1"/>
  <c r="G245" i="29"/>
  <c r="I302" i="15" s="1"/>
  <c r="G208" i="29"/>
  <c r="I272" i="15" s="1"/>
  <c r="G233" i="29"/>
  <c r="I293" i="15" s="1"/>
  <c r="G220" i="29"/>
  <c r="G205" i="29"/>
  <c r="I270" i="15" s="1"/>
  <c r="G209" i="29"/>
  <c r="I273" i="15" s="1"/>
  <c r="G248" i="29"/>
  <c r="I305" i="15" s="1"/>
  <c r="G246" i="29"/>
  <c r="I303" i="15" s="1"/>
  <c r="G235" i="29"/>
  <c r="I295" i="15" s="1"/>
  <c r="G221" i="29"/>
  <c r="I283" i="15" s="1"/>
  <c r="G237" i="29"/>
  <c r="I296" i="15" s="1"/>
  <c r="G249" i="29"/>
  <c r="I306" i="15" s="1"/>
  <c r="G215" i="29"/>
  <c r="I278" i="15" s="1"/>
  <c r="G238" i="29"/>
  <c r="I297" i="15" s="1"/>
  <c r="G202" i="29"/>
  <c r="I267" i="15" s="1"/>
  <c r="G232" i="29"/>
  <c r="I292" i="15" s="1"/>
  <c r="G231" i="29"/>
  <c r="G197" i="29"/>
  <c r="G240" i="29"/>
  <c r="I299" i="15" s="1"/>
  <c r="G225" i="29"/>
  <c r="I287" i="15" s="1"/>
  <c r="G204" i="29"/>
  <c r="I269" i="15" s="1"/>
  <c r="G239" i="29"/>
  <c r="I298" i="15" s="1"/>
  <c r="G223" i="29"/>
  <c r="I285" i="15" s="1"/>
  <c r="G226" i="29"/>
  <c r="I288" i="15" s="1"/>
  <c r="G247" i="29"/>
  <c r="I304" i="15" s="1"/>
  <c r="G222" i="29"/>
  <c r="I284" i="15" s="1"/>
  <c r="G207" i="29"/>
  <c r="I271" i="15" s="1"/>
  <c r="G203" i="29"/>
  <c r="I268" i="15" s="1"/>
  <c r="G190" i="29"/>
  <c r="I259" i="15" s="1"/>
  <c r="G191" i="29"/>
  <c r="I260" i="15" s="1"/>
  <c r="G219" i="29"/>
  <c r="G192" i="29"/>
  <c r="I261" i="15" s="1"/>
  <c r="K152" i="29"/>
  <c r="H226" i="15" s="1"/>
  <c r="K157" i="29"/>
  <c r="H231" i="15" s="1"/>
  <c r="K161" i="29"/>
  <c r="K167" i="29"/>
  <c r="C110" i="26"/>
  <c r="K151" i="29"/>
  <c r="H225" i="15" s="1"/>
  <c r="K156" i="29"/>
  <c r="H230" i="15" s="1"/>
  <c r="K160" i="29"/>
  <c r="H234" i="15" s="1"/>
  <c r="K166" i="29"/>
  <c r="H240" i="15" s="1"/>
  <c r="O104" i="26"/>
  <c r="E118" i="26" s="1"/>
  <c r="C118" i="26"/>
  <c r="O102" i="26"/>
  <c r="E116" i="26" s="1"/>
  <c r="C116" i="26"/>
  <c r="O105" i="26"/>
  <c r="E119" i="26" s="1"/>
  <c r="F119" i="26" s="1"/>
  <c r="G119" i="26" s="1"/>
  <c r="H119" i="26" s="1"/>
  <c r="I119" i="26" s="1"/>
  <c r="J119" i="26" s="1"/>
  <c r="K119" i="26" s="1"/>
  <c r="L119" i="26" s="1"/>
  <c r="M119" i="26" s="1"/>
  <c r="N119" i="26" s="1"/>
  <c r="C119" i="26"/>
  <c r="C117" i="26"/>
  <c r="O103" i="26"/>
  <c r="E117" i="26" s="1"/>
  <c r="E73" i="26"/>
  <c r="G74" i="26"/>
  <c r="I73" i="26"/>
  <c r="E111" i="26"/>
  <c r="G110" i="26"/>
  <c r="H110" i="26" s="1"/>
  <c r="O101" i="26"/>
  <c r="E115" i="26" s="1"/>
  <c r="O98" i="26"/>
  <c r="E112" i="26" s="1"/>
  <c r="E34" i="26"/>
  <c r="E38" i="26"/>
  <c r="C36" i="27"/>
  <c r="N265" i="27"/>
  <c r="K150" i="29"/>
  <c r="H224" i="15" s="1"/>
  <c r="G264" i="15"/>
  <c r="K195" i="29"/>
  <c r="I223" i="15"/>
  <c r="H105" i="29"/>
  <c r="D51" i="27"/>
  <c r="D9" i="27" s="1"/>
  <c r="F79" i="27"/>
  <c r="H79" i="27"/>
  <c r="H85" i="27" s="1"/>
  <c r="D79" i="27"/>
  <c r="D85" i="27" s="1"/>
  <c r="H278" i="27"/>
  <c r="F278" i="27"/>
  <c r="D278" i="27"/>
  <c r="H51" i="27"/>
  <c r="H9" i="27" s="1"/>
  <c r="F51" i="27"/>
  <c r="F9" i="27" s="1"/>
  <c r="E40" i="26"/>
  <c r="T49" i="26"/>
  <c r="E37" i="26"/>
  <c r="J35" i="26"/>
  <c r="T33" i="26" s="1"/>
  <c r="E35" i="26"/>
  <c r="I79" i="27"/>
  <c r="I85" i="27" s="1"/>
  <c r="H9" i="29"/>
  <c r="J66" i="26"/>
  <c r="J74" i="26"/>
  <c r="H73" i="26"/>
  <c r="F66" i="26"/>
  <c r="F74" i="26"/>
  <c r="D73" i="26"/>
  <c r="D89" i="26" s="1"/>
  <c r="D13" i="25" s="1"/>
  <c r="G188" i="29"/>
  <c r="I257" i="15" s="1"/>
  <c r="G185" i="29"/>
  <c r="I254" i="15" s="1"/>
  <c r="G176" i="29"/>
  <c r="H265" i="15"/>
  <c r="H250" i="15"/>
  <c r="H266" i="15"/>
  <c r="H251" i="15"/>
  <c r="T34" i="26"/>
  <c r="F73" i="26"/>
  <c r="H74" i="26"/>
  <c r="H66" i="26"/>
  <c r="G181" i="29"/>
  <c r="G199" i="29"/>
  <c r="I265" i="15" s="1"/>
  <c r="G182" i="29"/>
  <c r="I251" i="15" s="1"/>
  <c r="C111" i="26"/>
  <c r="C113" i="26"/>
  <c r="C114" i="26"/>
  <c r="E36" i="26"/>
  <c r="N149" i="26"/>
  <c r="O161" i="26"/>
  <c r="N145" i="26"/>
  <c r="O157" i="26"/>
  <c r="N143" i="26"/>
  <c r="E42" i="26"/>
  <c r="H254" i="15"/>
  <c r="H257" i="15"/>
  <c r="K74" i="26"/>
  <c r="O159" i="26"/>
  <c r="O155" i="26"/>
  <c r="K66" i="26"/>
  <c r="J7" i="29"/>
  <c r="J11" i="29"/>
  <c r="J13" i="29"/>
  <c r="J19" i="29"/>
  <c r="J25" i="29"/>
  <c r="J38" i="29"/>
  <c r="J51" i="29"/>
  <c r="J53" i="29"/>
  <c r="J56" i="29"/>
  <c r="J58" i="29"/>
  <c r="J71" i="29"/>
  <c r="J82" i="29"/>
  <c r="J86" i="29"/>
  <c r="J89" i="29"/>
  <c r="J93" i="29"/>
  <c r="J95" i="29"/>
  <c r="J101" i="29"/>
  <c r="J106" i="29"/>
  <c r="J107" i="29"/>
  <c r="H247" i="15"/>
  <c r="G180" i="29"/>
  <c r="G184" i="29"/>
  <c r="I253" i="15" s="1"/>
  <c r="G187" i="29"/>
  <c r="I256" i="15" s="1"/>
  <c r="G198" i="29"/>
  <c r="J98" i="29"/>
  <c r="J24" i="29"/>
  <c r="J26" i="29"/>
  <c r="J28" i="29"/>
  <c r="J31" i="29"/>
  <c r="J40" i="29"/>
  <c r="J62" i="29"/>
  <c r="J67" i="29"/>
  <c r="J84" i="29"/>
  <c r="H227" i="15"/>
  <c r="H232" i="15"/>
  <c r="H233" i="15"/>
  <c r="H235" i="15"/>
  <c r="H241" i="15"/>
  <c r="H253" i="15"/>
  <c r="H256" i="15"/>
  <c r="H264" i="15"/>
  <c r="G178" i="29"/>
  <c r="I247" i="15" s="1"/>
  <c r="G183" i="29"/>
  <c r="I252" i="15" s="1"/>
  <c r="G177" i="29"/>
  <c r="G189" i="29"/>
  <c r="I258" i="15" s="1"/>
  <c r="J10" i="29"/>
  <c r="J12" i="29"/>
  <c r="J15" i="29"/>
  <c r="J20" i="29"/>
  <c r="J27" i="29"/>
  <c r="J34" i="29"/>
  <c r="J37" i="29"/>
  <c r="J39" i="29"/>
  <c r="J43" i="29"/>
  <c r="J50" i="29"/>
  <c r="J52" i="29"/>
  <c r="J57" i="29"/>
  <c r="J59" i="29"/>
  <c r="J65" i="29"/>
  <c r="J66" i="29"/>
  <c r="J74" i="29"/>
  <c r="J85" i="29"/>
  <c r="J88" i="29"/>
  <c r="J92" i="29"/>
  <c r="J94" i="29"/>
  <c r="J102" i="29"/>
  <c r="J112" i="29"/>
  <c r="J16" i="29"/>
  <c r="J21" i="29"/>
  <c r="J97" i="29"/>
  <c r="J103" i="29"/>
  <c r="J33" i="29"/>
  <c r="J32" i="29"/>
  <c r="J45" i="29"/>
  <c r="J46" i="29"/>
  <c r="J47" i="29"/>
  <c r="J108" i="29"/>
  <c r="J70" i="29"/>
  <c r="J111" i="29"/>
  <c r="J79" i="29"/>
  <c r="J78" i="29"/>
  <c r="J77" i="29"/>
  <c r="J76" i="29"/>
  <c r="J75" i="29"/>
  <c r="G151" i="29"/>
  <c r="H151" i="29" s="1"/>
  <c r="I225" i="15" s="1"/>
  <c r="G154" i="29"/>
  <c r="H154" i="29" s="1"/>
  <c r="I228" i="15" s="1"/>
  <c r="G152" i="29"/>
  <c r="H152" i="29" s="1"/>
  <c r="I226" i="15" s="1"/>
  <c r="G155" i="29"/>
  <c r="H155" i="29" s="1"/>
  <c r="I229" i="15" s="1"/>
  <c r="G156" i="29"/>
  <c r="H156" i="29" s="1"/>
  <c r="I230" i="15" s="1"/>
  <c r="G157" i="29"/>
  <c r="H157" i="29" s="1"/>
  <c r="I231" i="15" s="1"/>
  <c r="G158" i="29"/>
  <c r="H158" i="29" s="1"/>
  <c r="I232" i="15" s="1"/>
  <c r="G159" i="29"/>
  <c r="H159" i="29" s="1"/>
  <c r="I233" i="15" s="1"/>
  <c r="G160" i="29"/>
  <c r="H160" i="29" s="1"/>
  <c r="I234" i="15" s="1"/>
  <c r="G161" i="29"/>
  <c r="H161" i="29" s="1"/>
  <c r="I235" i="15" s="1"/>
  <c r="G164" i="29"/>
  <c r="H164" i="29" s="1"/>
  <c r="I238" i="15" s="1"/>
  <c r="G165" i="29"/>
  <c r="H165" i="29" s="1"/>
  <c r="I239" i="15" s="1"/>
  <c r="G166" i="29"/>
  <c r="H166" i="29" s="1"/>
  <c r="I240" i="15" s="1"/>
  <c r="G167" i="29"/>
  <c r="H167" i="29" s="1"/>
  <c r="I241" i="15" s="1"/>
  <c r="G168" i="29"/>
  <c r="H168" i="29" s="1"/>
  <c r="I242" i="15" s="1"/>
  <c r="F85" i="27"/>
  <c r="G79" i="27"/>
  <c r="G85" i="27" s="1"/>
  <c r="C79" i="27"/>
  <c r="G278" i="27"/>
  <c r="E278" i="27"/>
  <c r="K28" i="27"/>
  <c r="L20" i="27"/>
  <c r="H93" i="27"/>
  <c r="F93" i="27"/>
  <c r="D93" i="27"/>
  <c r="G93" i="27"/>
  <c r="I93" i="27"/>
  <c r="E93" i="27"/>
  <c r="E85" i="27"/>
  <c r="K27" i="27"/>
  <c r="L27" i="27" s="1"/>
  <c r="M27" i="27" s="1"/>
  <c r="M54" i="27" s="1"/>
  <c r="M10" i="27" s="1"/>
  <c r="K23" i="27"/>
  <c r="L23" i="27" s="1"/>
  <c r="M23" i="27" s="1"/>
  <c r="K21" i="27"/>
  <c r="I277" i="27"/>
  <c r="I278" i="27"/>
  <c r="C278" i="27"/>
  <c r="C277" i="27"/>
  <c r="D29" i="27"/>
  <c r="I54" i="27"/>
  <c r="I10" i="27" s="1"/>
  <c r="K26" i="27"/>
  <c r="L26" i="27" s="1"/>
  <c r="M26" i="27" s="1"/>
  <c r="M51" i="27" s="1"/>
  <c r="M9" i="27" s="1"/>
  <c r="C51" i="27"/>
  <c r="C9" i="27" s="1"/>
  <c r="F277" i="27"/>
  <c r="H277" i="27"/>
  <c r="E277" i="27"/>
  <c r="G277" i="27"/>
  <c r="D277" i="27"/>
  <c r="G51" i="27"/>
  <c r="G9" i="27" s="1"/>
  <c r="E51" i="27"/>
  <c r="E9" i="27" s="1"/>
  <c r="K24" i="27"/>
  <c r="I51" i="27"/>
  <c r="I9" i="27" s="1"/>
  <c r="J44" i="29"/>
  <c r="J14" i="29"/>
  <c r="J18" i="29"/>
  <c r="J87" i="29"/>
  <c r="J96" i="29"/>
  <c r="J100" i="29"/>
  <c r="H61" i="29"/>
  <c r="H57" i="29"/>
  <c r="H6" i="29"/>
  <c r="K73" i="26"/>
  <c r="Z9" i="44" l="1"/>
  <c r="AA9" i="44" s="1"/>
  <c r="Q9" i="44"/>
  <c r="M81" i="26"/>
  <c r="H282" i="15"/>
  <c r="H281" i="15"/>
  <c r="D81" i="26"/>
  <c r="I246" i="15"/>
  <c r="J117" i="72" s="1"/>
  <c r="D73" i="60"/>
  <c r="D67" i="27"/>
  <c r="I250" i="15"/>
  <c r="J118" i="72" s="1"/>
  <c r="R118" i="72"/>
  <c r="D74" i="60"/>
  <c r="D68" i="27"/>
  <c r="I282" i="15"/>
  <c r="J120" i="72" s="1"/>
  <c r="R120" i="72"/>
  <c r="I281" i="15"/>
  <c r="D69" i="27"/>
  <c r="D75" i="60"/>
  <c r="F81" i="26"/>
  <c r="N81" i="26"/>
  <c r="I81" i="26"/>
  <c r="K81" i="26"/>
  <c r="I237" i="15"/>
  <c r="J81" i="26"/>
  <c r="L81" i="26"/>
  <c r="G81" i="26"/>
  <c r="N277" i="27"/>
  <c r="O277" i="27" s="1"/>
  <c r="E81" i="26"/>
  <c r="H81" i="26"/>
  <c r="D9" i="25"/>
  <c r="D6" i="25"/>
  <c r="D7" i="25"/>
  <c r="D8" i="25"/>
  <c r="D10" i="25"/>
  <c r="H138" i="26"/>
  <c r="H93" i="25" s="1"/>
  <c r="H136" i="26"/>
  <c r="H137" i="26"/>
  <c r="K138" i="26"/>
  <c r="K137" i="26"/>
  <c r="K136" i="26"/>
  <c r="F137" i="26"/>
  <c r="F136" i="26"/>
  <c r="F138" i="26"/>
  <c r="F91" i="25" s="1"/>
  <c r="E136" i="26"/>
  <c r="E137" i="26"/>
  <c r="E138" i="26"/>
  <c r="E93" i="25" s="1"/>
  <c r="D136" i="26"/>
  <c r="D75" i="25" s="1"/>
  <c r="D137" i="26"/>
  <c r="D138" i="26"/>
  <c r="D95" i="25" s="1"/>
  <c r="I136" i="26"/>
  <c r="I137" i="26"/>
  <c r="I138" i="26"/>
  <c r="I93" i="25" s="1"/>
  <c r="N151" i="26"/>
  <c r="C128" i="26" s="1"/>
  <c r="D128" i="26" s="1"/>
  <c r="E128" i="26" s="1"/>
  <c r="F128" i="26" s="1"/>
  <c r="G128" i="26" s="1"/>
  <c r="H128" i="26" s="1"/>
  <c r="I128" i="26" s="1"/>
  <c r="J128" i="26" s="1"/>
  <c r="K128" i="26" s="1"/>
  <c r="L128" i="26" s="1"/>
  <c r="M128" i="26" s="1"/>
  <c r="N128" i="26" s="1"/>
  <c r="I87" i="26"/>
  <c r="G86" i="26"/>
  <c r="F86" i="26"/>
  <c r="I86" i="26"/>
  <c r="K86" i="26"/>
  <c r="J86" i="26"/>
  <c r="E86" i="26"/>
  <c r="E89" i="26" s="1"/>
  <c r="E13" i="25" s="1"/>
  <c r="H86" i="26"/>
  <c r="L86" i="26"/>
  <c r="M86" i="26"/>
  <c r="N86" i="26"/>
  <c r="J87" i="26"/>
  <c r="I245" i="15"/>
  <c r="E67" i="27"/>
  <c r="G229" i="29"/>
  <c r="I291" i="15"/>
  <c r="I249" i="15"/>
  <c r="E68" i="27"/>
  <c r="H94" i="25"/>
  <c r="P32" i="72"/>
  <c r="P25" i="72"/>
  <c r="P22" i="72" s="1"/>
  <c r="Q25" i="72" s="1"/>
  <c r="P39" i="72"/>
  <c r="P45" i="72"/>
  <c r="F112" i="26"/>
  <c r="F117" i="26"/>
  <c r="F115" i="26"/>
  <c r="I110" i="26"/>
  <c r="J110" i="26" s="1"/>
  <c r="F111" i="26"/>
  <c r="G111" i="26" s="1"/>
  <c r="G113" i="26"/>
  <c r="G114" i="26"/>
  <c r="F116" i="26"/>
  <c r="F118" i="26"/>
  <c r="C94" i="27"/>
  <c r="C12" i="27"/>
  <c r="D34" i="27"/>
  <c r="O265" i="27"/>
  <c r="I264" i="15"/>
  <c r="G195" i="29"/>
  <c r="C39" i="27"/>
  <c r="C11" i="27" s="1"/>
  <c r="P7" i="72"/>
  <c r="K54" i="27"/>
  <c r="K10" i="27" s="1"/>
  <c r="J9" i="27"/>
  <c r="J43" i="26"/>
  <c r="J10" i="27"/>
  <c r="M20" i="27"/>
  <c r="O163" i="26"/>
  <c r="C129" i="26" s="1"/>
  <c r="D129" i="26" s="1"/>
  <c r="E129" i="26" s="1"/>
  <c r="F129" i="26" s="1"/>
  <c r="D36" i="27"/>
  <c r="D12" i="27" s="1"/>
  <c r="I43" i="26"/>
  <c r="K29" i="27"/>
  <c r="L54" i="27"/>
  <c r="L10" i="27" s="1"/>
  <c r="J8" i="27"/>
  <c r="K45" i="27"/>
  <c r="K8" i="27" s="1"/>
  <c r="L24" i="27"/>
  <c r="L28" i="27"/>
  <c r="M28" i="27" s="1"/>
  <c r="L21" i="27"/>
  <c r="K51" i="27"/>
  <c r="K9" i="27" s="1"/>
  <c r="H56" i="29"/>
  <c r="L73" i="26"/>
  <c r="L66" i="26"/>
  <c r="L74" i="26"/>
  <c r="D77" i="60" l="1"/>
  <c r="D71" i="27"/>
  <c r="F73" i="60"/>
  <c r="P36" i="72"/>
  <c r="Q45" i="72" s="1"/>
  <c r="Q32" i="72"/>
  <c r="D70" i="27"/>
  <c r="D76" i="60"/>
  <c r="U25" i="72"/>
  <c r="T25" i="72"/>
  <c r="E79" i="25"/>
  <c r="E83" i="25"/>
  <c r="Y124" i="72" s="1"/>
  <c r="AR309" i="15" s="1"/>
  <c r="E82" i="25"/>
  <c r="E81" i="25"/>
  <c r="E84" i="25"/>
  <c r="Z124" i="72" s="1"/>
  <c r="AS309" i="15" s="1"/>
  <c r="E80" i="25"/>
  <c r="F82" i="25"/>
  <c r="F80" i="25"/>
  <c r="F83" i="25"/>
  <c r="F84" i="25"/>
  <c r="F81" i="25"/>
  <c r="H80" i="25"/>
  <c r="H84" i="25"/>
  <c r="H81" i="25"/>
  <c r="H83" i="25"/>
  <c r="H82" i="25"/>
  <c r="D80" i="25"/>
  <c r="D83" i="25"/>
  <c r="D81" i="25"/>
  <c r="D84" i="25"/>
  <c r="D82" i="25"/>
  <c r="E67" i="25"/>
  <c r="E69" i="25"/>
  <c r="E72" i="25"/>
  <c r="E68" i="25"/>
  <c r="E71" i="25"/>
  <c r="E70" i="25"/>
  <c r="K68" i="25"/>
  <c r="K69" i="25"/>
  <c r="K70" i="25"/>
  <c r="K71" i="25"/>
  <c r="K72" i="25"/>
  <c r="H68" i="25"/>
  <c r="H69" i="25"/>
  <c r="H70" i="25"/>
  <c r="H71" i="25"/>
  <c r="H72" i="25"/>
  <c r="I83" i="25"/>
  <c r="I81" i="25"/>
  <c r="I80" i="25"/>
  <c r="I84" i="25"/>
  <c r="I82" i="25"/>
  <c r="K81" i="25"/>
  <c r="K83" i="25"/>
  <c r="K80" i="25"/>
  <c r="K84" i="25"/>
  <c r="K82" i="25"/>
  <c r="I75" i="25"/>
  <c r="I68" i="25"/>
  <c r="I69" i="25"/>
  <c r="I70" i="25"/>
  <c r="I71" i="25"/>
  <c r="I72" i="25"/>
  <c r="F68" i="25"/>
  <c r="F72" i="25"/>
  <c r="F69" i="25"/>
  <c r="F70" i="25"/>
  <c r="F71" i="25"/>
  <c r="D58" i="27"/>
  <c r="F89" i="26"/>
  <c r="F13" i="25" s="1"/>
  <c r="K40" i="26"/>
  <c r="K41" i="26"/>
  <c r="K42" i="26"/>
  <c r="L40" i="26"/>
  <c r="L42" i="26"/>
  <c r="L41" i="26"/>
  <c r="H91" i="25"/>
  <c r="E69" i="27"/>
  <c r="E70" i="27"/>
  <c r="D98" i="25"/>
  <c r="D14" i="25"/>
  <c r="F99" i="25"/>
  <c r="F96" i="25"/>
  <c r="E99" i="25"/>
  <c r="F97" i="25"/>
  <c r="F92" i="25"/>
  <c r="F94" i="25"/>
  <c r="F93" i="25"/>
  <c r="F95" i="25"/>
  <c r="F98" i="25"/>
  <c r="E8" i="25"/>
  <c r="AC53" i="72" s="1"/>
  <c r="E6" i="25"/>
  <c r="AA53" i="72" s="1"/>
  <c r="E10" i="25"/>
  <c r="AE53" i="72" s="1"/>
  <c r="E9" i="25"/>
  <c r="AD53" i="72" s="1"/>
  <c r="D91" i="25"/>
  <c r="I94" i="25"/>
  <c r="I96" i="25"/>
  <c r="D94" i="25"/>
  <c r="D96" i="25"/>
  <c r="I99" i="25"/>
  <c r="I92" i="25"/>
  <c r="D97" i="25"/>
  <c r="D99" i="25"/>
  <c r="D92" i="25"/>
  <c r="I95" i="25"/>
  <c r="I97" i="25"/>
  <c r="G138" i="26"/>
  <c r="G137" i="26"/>
  <c r="G85" i="25" s="1"/>
  <c r="G136" i="26"/>
  <c r="D93" i="25"/>
  <c r="I98" i="25"/>
  <c r="I91" i="25"/>
  <c r="J137" i="26"/>
  <c r="J138" i="26"/>
  <c r="J94" i="25" s="1"/>
  <c r="J136" i="26"/>
  <c r="C127" i="26"/>
  <c r="K87" i="26"/>
  <c r="M87" i="26"/>
  <c r="E85" i="25"/>
  <c r="E87" i="26"/>
  <c r="E7" i="25" s="1"/>
  <c r="AB53" i="72" s="1"/>
  <c r="F87" i="26"/>
  <c r="N87" i="26"/>
  <c r="H87" i="26"/>
  <c r="G87" i="26"/>
  <c r="L87" i="26"/>
  <c r="E97" i="25"/>
  <c r="H95" i="25"/>
  <c r="E95" i="25"/>
  <c r="H98" i="25"/>
  <c r="H92" i="25"/>
  <c r="E87" i="25"/>
  <c r="E92" i="25"/>
  <c r="H99" i="25"/>
  <c r="E98" i="25"/>
  <c r="H97" i="25"/>
  <c r="H79" i="25"/>
  <c r="E96" i="25"/>
  <c r="H96" i="25"/>
  <c r="E91" i="25"/>
  <c r="H73" i="25"/>
  <c r="E94" i="25"/>
  <c r="P10" i="72"/>
  <c r="G290" i="15"/>
  <c r="I290" i="15"/>
  <c r="F75" i="25"/>
  <c r="E74" i="25"/>
  <c r="E75" i="25"/>
  <c r="P277" i="27"/>
  <c r="E58" i="27"/>
  <c r="G118" i="26"/>
  <c r="G116" i="26"/>
  <c r="H114" i="26"/>
  <c r="H113" i="26"/>
  <c r="K110" i="26"/>
  <c r="L110" i="26" s="1"/>
  <c r="G115" i="26"/>
  <c r="E86" i="25"/>
  <c r="E73" i="25"/>
  <c r="H111" i="26"/>
  <c r="I111" i="26" s="1"/>
  <c r="G117" i="26"/>
  <c r="G112" i="26"/>
  <c r="E34" i="27"/>
  <c r="P265" i="27"/>
  <c r="C48" i="27"/>
  <c r="C5" i="27" s="1"/>
  <c r="D43" i="25" s="1"/>
  <c r="D49" i="27"/>
  <c r="E49" i="27" s="1"/>
  <c r="F49" i="27" s="1"/>
  <c r="G49" i="27" s="1"/>
  <c r="H49" i="27" s="1"/>
  <c r="I49" i="27" s="1"/>
  <c r="J49" i="27" s="1"/>
  <c r="I263" i="15"/>
  <c r="G263" i="15"/>
  <c r="D39" i="27"/>
  <c r="D11" i="27" s="1"/>
  <c r="D35" i="25"/>
  <c r="D39" i="25"/>
  <c r="D34" i="25"/>
  <c r="D38" i="25"/>
  <c r="D33" i="25"/>
  <c r="D37" i="25"/>
  <c r="D32" i="25"/>
  <c r="D36" i="25"/>
  <c r="D31" i="25"/>
  <c r="H67" i="25"/>
  <c r="F73" i="25"/>
  <c r="F74" i="25"/>
  <c r="F86" i="25"/>
  <c r="K91" i="25"/>
  <c r="J145" i="29"/>
  <c r="J141" i="29"/>
  <c r="J137" i="29"/>
  <c r="J124" i="29"/>
  <c r="J123" i="29"/>
  <c r="J120" i="29"/>
  <c r="J115" i="29"/>
  <c r="J147" i="29"/>
  <c r="J140" i="29"/>
  <c r="J143" i="29"/>
  <c r="J132" i="29"/>
  <c r="J127" i="29"/>
  <c r="J119" i="29"/>
  <c r="J117" i="29"/>
  <c r="J146" i="29"/>
  <c r="J139" i="29"/>
  <c r="J134" i="29"/>
  <c r="J126" i="29"/>
  <c r="J129" i="29"/>
  <c r="J116" i="29"/>
  <c r="J138" i="29"/>
  <c r="J142" i="29"/>
  <c r="J133" i="29"/>
  <c r="J125" i="29"/>
  <c r="J128" i="29"/>
  <c r="J118" i="29"/>
  <c r="K38" i="26"/>
  <c r="K39" i="26"/>
  <c r="K35" i="26"/>
  <c r="K34" i="26"/>
  <c r="E36" i="27"/>
  <c r="E12" i="27" s="1"/>
  <c r="K37" i="26"/>
  <c r="L34" i="26"/>
  <c r="L36" i="26"/>
  <c r="L39" i="26"/>
  <c r="L37" i="26"/>
  <c r="L38" i="26"/>
  <c r="H74" i="25"/>
  <c r="M21" i="27"/>
  <c r="M24" i="27"/>
  <c r="M45" i="27" s="1"/>
  <c r="M8" i="27" s="1"/>
  <c r="K36" i="26"/>
  <c r="D94" i="27"/>
  <c r="L35" i="26"/>
  <c r="G129" i="26"/>
  <c r="F67" i="25"/>
  <c r="F85" i="25"/>
  <c r="D127" i="26"/>
  <c r="F87" i="25"/>
  <c r="F79" i="25"/>
  <c r="K85" i="25"/>
  <c r="L29" i="27"/>
  <c r="M29" i="27" s="1"/>
  <c r="L45" i="27"/>
  <c r="L8" i="27" s="1"/>
  <c r="L51" i="27"/>
  <c r="L9" i="27" s="1"/>
  <c r="E127" i="26"/>
  <c r="D86" i="25"/>
  <c r="D85" i="25"/>
  <c r="D87" i="25"/>
  <c r="D79" i="25"/>
  <c r="I87" i="25"/>
  <c r="I85" i="25"/>
  <c r="I86" i="25"/>
  <c r="I79" i="25"/>
  <c r="I67" i="25"/>
  <c r="I74" i="25"/>
  <c r="I73" i="25"/>
  <c r="M66" i="26"/>
  <c r="M74" i="26"/>
  <c r="M73" i="26"/>
  <c r="D72" i="25"/>
  <c r="D67" i="25"/>
  <c r="D70" i="25"/>
  <c r="D74" i="25"/>
  <c r="D69" i="25"/>
  <c r="D73" i="25"/>
  <c r="D71" i="25"/>
  <c r="D68" i="25"/>
  <c r="Q39" i="72" l="1"/>
  <c r="D76" i="25"/>
  <c r="E76" i="25"/>
  <c r="V123" i="72"/>
  <c r="AO308" i="15" s="1"/>
  <c r="D88" i="25"/>
  <c r="P4" i="72"/>
  <c r="Q7" i="72" s="1"/>
  <c r="T7" i="72" s="1"/>
  <c r="U7" i="72" s="1"/>
  <c r="W124" i="72"/>
  <c r="AP309" i="15" s="1"/>
  <c r="U32" i="72"/>
  <c r="T32" i="72"/>
  <c r="X124" i="72"/>
  <c r="AQ309" i="15" s="1"/>
  <c r="U39" i="72"/>
  <c r="T39" i="72"/>
  <c r="D46" i="25"/>
  <c r="G89" i="26"/>
  <c r="G8" i="25" s="1"/>
  <c r="AF53" i="72"/>
  <c r="E88" i="25"/>
  <c r="V124" i="72"/>
  <c r="AO309" i="15" s="1"/>
  <c r="U45" i="72"/>
  <c r="T45" i="72"/>
  <c r="I88" i="25"/>
  <c r="H88" i="25"/>
  <c r="F88" i="25"/>
  <c r="K88" i="25"/>
  <c r="K76" i="25"/>
  <c r="F76" i="25"/>
  <c r="I76" i="25"/>
  <c r="H76" i="25"/>
  <c r="R119" i="72"/>
  <c r="J119" i="72"/>
  <c r="R121" i="72"/>
  <c r="J121" i="72"/>
  <c r="Z90" i="72"/>
  <c r="Z75" i="72"/>
  <c r="AE75" i="72"/>
  <c r="Z65" i="72"/>
  <c r="AS143" i="15" s="1"/>
  <c r="AX143" i="15" s="1"/>
  <c r="Z57" i="72"/>
  <c r="AS136" i="15" s="1"/>
  <c r="AX136" i="15" s="1"/>
  <c r="AE65" i="72"/>
  <c r="AE57" i="72"/>
  <c r="AE90" i="72"/>
  <c r="W75" i="72"/>
  <c r="AB90" i="72"/>
  <c r="AB75" i="72"/>
  <c r="W65" i="72"/>
  <c r="AP143" i="15" s="1"/>
  <c r="AU143" i="15" s="1"/>
  <c r="AB65" i="72"/>
  <c r="W90" i="72"/>
  <c r="W57" i="72"/>
  <c r="AP136" i="15" s="1"/>
  <c r="AU136" i="15" s="1"/>
  <c r="AB57" i="72"/>
  <c r="V90" i="72"/>
  <c r="AA90" i="72"/>
  <c r="V75" i="72"/>
  <c r="AA75" i="72"/>
  <c r="V65" i="72"/>
  <c r="AO143" i="15" s="1"/>
  <c r="AT143" i="15" s="1"/>
  <c r="AA65" i="72"/>
  <c r="V57" i="72"/>
  <c r="AO136" i="15" s="1"/>
  <c r="AT136" i="15" s="1"/>
  <c r="AA57" i="72"/>
  <c r="X65" i="72"/>
  <c r="AQ143" i="15" s="1"/>
  <c r="AV143" i="15" s="1"/>
  <c r="X57" i="72"/>
  <c r="AQ136" i="15" s="1"/>
  <c r="AV136" i="15" s="1"/>
  <c r="AC65" i="72"/>
  <c r="AC57" i="72"/>
  <c r="AC90" i="72"/>
  <c r="X90" i="72"/>
  <c r="X75" i="72"/>
  <c r="AC75" i="72"/>
  <c r="Y90" i="72"/>
  <c r="Y57" i="72"/>
  <c r="AR136" i="15" s="1"/>
  <c r="AW136" i="15" s="1"/>
  <c r="AD57" i="72"/>
  <c r="Y75" i="72"/>
  <c r="AD90" i="72"/>
  <c r="AD75" i="72"/>
  <c r="Y65" i="72"/>
  <c r="AR143" i="15" s="1"/>
  <c r="AW143" i="15" s="1"/>
  <c r="AD65" i="72"/>
  <c r="Z123" i="72"/>
  <c r="AS308" i="15" s="1"/>
  <c r="X123" i="72"/>
  <c r="AQ308" i="15" s="1"/>
  <c r="W123" i="72"/>
  <c r="AP308" i="15" s="1"/>
  <c r="Y123" i="72"/>
  <c r="AR308" i="15" s="1"/>
  <c r="G79" i="25"/>
  <c r="G81" i="25"/>
  <c r="G80" i="25"/>
  <c r="G82" i="25"/>
  <c r="G83" i="25"/>
  <c r="G84" i="25"/>
  <c r="J75" i="25"/>
  <c r="J68" i="25"/>
  <c r="J69" i="25"/>
  <c r="J70" i="25"/>
  <c r="J71" i="25"/>
  <c r="J72" i="25"/>
  <c r="J87" i="25"/>
  <c r="J82" i="25"/>
  <c r="J81" i="25"/>
  <c r="J83" i="25"/>
  <c r="J80" i="25"/>
  <c r="J84" i="25"/>
  <c r="G69" i="25"/>
  <c r="G70" i="25"/>
  <c r="G71" i="25"/>
  <c r="G68" i="25"/>
  <c r="G72" i="25"/>
  <c r="F8" i="25"/>
  <c r="F10" i="25"/>
  <c r="F6" i="25"/>
  <c r="F7" i="25"/>
  <c r="F9" i="25"/>
  <c r="J91" i="25"/>
  <c r="G67" i="25"/>
  <c r="G75" i="25"/>
  <c r="J92" i="25"/>
  <c r="J99" i="25"/>
  <c r="E14" i="25"/>
  <c r="D48" i="25"/>
  <c r="F67" i="27"/>
  <c r="E71" i="27"/>
  <c r="E72" i="27" s="1"/>
  <c r="D49" i="25"/>
  <c r="J93" i="25"/>
  <c r="J97" i="25"/>
  <c r="J96" i="25"/>
  <c r="J98" i="25"/>
  <c r="J95" i="25"/>
  <c r="G87" i="25"/>
  <c r="G86" i="25"/>
  <c r="F100" i="25"/>
  <c r="J73" i="25"/>
  <c r="L43" i="26"/>
  <c r="J86" i="25"/>
  <c r="J85" i="25"/>
  <c r="J79" i="25"/>
  <c r="J67" i="25"/>
  <c r="J74" i="25"/>
  <c r="I100" i="25"/>
  <c r="L136" i="26"/>
  <c r="L138" i="26"/>
  <c r="L94" i="25" s="1"/>
  <c r="L137" i="26"/>
  <c r="G93" i="25"/>
  <c r="G95" i="25"/>
  <c r="G96" i="25"/>
  <c r="G94" i="25"/>
  <c r="G98" i="25"/>
  <c r="G91" i="25"/>
  <c r="G92" i="25"/>
  <c r="G97" i="25"/>
  <c r="G99" i="25"/>
  <c r="G74" i="25"/>
  <c r="G73" i="25"/>
  <c r="H100" i="25"/>
  <c r="H87" i="25"/>
  <c r="H75" i="25"/>
  <c r="H85" i="25"/>
  <c r="H86" i="25"/>
  <c r="E100" i="25"/>
  <c r="K75" i="25"/>
  <c r="D48" i="27"/>
  <c r="D5" i="27" s="1"/>
  <c r="E43" i="25" s="1"/>
  <c r="Q277" i="27"/>
  <c r="F58" i="27"/>
  <c r="D47" i="25"/>
  <c r="D45" i="25"/>
  <c r="H112" i="26"/>
  <c r="H117" i="26"/>
  <c r="H115" i="26"/>
  <c r="M110" i="26"/>
  <c r="I113" i="26"/>
  <c r="I114" i="26"/>
  <c r="H116" i="26"/>
  <c r="H118" i="26"/>
  <c r="K92" i="25"/>
  <c r="J111" i="26"/>
  <c r="D51" i="25"/>
  <c r="D50" i="25"/>
  <c r="D44" i="25"/>
  <c r="F34" i="27"/>
  <c r="F33" i="27" s="1"/>
  <c r="F6" i="27" s="1"/>
  <c r="Q265" i="27"/>
  <c r="E39" i="27"/>
  <c r="E11" i="27" s="1"/>
  <c r="E31" i="25"/>
  <c r="E33" i="25"/>
  <c r="E35" i="25"/>
  <c r="E37" i="25"/>
  <c r="E39" i="25"/>
  <c r="E32" i="25"/>
  <c r="E34" i="25"/>
  <c r="E36" i="25"/>
  <c r="E38" i="25"/>
  <c r="E48" i="27"/>
  <c r="E5" i="27" s="1"/>
  <c r="K94" i="25"/>
  <c r="K93" i="25"/>
  <c r="K95" i="25"/>
  <c r="K96" i="25"/>
  <c r="K97" i="25"/>
  <c r="K98" i="25"/>
  <c r="K99" i="25"/>
  <c r="K67" i="25"/>
  <c r="K86" i="25"/>
  <c r="K87" i="25"/>
  <c r="E94" i="27"/>
  <c r="K43" i="26"/>
  <c r="K73" i="25"/>
  <c r="K74" i="25"/>
  <c r="F36" i="27"/>
  <c r="F12" i="27" s="1"/>
  <c r="H129" i="26"/>
  <c r="K79" i="25"/>
  <c r="D40" i="25"/>
  <c r="D100" i="25"/>
  <c r="F127" i="26"/>
  <c r="N73" i="26"/>
  <c r="N66" i="26"/>
  <c r="N74" i="26"/>
  <c r="E47" i="25" l="1"/>
  <c r="E49" i="25"/>
  <c r="E50" i="25"/>
  <c r="E45" i="25"/>
  <c r="E51" i="25"/>
  <c r="G13" i="25"/>
  <c r="G9" i="25"/>
  <c r="G6" i="25"/>
  <c r="G7" i="25"/>
  <c r="AA54" i="72"/>
  <c r="AB54" i="72"/>
  <c r="G10" i="25"/>
  <c r="AE54" i="72"/>
  <c r="I67" i="27"/>
  <c r="L67" i="27" s="1"/>
  <c r="I7" i="27" s="1"/>
  <c r="H72" i="27"/>
  <c r="AC54" i="72"/>
  <c r="AD54" i="72"/>
  <c r="H89" i="26"/>
  <c r="H13" i="25" s="1"/>
  <c r="Q10" i="72"/>
  <c r="T10" i="72" s="1"/>
  <c r="J88" i="25"/>
  <c r="G88" i="25"/>
  <c r="G76" i="25"/>
  <c r="J76" i="25"/>
  <c r="L75" i="25"/>
  <c r="L68" i="25"/>
  <c r="L72" i="25"/>
  <c r="L71" i="25"/>
  <c r="L70" i="25"/>
  <c r="L69" i="25"/>
  <c r="L80" i="25"/>
  <c r="L84" i="25"/>
  <c r="L82" i="25"/>
  <c r="L81" i="25"/>
  <c r="L83" i="25"/>
  <c r="K111" i="26"/>
  <c r="F14" i="25"/>
  <c r="N110" i="26"/>
  <c r="G7" i="27"/>
  <c r="G42" i="27" s="1"/>
  <c r="J7" i="27"/>
  <c r="J42" i="27" s="1"/>
  <c r="C7" i="27"/>
  <c r="D63" i="25" s="1"/>
  <c r="D7" i="27"/>
  <c r="D42" i="27" s="1"/>
  <c r="K7" i="27"/>
  <c r="L62" i="25" s="1"/>
  <c r="H7" i="27"/>
  <c r="H42" i="27" s="1"/>
  <c r="E7" i="27"/>
  <c r="F55" i="25" s="1"/>
  <c r="F7" i="27"/>
  <c r="G61" i="25" s="1"/>
  <c r="E46" i="25"/>
  <c r="E44" i="25"/>
  <c r="E48" i="25"/>
  <c r="L97" i="25"/>
  <c r="J100" i="25"/>
  <c r="L95" i="25"/>
  <c r="L93" i="25"/>
  <c r="L91" i="25"/>
  <c r="L96" i="25"/>
  <c r="L98" i="25"/>
  <c r="L99" i="25"/>
  <c r="L92" i="25"/>
  <c r="N137" i="26"/>
  <c r="N138" i="26"/>
  <c r="N136" i="26"/>
  <c r="M136" i="26"/>
  <c r="M137" i="26"/>
  <c r="M138" i="26"/>
  <c r="M94" i="25" s="1"/>
  <c r="G100" i="25"/>
  <c r="R277" i="27"/>
  <c r="G58" i="27"/>
  <c r="L111" i="26"/>
  <c r="I118" i="26"/>
  <c r="I116" i="26"/>
  <c r="J114" i="26"/>
  <c r="J113" i="26"/>
  <c r="I115" i="26"/>
  <c r="I117" i="26"/>
  <c r="I112" i="26"/>
  <c r="D52" i="25"/>
  <c r="G34" i="27"/>
  <c r="G33" i="27" s="1"/>
  <c r="G6" i="27" s="1"/>
  <c r="R265" i="27"/>
  <c r="E40" i="25"/>
  <c r="F43" i="25"/>
  <c r="F45" i="25"/>
  <c r="F47" i="25"/>
  <c r="F49" i="25"/>
  <c r="F51" i="25"/>
  <c r="F44" i="25"/>
  <c r="F46" i="25"/>
  <c r="F48" i="25"/>
  <c r="F50" i="25"/>
  <c r="F34" i="25"/>
  <c r="F38" i="25"/>
  <c r="F35" i="25"/>
  <c r="F33" i="25"/>
  <c r="F32" i="25"/>
  <c r="F36" i="25"/>
  <c r="F31" i="25"/>
  <c r="F39" i="25"/>
  <c r="F37" i="25"/>
  <c r="F48" i="27"/>
  <c r="F5" i="27" s="1"/>
  <c r="F39" i="27"/>
  <c r="F11" i="27" s="1"/>
  <c r="K100" i="25"/>
  <c r="G36" i="27"/>
  <c r="G12" i="27" s="1"/>
  <c r="J63" i="25"/>
  <c r="J61" i="25"/>
  <c r="J55" i="25"/>
  <c r="I42" i="27"/>
  <c r="J62" i="25"/>
  <c r="F94" i="27"/>
  <c r="I129" i="26"/>
  <c r="G127" i="26"/>
  <c r="L74" i="25"/>
  <c r="L67" i="25"/>
  <c r="L73" i="25"/>
  <c r="L86" i="25"/>
  <c r="L79" i="25"/>
  <c r="L85" i="25"/>
  <c r="L87" i="25"/>
  <c r="L7" i="27"/>
  <c r="H6" i="25" l="1"/>
  <c r="H8" i="25"/>
  <c r="G14" i="25"/>
  <c r="H10" i="25"/>
  <c r="H7" i="25"/>
  <c r="U10" i="72"/>
  <c r="U3" i="72" s="1"/>
  <c r="I72" i="27"/>
  <c r="I73" i="60" s="1"/>
  <c r="A69" i="27"/>
  <c r="T120" i="72" s="1"/>
  <c r="A71" i="27"/>
  <c r="T121" i="72" s="1"/>
  <c r="A70" i="27"/>
  <c r="T119" i="72" s="1"/>
  <c r="A68" i="27"/>
  <c r="T118" i="72" s="1"/>
  <c r="A67" i="27"/>
  <c r="T117" i="72" s="1"/>
  <c r="H9" i="25"/>
  <c r="L88" i="25"/>
  <c r="L76" i="25"/>
  <c r="N82" i="25"/>
  <c r="N84" i="25"/>
  <c r="N81" i="25"/>
  <c r="N83" i="25"/>
  <c r="N80" i="25"/>
  <c r="N70" i="25"/>
  <c r="N69" i="25"/>
  <c r="N68" i="25"/>
  <c r="N72" i="25"/>
  <c r="N71" i="25"/>
  <c r="M83" i="25"/>
  <c r="M82" i="25"/>
  <c r="M80" i="25"/>
  <c r="M84" i="25"/>
  <c r="M81" i="25"/>
  <c r="M75" i="25"/>
  <c r="M69" i="25"/>
  <c r="M68" i="25"/>
  <c r="M72" i="25"/>
  <c r="M71" i="25"/>
  <c r="M70" i="25"/>
  <c r="H63" i="25"/>
  <c r="I89" i="26"/>
  <c r="H55" i="25"/>
  <c r="H62" i="25"/>
  <c r="H61" i="25"/>
  <c r="K42" i="27"/>
  <c r="K63" i="25"/>
  <c r="K61" i="25"/>
  <c r="K55" i="25"/>
  <c r="I61" i="25"/>
  <c r="F63" i="25"/>
  <c r="D62" i="25"/>
  <c r="F62" i="25"/>
  <c r="K62" i="25"/>
  <c r="D55" i="25"/>
  <c r="E42" i="27"/>
  <c r="D61" i="25"/>
  <c r="G63" i="25"/>
  <c r="E55" i="25"/>
  <c r="E61" i="25"/>
  <c r="F61" i="25"/>
  <c r="F42" i="27"/>
  <c r="E62" i="25"/>
  <c r="G62" i="25"/>
  <c r="E52" i="25"/>
  <c r="I62" i="25"/>
  <c r="I55" i="25"/>
  <c r="I63" i="25"/>
  <c r="L55" i="25"/>
  <c r="L63" i="25"/>
  <c r="L61" i="25"/>
  <c r="E63" i="25"/>
  <c r="G55" i="25"/>
  <c r="C42" i="27"/>
  <c r="M97" i="25"/>
  <c r="M99" i="25"/>
  <c r="M93" i="25"/>
  <c r="M96" i="25"/>
  <c r="M98" i="25"/>
  <c r="M91" i="25"/>
  <c r="M95" i="25"/>
  <c r="M92" i="25"/>
  <c r="S277" i="27"/>
  <c r="H58" i="27"/>
  <c r="J112" i="26"/>
  <c r="J89" i="26" s="1"/>
  <c r="J117" i="26"/>
  <c r="J115" i="26"/>
  <c r="K113" i="26"/>
  <c r="K114" i="26"/>
  <c r="J116" i="26"/>
  <c r="J118" i="26"/>
  <c r="M111" i="26"/>
  <c r="H34" i="27"/>
  <c r="S265" i="27"/>
  <c r="F40" i="25"/>
  <c r="G31" i="25"/>
  <c r="G35" i="25"/>
  <c r="G39" i="25"/>
  <c r="G38" i="25"/>
  <c r="G36" i="25"/>
  <c r="G33" i="25"/>
  <c r="G37" i="25"/>
  <c r="G34" i="25"/>
  <c r="G32" i="25"/>
  <c r="G48" i="27"/>
  <c r="G5" i="27" s="1"/>
  <c r="G39" i="27"/>
  <c r="G11" i="27" s="1"/>
  <c r="G44" i="25"/>
  <c r="G47" i="25"/>
  <c r="G50" i="25"/>
  <c r="G45" i="25"/>
  <c r="G48" i="25"/>
  <c r="G43" i="25"/>
  <c r="G51" i="25"/>
  <c r="G49" i="25"/>
  <c r="G46" i="25"/>
  <c r="F52" i="25"/>
  <c r="G94" i="27"/>
  <c r="H36" i="27"/>
  <c r="H12" i="27" s="1"/>
  <c r="N75" i="25"/>
  <c r="N92" i="25"/>
  <c r="M7" i="27"/>
  <c r="J129" i="26"/>
  <c r="N97" i="25"/>
  <c r="L100" i="25"/>
  <c r="M73" i="25"/>
  <c r="M74" i="25"/>
  <c r="M67" i="25"/>
  <c r="M87" i="25"/>
  <c r="M85" i="25"/>
  <c r="M86" i="25"/>
  <c r="M79" i="25"/>
  <c r="H127" i="26"/>
  <c r="M63" i="25"/>
  <c r="M55" i="25"/>
  <c r="L42" i="27"/>
  <c r="M61" i="25"/>
  <c r="M62" i="25"/>
  <c r="T122" i="72" l="1"/>
  <c r="H14" i="25"/>
  <c r="M88" i="25"/>
  <c r="D19" i="60"/>
  <c r="E19" i="60" s="1"/>
  <c r="AF22" i="72"/>
  <c r="N88" i="25"/>
  <c r="M76" i="25"/>
  <c r="N76" i="25"/>
  <c r="I13" i="25"/>
  <c r="I6" i="25"/>
  <c r="I7" i="25"/>
  <c r="I9" i="25"/>
  <c r="I8" i="25"/>
  <c r="J10" i="25"/>
  <c r="I10" i="25"/>
  <c r="J13" i="25"/>
  <c r="J7" i="25"/>
  <c r="J6" i="25"/>
  <c r="J8" i="25"/>
  <c r="J9" i="25"/>
  <c r="M100" i="25"/>
  <c r="T277" i="27"/>
  <c r="J58" i="27" s="1"/>
  <c r="I58" i="27"/>
  <c r="N111" i="26"/>
  <c r="K118" i="26"/>
  <c r="K116" i="26"/>
  <c r="L114" i="26"/>
  <c r="L113" i="26"/>
  <c r="K115" i="26"/>
  <c r="K117" i="26"/>
  <c r="K112" i="26"/>
  <c r="I34" i="27"/>
  <c r="T265" i="27"/>
  <c r="J34" i="27" s="1"/>
  <c r="G40" i="25"/>
  <c r="H39" i="27"/>
  <c r="H11" i="27" s="1"/>
  <c r="H44" i="25"/>
  <c r="H45" i="25"/>
  <c r="H49" i="25"/>
  <c r="H43" i="25"/>
  <c r="H47" i="25"/>
  <c r="H51" i="25"/>
  <c r="H50" i="25"/>
  <c r="H46" i="25"/>
  <c r="H48" i="25"/>
  <c r="G52" i="25"/>
  <c r="H32" i="25"/>
  <c r="H36" i="25"/>
  <c r="H33" i="25"/>
  <c r="H31" i="25"/>
  <c r="H39" i="25"/>
  <c r="H34" i="25"/>
  <c r="H38" i="25"/>
  <c r="H37" i="25"/>
  <c r="H35" i="25"/>
  <c r="H48" i="27"/>
  <c r="H5" i="27" s="1"/>
  <c r="C57" i="27"/>
  <c r="I36" i="27"/>
  <c r="I12" i="27" s="1"/>
  <c r="N91" i="25"/>
  <c r="N95" i="25"/>
  <c r="N93" i="25"/>
  <c r="N96" i="25"/>
  <c r="N94" i="25"/>
  <c r="N99" i="25"/>
  <c r="N98" i="25"/>
  <c r="H94" i="27"/>
  <c r="K129" i="26"/>
  <c r="N55" i="25"/>
  <c r="N62" i="25"/>
  <c r="N61" i="25"/>
  <c r="M42" i="27"/>
  <c r="N63" i="25"/>
  <c r="N67" i="25"/>
  <c r="N74" i="25"/>
  <c r="N73" i="25"/>
  <c r="N87" i="25"/>
  <c r="N85" i="25"/>
  <c r="N86" i="25"/>
  <c r="N79" i="25"/>
  <c r="I127" i="26"/>
  <c r="J14" i="25" l="1"/>
  <c r="I14" i="25"/>
  <c r="K89" i="26"/>
  <c r="L112" i="26"/>
  <c r="L117" i="26"/>
  <c r="L115" i="26"/>
  <c r="M113" i="26"/>
  <c r="M114" i="26"/>
  <c r="L116" i="26"/>
  <c r="L118" i="26"/>
  <c r="C4" i="27"/>
  <c r="H40" i="25"/>
  <c r="I48" i="27"/>
  <c r="I5" i="27" s="1"/>
  <c r="H52" i="25"/>
  <c r="I39" i="27"/>
  <c r="I11" i="27" s="1"/>
  <c r="I43" i="25"/>
  <c r="I47" i="25"/>
  <c r="I51" i="25"/>
  <c r="I46" i="25"/>
  <c r="I50" i="25"/>
  <c r="I45" i="25"/>
  <c r="I49" i="25"/>
  <c r="I44" i="25"/>
  <c r="I48" i="25"/>
  <c r="I33" i="25"/>
  <c r="I37" i="25"/>
  <c r="I32" i="25"/>
  <c r="I34" i="25"/>
  <c r="I31" i="25"/>
  <c r="I35" i="25"/>
  <c r="I39" i="25"/>
  <c r="I36" i="25"/>
  <c r="I38" i="25"/>
  <c r="D57" i="27"/>
  <c r="D4" i="27" s="1"/>
  <c r="K37" i="27"/>
  <c r="J36" i="27"/>
  <c r="J12" i="27" s="1"/>
  <c r="I94" i="27"/>
  <c r="L129" i="26"/>
  <c r="N100" i="25"/>
  <c r="J127" i="26"/>
  <c r="L89" i="26" l="1"/>
  <c r="L9" i="25" s="1"/>
  <c r="K13" i="25"/>
  <c r="K7" i="25"/>
  <c r="K6" i="25"/>
  <c r="K9" i="25"/>
  <c r="K8" i="25"/>
  <c r="K10" i="25"/>
  <c r="M118" i="26"/>
  <c r="M116" i="26"/>
  <c r="N114" i="26"/>
  <c r="N113" i="26"/>
  <c r="M115" i="26"/>
  <c r="M117" i="26"/>
  <c r="M112" i="26"/>
  <c r="I40" i="25"/>
  <c r="J39" i="27"/>
  <c r="J11" i="27" s="1"/>
  <c r="K40" i="27"/>
  <c r="J48" i="27"/>
  <c r="J5" i="27" s="1"/>
  <c r="K49" i="27"/>
  <c r="I52" i="25"/>
  <c r="J32" i="25"/>
  <c r="J36" i="25"/>
  <c r="J31" i="25"/>
  <c r="J39" i="25"/>
  <c r="J37" i="25"/>
  <c r="J34" i="25"/>
  <c r="J38" i="25"/>
  <c r="J35" i="25"/>
  <c r="J33" i="25"/>
  <c r="J47" i="25"/>
  <c r="J44" i="25"/>
  <c r="J43" i="25"/>
  <c r="J51" i="25"/>
  <c r="J49" i="25"/>
  <c r="J48" i="25"/>
  <c r="J45" i="25"/>
  <c r="J50" i="25"/>
  <c r="J46" i="25"/>
  <c r="E57" i="27"/>
  <c r="E4" i="27" s="1"/>
  <c r="J94" i="27"/>
  <c r="L37" i="27"/>
  <c r="K36" i="27"/>
  <c r="M129" i="26"/>
  <c r="K127" i="26"/>
  <c r="L6" i="25" l="1"/>
  <c r="L13" i="25"/>
  <c r="L7" i="25"/>
  <c r="L8" i="25"/>
  <c r="M89" i="26"/>
  <c r="M8" i="25" s="1"/>
  <c r="L10" i="25"/>
  <c r="K14" i="25"/>
  <c r="E5" i="25"/>
  <c r="E11" i="25"/>
  <c r="E12" i="25"/>
  <c r="D11" i="25"/>
  <c r="D12" i="25"/>
  <c r="D5" i="25"/>
  <c r="N112" i="26"/>
  <c r="N117" i="26"/>
  <c r="N115" i="26"/>
  <c r="N116" i="26"/>
  <c r="N118" i="26"/>
  <c r="K12" i="27"/>
  <c r="J40" i="25"/>
  <c r="J52" i="25"/>
  <c r="L49" i="27"/>
  <c r="K48" i="27"/>
  <c r="K5" i="27" s="1"/>
  <c r="L40" i="27"/>
  <c r="K39" i="27"/>
  <c r="K11" i="27" s="1"/>
  <c r="K43" i="25"/>
  <c r="K45" i="25"/>
  <c r="K47" i="25"/>
  <c r="K49" i="25"/>
  <c r="K51" i="25"/>
  <c r="K44" i="25"/>
  <c r="K46" i="25"/>
  <c r="K48" i="25"/>
  <c r="K50" i="25"/>
  <c r="K31" i="25"/>
  <c r="K35" i="25"/>
  <c r="K39" i="25"/>
  <c r="K38" i="25"/>
  <c r="K36" i="25"/>
  <c r="K33" i="25"/>
  <c r="K37" i="25"/>
  <c r="K34" i="25"/>
  <c r="K32" i="25"/>
  <c r="F57" i="27"/>
  <c r="F4" i="27" s="1"/>
  <c r="M37" i="27"/>
  <c r="M36" i="27" s="1"/>
  <c r="L36" i="27"/>
  <c r="N129" i="26"/>
  <c r="L127" i="26"/>
  <c r="M7" i="25" l="1"/>
  <c r="M6" i="25"/>
  <c r="L14" i="25"/>
  <c r="M10" i="25"/>
  <c r="M13" i="25"/>
  <c r="M9" i="25"/>
  <c r="N89" i="26"/>
  <c r="F5" i="25"/>
  <c r="F11" i="25"/>
  <c r="F12" i="25"/>
  <c r="M12" i="27"/>
  <c r="L12" i="27"/>
  <c r="K40" i="25"/>
  <c r="L32" i="25"/>
  <c r="L36" i="25"/>
  <c r="L33" i="25"/>
  <c r="L31" i="25"/>
  <c r="L39" i="25"/>
  <c r="L34" i="25"/>
  <c r="L38" i="25"/>
  <c r="L37" i="25"/>
  <c r="L35" i="25"/>
  <c r="L43" i="25"/>
  <c r="L45" i="25"/>
  <c r="L47" i="25"/>
  <c r="L49" i="25"/>
  <c r="L51" i="25"/>
  <c r="L44" i="25"/>
  <c r="L46" i="25"/>
  <c r="L48" i="25"/>
  <c r="L50" i="25"/>
  <c r="K52" i="25"/>
  <c r="M40" i="27"/>
  <c r="M39" i="27" s="1"/>
  <c r="M11" i="27" s="1"/>
  <c r="L39" i="27"/>
  <c r="L11" i="27" s="1"/>
  <c r="M49" i="27"/>
  <c r="M48" i="27" s="1"/>
  <c r="M5" i="27" s="1"/>
  <c r="L48" i="27"/>
  <c r="L5" i="27" s="1"/>
  <c r="G57" i="27"/>
  <c r="G4" i="27" s="1"/>
  <c r="M127" i="26"/>
  <c r="M14" i="25" l="1"/>
  <c r="N13" i="25"/>
  <c r="N7" i="25"/>
  <c r="N6" i="25"/>
  <c r="N8" i="25"/>
  <c r="N9" i="25"/>
  <c r="N10" i="25"/>
  <c r="G11" i="25"/>
  <c r="G12" i="25"/>
  <c r="G5" i="25"/>
  <c r="L40" i="25"/>
  <c r="M45" i="25"/>
  <c r="M49" i="25"/>
  <c r="M44" i="25"/>
  <c r="M48" i="25"/>
  <c r="M43" i="25"/>
  <c r="M47" i="25"/>
  <c r="M51" i="25"/>
  <c r="M46" i="25"/>
  <c r="M50" i="25"/>
  <c r="M33" i="25"/>
  <c r="M37" i="25"/>
  <c r="M32" i="25"/>
  <c r="M34" i="25"/>
  <c r="M31" i="25"/>
  <c r="M35" i="25"/>
  <c r="M39" i="25"/>
  <c r="M36" i="25"/>
  <c r="M38" i="25"/>
  <c r="L52" i="25"/>
  <c r="N43" i="25"/>
  <c r="N45" i="25"/>
  <c r="N47" i="25"/>
  <c r="N49" i="25"/>
  <c r="N51" i="25"/>
  <c r="N44" i="25"/>
  <c r="N46" i="25"/>
  <c r="N48" i="25"/>
  <c r="N50" i="25"/>
  <c r="N32" i="25"/>
  <c r="N36" i="25"/>
  <c r="N31" i="25"/>
  <c r="N39" i="25"/>
  <c r="N37" i="25"/>
  <c r="N34" i="25"/>
  <c r="N38" i="25"/>
  <c r="N35" i="25"/>
  <c r="N33" i="25"/>
  <c r="H57" i="27"/>
  <c r="H4" i="27" s="1"/>
  <c r="N127" i="26"/>
  <c r="N14" i="25" l="1"/>
  <c r="H5" i="25"/>
  <c r="H11" i="25"/>
  <c r="H12" i="25"/>
  <c r="M40" i="25"/>
  <c r="N52" i="25"/>
  <c r="M52" i="25"/>
  <c r="I57" i="27"/>
  <c r="I4" i="27" s="1"/>
  <c r="N40" i="25"/>
  <c r="I12" i="25" l="1"/>
  <c r="I11" i="25"/>
  <c r="I5" i="25"/>
  <c r="J57" i="27"/>
  <c r="J4" i="27" s="1"/>
  <c r="K58" i="27"/>
  <c r="J5" i="25" l="1"/>
  <c r="J12" i="25"/>
  <c r="J11" i="25"/>
  <c r="L58" i="27"/>
  <c r="K57" i="27"/>
  <c r="K4" i="27" s="1"/>
  <c r="K12" i="25" l="1"/>
  <c r="K11" i="25"/>
  <c r="K5" i="25"/>
  <c r="L57" i="27"/>
  <c r="L4" i="27" s="1"/>
  <c r="M58" i="27"/>
  <c r="M57" i="27" s="1"/>
  <c r="M4" i="27" s="1"/>
  <c r="L5" i="25" l="1"/>
  <c r="L12" i="25"/>
  <c r="L11" i="25"/>
  <c r="N5" i="25" l="1"/>
  <c r="N12" i="25"/>
  <c r="N11" i="25"/>
  <c r="M12" i="25"/>
  <c r="M11" i="25"/>
  <c r="M5" i="25"/>
  <c r="D33" i="27" l="1"/>
  <c r="D6" i="27" s="1"/>
  <c r="D86" i="27" l="1"/>
  <c r="D60" i="27"/>
  <c r="D14" i="27" s="1"/>
  <c r="E33" i="27"/>
  <c r="E6" i="27" s="1"/>
  <c r="D13" i="27" l="1"/>
  <c r="E86" i="27"/>
  <c r="E60" i="27"/>
  <c r="E14" i="27" s="1"/>
  <c r="E13" i="27" l="1"/>
  <c r="F86" i="27"/>
  <c r="F60" i="27"/>
  <c r="F14" i="27" s="1"/>
  <c r="G60" i="27" l="1"/>
  <c r="G14" i="27" s="1"/>
  <c r="G86" i="27"/>
  <c r="F13" i="27"/>
  <c r="H33" i="27"/>
  <c r="H6" i="27" s="1"/>
  <c r="H86" i="27" l="1"/>
  <c r="H60" i="27"/>
  <c r="H14" i="27" s="1"/>
  <c r="I33" i="27"/>
  <c r="I6" i="27" s="1"/>
  <c r="G13" i="27"/>
  <c r="I86" i="27" l="1"/>
  <c r="I60" i="27"/>
  <c r="I14" i="27" s="1"/>
  <c r="J33" i="27"/>
  <c r="J6" i="27" s="1"/>
  <c r="K34" i="27"/>
  <c r="H13" i="27"/>
  <c r="J60" i="27" l="1"/>
  <c r="J14" i="27" s="1"/>
  <c r="K33" i="27"/>
  <c r="K6" i="27" s="1"/>
  <c r="L34" i="27"/>
  <c r="I13" i="27"/>
  <c r="K60" i="27" l="1"/>
  <c r="K14" i="27" s="1"/>
  <c r="J13" i="27"/>
  <c r="M34" i="27"/>
  <c r="M33" i="27" s="1"/>
  <c r="M6" i="27" s="1"/>
  <c r="L33" i="27"/>
  <c r="L6" i="27" s="1"/>
  <c r="L60" i="27" l="1"/>
  <c r="L14" i="27" s="1"/>
  <c r="M60" i="27"/>
  <c r="M14" i="27" s="1"/>
  <c r="K13" i="27"/>
  <c r="L13" i="27" l="1"/>
  <c r="M13" i="27"/>
  <c r="C137" i="27" l="1"/>
  <c r="C80" i="27" s="1"/>
  <c r="C85" i="27" s="1"/>
  <c r="C162" i="27" l="1"/>
  <c r="C20" i="27" s="1"/>
  <c r="C29" i="27" l="1"/>
  <c r="C33" i="27"/>
  <c r="C86" i="27" l="1"/>
  <c r="C60" i="27"/>
  <c r="C14" i="27" s="1"/>
  <c r="C6" i="27"/>
  <c r="C13" i="27" l="1"/>
  <c r="D21" i="60" l="1"/>
  <c r="E21" i="60" s="1"/>
  <c r="D7" i="60" l="1"/>
  <c r="D48" i="60" s="1"/>
  <c r="D66" i="60" s="1"/>
  <c r="C21" i="60"/>
  <c r="L73" i="60"/>
  <c r="F21" i="60" l="1"/>
  <c r="F7" i="60" s="1"/>
  <c r="M21" i="60"/>
  <c r="M7" i="60" s="1"/>
  <c r="E7" i="60"/>
  <c r="I21" i="60"/>
  <c r="I7" i="60" s="1"/>
  <c r="G21" i="60"/>
  <c r="G7" i="60" s="1"/>
  <c r="K21" i="60"/>
  <c r="K7" i="60" s="1"/>
  <c r="H21" i="60"/>
  <c r="H7" i="60" s="1"/>
  <c r="J21" i="60"/>
  <c r="J7" i="60" s="1"/>
  <c r="L21" i="60"/>
  <c r="L7" i="60" s="1"/>
  <c r="C7" i="60"/>
  <c r="I60" i="25" l="1"/>
  <c r="I59" i="25"/>
  <c r="I58" i="25"/>
  <c r="I57" i="25"/>
  <c r="I56" i="25"/>
  <c r="D59" i="25"/>
  <c r="AD116" i="72" s="1"/>
  <c r="D58" i="25"/>
  <c r="AC116" i="72" s="1"/>
  <c r="D57" i="25"/>
  <c r="AB116" i="72" s="1"/>
  <c r="D60" i="25"/>
  <c r="AE116" i="72" s="1"/>
  <c r="D56" i="25"/>
  <c r="AA116" i="72" s="1"/>
  <c r="L60" i="25"/>
  <c r="L59" i="25"/>
  <c r="L58" i="25"/>
  <c r="L57" i="25"/>
  <c r="L56" i="25"/>
  <c r="H60" i="25"/>
  <c r="H59" i="25"/>
  <c r="H58" i="25"/>
  <c r="H57" i="25"/>
  <c r="H56" i="25"/>
  <c r="K59" i="25"/>
  <c r="K60" i="25"/>
  <c r="K56" i="25"/>
  <c r="K58" i="25"/>
  <c r="K57" i="25"/>
  <c r="J60" i="25"/>
  <c r="J59" i="25"/>
  <c r="J58" i="25"/>
  <c r="J57" i="25"/>
  <c r="J56" i="25"/>
  <c r="F58" i="25"/>
  <c r="F56" i="25"/>
  <c r="F57" i="25"/>
  <c r="F59" i="25"/>
  <c r="F60" i="25"/>
  <c r="N60" i="25"/>
  <c r="N59" i="25"/>
  <c r="N58" i="25"/>
  <c r="N57" i="25"/>
  <c r="N56" i="25"/>
  <c r="M60" i="25"/>
  <c r="M59" i="25"/>
  <c r="M58" i="25"/>
  <c r="M57" i="25"/>
  <c r="M56" i="25"/>
  <c r="G56" i="25"/>
  <c r="G57" i="25"/>
  <c r="G60" i="25"/>
  <c r="G59" i="25"/>
  <c r="G58" i="25"/>
  <c r="J48" i="60"/>
  <c r="J66" i="60" s="1"/>
  <c r="I48" i="60"/>
  <c r="I66" i="60" s="1"/>
  <c r="M48" i="60"/>
  <c r="M66" i="60" s="1"/>
  <c r="H48" i="60"/>
  <c r="H66" i="60" s="1"/>
  <c r="E48" i="60"/>
  <c r="E66" i="60" s="1"/>
  <c r="C48" i="60"/>
  <c r="C66" i="60" s="1"/>
  <c r="K48" i="60"/>
  <c r="K66" i="60" s="1"/>
  <c r="L48" i="60"/>
  <c r="L66" i="60" s="1"/>
  <c r="G48" i="60"/>
  <c r="G66" i="60" s="1"/>
  <c r="F48" i="60"/>
  <c r="F66" i="60" s="1"/>
  <c r="E60" i="25" l="1"/>
  <c r="E59" i="25"/>
  <c r="E58" i="25"/>
  <c r="E56" i="25"/>
  <c r="E57" i="25"/>
  <c r="H64" i="25"/>
  <c r="D64" i="25"/>
  <c r="I64" i="25"/>
  <c r="K64" i="25"/>
  <c r="M64" i="25"/>
  <c r="F64" i="25"/>
  <c r="G64" i="25"/>
  <c r="J64" i="25"/>
  <c r="L64" i="25"/>
  <c r="N64" i="25"/>
  <c r="E64" i="25" l="1"/>
  <c r="W116" i="72"/>
  <c r="Z116" i="72"/>
  <c r="X116" i="72"/>
  <c r="V116" i="72"/>
  <c r="Y116" i="72"/>
  <c r="V117" i="72" l="1"/>
  <c r="AA117" i="72" s="1"/>
  <c r="V118" i="72"/>
  <c r="V119" i="72"/>
  <c r="AO263" i="15" s="1"/>
  <c r="V120" i="72"/>
  <c r="V121" i="72"/>
  <c r="AO290" i="15" s="1"/>
  <c r="Y121" i="72"/>
  <c r="Y120" i="72"/>
  <c r="Y118" i="72"/>
  <c r="Y117" i="72"/>
  <c r="Y119" i="72"/>
  <c r="Z118" i="72"/>
  <c r="Z121" i="72"/>
  <c r="Z117" i="72"/>
  <c r="Z119" i="72"/>
  <c r="Z120" i="72"/>
  <c r="X120" i="72"/>
  <c r="X117" i="72"/>
  <c r="X121" i="72"/>
  <c r="X118" i="72"/>
  <c r="X119" i="72"/>
  <c r="W121" i="72"/>
  <c r="W120" i="72"/>
  <c r="W117" i="72"/>
  <c r="W119" i="72"/>
  <c r="W118" i="72"/>
  <c r="AO250" i="15" l="1"/>
  <c r="AA118" i="72"/>
  <c r="AO282" i="15"/>
  <c r="AA120" i="72"/>
  <c r="AO246" i="15"/>
  <c r="AD120" i="72"/>
  <c r="AR282" i="15"/>
  <c r="AB117" i="72"/>
  <c r="AP246" i="15"/>
  <c r="AC118" i="72"/>
  <c r="AQ250" i="15"/>
  <c r="AE120" i="72"/>
  <c r="AS282" i="15"/>
  <c r="AE118" i="72"/>
  <c r="AS250" i="15"/>
  <c r="AA119" i="72"/>
  <c r="AB120" i="72"/>
  <c r="AP282" i="15"/>
  <c r="AC121" i="72"/>
  <c r="AQ290" i="15"/>
  <c r="AE119" i="72"/>
  <c r="AS263" i="15"/>
  <c r="AD119" i="72"/>
  <c r="AR263" i="15"/>
  <c r="AD121" i="72"/>
  <c r="AR290" i="15"/>
  <c r="AB118" i="72"/>
  <c r="AP250" i="15"/>
  <c r="AB121" i="72"/>
  <c r="AP290" i="15"/>
  <c r="AC117" i="72"/>
  <c r="AQ246" i="15"/>
  <c r="AE117" i="72"/>
  <c r="AS246" i="15"/>
  <c r="AD117" i="72"/>
  <c r="AR246" i="15"/>
  <c r="AA121" i="72"/>
  <c r="AB119" i="72"/>
  <c r="AP263" i="15"/>
  <c r="AC119" i="72"/>
  <c r="AQ263" i="15"/>
  <c r="AC120" i="72"/>
  <c r="AQ282" i="15"/>
  <c r="AE121" i="72"/>
  <c r="AS290" i="15"/>
  <c r="AD118" i="72"/>
  <c r="AR250" i="15"/>
  <c r="W115" i="72"/>
  <c r="V115" i="72"/>
  <c r="X115" i="72"/>
  <c r="Z115" i="72"/>
  <c r="Y115" i="72"/>
  <c r="AC115" i="72" l="1"/>
  <c r="AE115" i="72"/>
  <c r="AA115" i="72"/>
  <c r="AD115" i="72"/>
  <c r="AB115" i="72"/>
  <c r="U115" i="72" l="1"/>
  <c r="AF115" i="72" s="1"/>
  <c r="C20" i="60"/>
  <c r="C12" i="60" s="1"/>
  <c r="D139" i="26" s="1"/>
  <c r="D12" i="60"/>
  <c r="E139" i="26" s="1"/>
  <c r="E106" i="25" l="1"/>
  <c r="AC92" i="72" s="1"/>
  <c r="E105" i="25"/>
  <c r="AB92" i="72" s="1"/>
  <c r="E104" i="25"/>
  <c r="E107" i="25"/>
  <c r="AD92" i="72" s="1"/>
  <c r="E108" i="25"/>
  <c r="AE92" i="72" s="1"/>
  <c r="D108" i="25"/>
  <c r="D110" i="25"/>
  <c r="D107" i="25"/>
  <c r="D109" i="25"/>
  <c r="D103" i="25"/>
  <c r="D105" i="25"/>
  <c r="D106" i="25"/>
  <c r="D104" i="25"/>
  <c r="D111" i="25"/>
  <c r="E12" i="60"/>
  <c r="F139" i="26" s="1"/>
  <c r="F20" i="60"/>
  <c r="E109" i="25"/>
  <c r="E103" i="25"/>
  <c r="E111" i="25"/>
  <c r="E110" i="25"/>
  <c r="AA92" i="72" l="1"/>
  <c r="V112" i="72" s="1"/>
  <c r="E112" i="25"/>
  <c r="D112" i="25"/>
  <c r="Y95" i="72"/>
  <c r="Y103" i="72"/>
  <c r="Y112" i="72"/>
  <c r="W95" i="72"/>
  <c r="W103" i="72"/>
  <c r="W112" i="72"/>
  <c r="Z95" i="72"/>
  <c r="Z103" i="72"/>
  <c r="Z112" i="72"/>
  <c r="X95" i="72"/>
  <c r="X103" i="72"/>
  <c r="X112" i="72"/>
  <c r="AD95" i="72"/>
  <c r="AD112" i="72"/>
  <c r="AD103" i="72"/>
  <c r="AB112" i="72"/>
  <c r="AB103" i="72"/>
  <c r="AB95" i="72"/>
  <c r="AE103" i="72"/>
  <c r="AE95" i="72"/>
  <c r="AE112" i="72"/>
  <c r="AC112" i="72"/>
  <c r="AC103" i="72"/>
  <c r="AC95" i="72"/>
  <c r="F107" i="25"/>
  <c r="F105" i="25"/>
  <c r="F104" i="25"/>
  <c r="F106" i="25"/>
  <c r="F108" i="25"/>
  <c r="F12" i="60"/>
  <c r="G139" i="26" s="1"/>
  <c r="G20" i="60"/>
  <c r="F110" i="25"/>
  <c r="F103" i="25"/>
  <c r="F109" i="25"/>
  <c r="F111" i="25"/>
  <c r="V103" i="72" l="1"/>
  <c r="AA103" i="72"/>
  <c r="AF92" i="72"/>
  <c r="AA112" i="72"/>
  <c r="V95" i="72"/>
  <c r="AA95" i="72"/>
  <c r="F112" i="25"/>
  <c r="AE93" i="72"/>
  <c r="AB93" i="72"/>
  <c r="AD93" i="72"/>
  <c r="AC93" i="72"/>
  <c r="G106" i="25"/>
  <c r="G105" i="25"/>
  <c r="G107" i="25"/>
  <c r="G108" i="25"/>
  <c r="G104" i="25"/>
  <c r="G109" i="25"/>
  <c r="G110" i="25"/>
  <c r="G103" i="25"/>
  <c r="G111" i="25"/>
  <c r="G12" i="60"/>
  <c r="H139" i="26" s="1"/>
  <c r="H20" i="60"/>
  <c r="AA93" i="72" l="1"/>
  <c r="G112" i="25"/>
  <c r="H104" i="25"/>
  <c r="H105" i="25"/>
  <c r="H106" i="25"/>
  <c r="H108" i="25"/>
  <c r="H107" i="25"/>
  <c r="H110" i="25"/>
  <c r="H111" i="25"/>
  <c r="H103" i="25"/>
  <c r="H109" i="25"/>
  <c r="H12" i="60"/>
  <c r="I139" i="26" s="1"/>
  <c r="I20" i="60"/>
  <c r="C19" i="60"/>
  <c r="D6" i="60"/>
  <c r="H112" i="25" l="1"/>
  <c r="I104" i="25"/>
  <c r="I105" i="25"/>
  <c r="I108" i="25"/>
  <c r="I106" i="25"/>
  <c r="I107" i="25"/>
  <c r="I12" i="60"/>
  <c r="J139" i="26" s="1"/>
  <c r="J20" i="60"/>
  <c r="E6" i="60"/>
  <c r="F19" i="60"/>
  <c r="I109" i="25"/>
  <c r="I111" i="25"/>
  <c r="I110" i="25"/>
  <c r="I103" i="25"/>
  <c r="D13" i="60"/>
  <c r="C6" i="60"/>
  <c r="E90" i="26"/>
  <c r="I112" i="25" l="1"/>
  <c r="E20" i="25"/>
  <c r="AB3" i="72" s="1"/>
  <c r="E23" i="25"/>
  <c r="AE3" i="72" s="1"/>
  <c r="E19" i="25"/>
  <c r="AA3" i="72" s="1"/>
  <c r="E21" i="25"/>
  <c r="AC3" i="72" s="1"/>
  <c r="E22" i="25"/>
  <c r="AD3" i="72" s="1"/>
  <c r="J104" i="25"/>
  <c r="J105" i="25"/>
  <c r="J107" i="25"/>
  <c r="J106" i="25"/>
  <c r="J108" i="25"/>
  <c r="K20" i="60"/>
  <c r="J12" i="60"/>
  <c r="K139" i="26" s="1"/>
  <c r="E26" i="25"/>
  <c r="E18" i="25"/>
  <c r="E25" i="25"/>
  <c r="E24" i="25"/>
  <c r="J109" i="25"/>
  <c r="J110" i="25"/>
  <c r="J111" i="25"/>
  <c r="J103" i="25"/>
  <c r="F90" i="26"/>
  <c r="E13" i="60"/>
  <c r="C13" i="60"/>
  <c r="D90" i="26"/>
  <c r="F6" i="60"/>
  <c r="G19" i="60"/>
  <c r="J112" i="25" l="1"/>
  <c r="AF3" i="72"/>
  <c r="X45" i="72"/>
  <c r="AQ75" i="15" s="1"/>
  <c r="AV75" i="15" s="1"/>
  <c r="X10" i="72"/>
  <c r="AQ19" i="15" s="1"/>
  <c r="AV19" i="15" s="1"/>
  <c r="X7" i="72"/>
  <c r="AQ10" i="15" s="1"/>
  <c r="AV10" i="15" s="1"/>
  <c r="AC32" i="72"/>
  <c r="AC25" i="72"/>
  <c r="X39" i="72"/>
  <c r="AQ84" i="15" s="1"/>
  <c r="AV84" i="15" s="1"/>
  <c r="AC7" i="72"/>
  <c r="X32" i="72"/>
  <c r="AQ66" i="15" s="1"/>
  <c r="AV66" i="15" s="1"/>
  <c r="AC45" i="72"/>
  <c r="AC10" i="72"/>
  <c r="X25" i="72"/>
  <c r="AQ59" i="15" s="1"/>
  <c r="AV59" i="15" s="1"/>
  <c r="AC39" i="72"/>
  <c r="AA7" i="72"/>
  <c r="V32" i="72"/>
  <c r="AO66" i="15" s="1"/>
  <c r="AT66" i="15" s="1"/>
  <c r="AA45" i="72"/>
  <c r="AA10" i="72"/>
  <c r="V25" i="72"/>
  <c r="AO59" i="15" s="1"/>
  <c r="AT59" i="15" s="1"/>
  <c r="AA39" i="72"/>
  <c r="V45" i="72"/>
  <c r="AO75" i="15" s="1"/>
  <c r="AT75" i="15" s="1"/>
  <c r="V10" i="72"/>
  <c r="AO19" i="15" s="1"/>
  <c r="AT19" i="15" s="1"/>
  <c r="AA32" i="72"/>
  <c r="V39" i="72"/>
  <c r="AO84" i="15" s="1"/>
  <c r="AT84" i="15" s="1"/>
  <c r="V7" i="72"/>
  <c r="AO10" i="15" s="1"/>
  <c r="AT10" i="15" s="1"/>
  <c r="AA25" i="72"/>
  <c r="AE7" i="72"/>
  <c r="Z32" i="72"/>
  <c r="AS66" i="15" s="1"/>
  <c r="AX66" i="15" s="1"/>
  <c r="AE45" i="72"/>
  <c r="AE10" i="72"/>
  <c r="Z25" i="72"/>
  <c r="AS59" i="15" s="1"/>
  <c r="AX59" i="15" s="1"/>
  <c r="AE39" i="72"/>
  <c r="Z45" i="72"/>
  <c r="AS75" i="15" s="1"/>
  <c r="AX75" i="15" s="1"/>
  <c r="Z10" i="72"/>
  <c r="AS19" i="15" s="1"/>
  <c r="AX19" i="15" s="1"/>
  <c r="Z7" i="72"/>
  <c r="AS10" i="15" s="1"/>
  <c r="AX10" i="15" s="1"/>
  <c r="AE32" i="72"/>
  <c r="AE25" i="72"/>
  <c r="Z39" i="72"/>
  <c r="AS84" i="15" s="1"/>
  <c r="AX84" i="15" s="1"/>
  <c r="AD10" i="72"/>
  <c r="Y39" i="72"/>
  <c r="AR84" i="15" s="1"/>
  <c r="AW84" i="15" s="1"/>
  <c r="Y32" i="72"/>
  <c r="AR66" i="15" s="1"/>
  <c r="AW66" i="15" s="1"/>
  <c r="Y7" i="72"/>
  <c r="AR10" i="15" s="1"/>
  <c r="AW10" i="15" s="1"/>
  <c r="AD45" i="72"/>
  <c r="AD25" i="72"/>
  <c r="Y25" i="72"/>
  <c r="AR59" i="15" s="1"/>
  <c r="AW59" i="15" s="1"/>
  <c r="AD39" i="72"/>
  <c r="AD7" i="72"/>
  <c r="Y45" i="72"/>
  <c r="AR75" i="15" s="1"/>
  <c r="AW75" i="15" s="1"/>
  <c r="Y10" i="72"/>
  <c r="AR19" i="15" s="1"/>
  <c r="AW19" i="15" s="1"/>
  <c r="AD32" i="72"/>
  <c r="W25" i="72"/>
  <c r="AP59" i="15" s="1"/>
  <c r="AU59" i="15" s="1"/>
  <c r="AB39" i="72"/>
  <c r="AB7" i="72"/>
  <c r="W45" i="72"/>
  <c r="AP75" i="15" s="1"/>
  <c r="AU75" i="15" s="1"/>
  <c r="W10" i="72"/>
  <c r="AP19" i="15" s="1"/>
  <c r="AU19" i="15" s="1"/>
  <c r="AB32" i="72"/>
  <c r="AB10" i="72"/>
  <c r="W39" i="72"/>
  <c r="AP84" i="15" s="1"/>
  <c r="AU84" i="15" s="1"/>
  <c r="W32" i="72"/>
  <c r="AP66" i="15" s="1"/>
  <c r="AU66" i="15" s="1"/>
  <c r="W7" i="72"/>
  <c r="AP10" i="15" s="1"/>
  <c r="AU10" i="15" s="1"/>
  <c r="AB45" i="72"/>
  <c r="AB25" i="72"/>
  <c r="K106" i="25"/>
  <c r="K105" i="25"/>
  <c r="K104" i="25"/>
  <c r="K108" i="25"/>
  <c r="K107" i="25"/>
  <c r="E27" i="25"/>
  <c r="F23" i="25"/>
  <c r="F20" i="25"/>
  <c r="F19" i="25"/>
  <c r="F21" i="25"/>
  <c r="F22" i="25"/>
  <c r="G6" i="60"/>
  <c r="H19" i="60"/>
  <c r="F13" i="60"/>
  <c r="G90" i="26"/>
  <c r="K110" i="25"/>
  <c r="K111" i="25"/>
  <c r="K109" i="25"/>
  <c r="K103" i="25"/>
  <c r="D23" i="25"/>
  <c r="D25" i="25"/>
  <c r="D19" i="25"/>
  <c r="D26" i="25"/>
  <c r="D21" i="25"/>
  <c r="D22" i="25"/>
  <c r="D24" i="25"/>
  <c r="D20" i="25"/>
  <c r="D18" i="25"/>
  <c r="F18" i="25"/>
  <c r="F25" i="25"/>
  <c r="F26" i="25"/>
  <c r="F24" i="25"/>
  <c r="K12" i="60"/>
  <c r="L139" i="26" s="1"/>
  <c r="L20" i="60"/>
  <c r="T10" i="15" l="1"/>
  <c r="U10" i="15" s="1"/>
  <c r="V10" i="15" s="1"/>
  <c r="W10" i="15" s="1"/>
  <c r="X10" i="15" s="1"/>
  <c r="Y10" i="15" s="1"/>
  <c r="Z10" i="15" s="1"/>
  <c r="AA10" i="15" s="1"/>
  <c r="K112" i="25"/>
  <c r="AC4" i="72"/>
  <c r="AB4" i="72"/>
  <c r="AD4" i="72"/>
  <c r="AE4" i="72"/>
  <c r="AA4" i="72"/>
  <c r="D27" i="25"/>
  <c r="L105" i="25"/>
  <c r="L108" i="25"/>
  <c r="L106" i="25"/>
  <c r="L104" i="25"/>
  <c r="L107" i="25"/>
  <c r="G19" i="25"/>
  <c r="G23" i="25"/>
  <c r="G20" i="25"/>
  <c r="G21" i="25"/>
  <c r="G22" i="25"/>
  <c r="F27" i="25"/>
  <c r="H6" i="60"/>
  <c r="I19" i="60"/>
  <c r="G13" i="60"/>
  <c r="H90" i="26"/>
  <c r="L110" i="25"/>
  <c r="L109" i="25"/>
  <c r="L111" i="25"/>
  <c r="L103" i="25"/>
  <c r="G24" i="25"/>
  <c r="G26" i="25"/>
  <c r="G25" i="25"/>
  <c r="G18" i="25"/>
  <c r="M20" i="60"/>
  <c r="M12" i="60" s="1"/>
  <c r="N139" i="26" s="1"/>
  <c r="L12" i="60"/>
  <c r="M139" i="26" s="1"/>
  <c r="L112" i="25" l="1"/>
  <c r="G27" i="25"/>
  <c r="M104" i="25"/>
  <c r="M106" i="25"/>
  <c r="M105" i="25"/>
  <c r="M108" i="25"/>
  <c r="M107" i="25"/>
  <c r="N104" i="25"/>
  <c r="N105" i="25"/>
  <c r="N107" i="25"/>
  <c r="N106" i="25"/>
  <c r="N108" i="25"/>
  <c r="H20" i="25"/>
  <c r="H21" i="25"/>
  <c r="H23" i="25"/>
  <c r="H19" i="25"/>
  <c r="H22" i="25"/>
  <c r="J19" i="60"/>
  <c r="I6" i="60"/>
  <c r="H25" i="25"/>
  <c r="H24" i="25"/>
  <c r="H26" i="25"/>
  <c r="H18" i="25"/>
  <c r="M109" i="25"/>
  <c r="M103" i="25"/>
  <c r="M110" i="25"/>
  <c r="M111" i="25"/>
  <c r="N109" i="25"/>
  <c r="N103" i="25"/>
  <c r="N111" i="25"/>
  <c r="N110" i="25"/>
  <c r="H13" i="60"/>
  <c r="I90" i="26"/>
  <c r="M112" i="25" l="1"/>
  <c r="N112" i="25"/>
  <c r="H27" i="25"/>
  <c r="I19" i="25"/>
  <c r="I22" i="25"/>
  <c r="I20" i="25"/>
  <c r="I21" i="25"/>
  <c r="I23" i="25"/>
  <c r="J6" i="60"/>
  <c r="K19" i="60"/>
  <c r="I25" i="25"/>
  <c r="I18" i="25"/>
  <c r="I26" i="25"/>
  <c r="I24" i="25"/>
  <c r="J90" i="26"/>
  <c r="I13" i="60"/>
  <c r="J23" i="25" l="1"/>
  <c r="J19" i="25"/>
  <c r="J20" i="25"/>
  <c r="J21" i="25"/>
  <c r="J22" i="25"/>
  <c r="I27" i="25"/>
  <c r="K6" i="60"/>
  <c r="L19" i="60"/>
  <c r="J26" i="25"/>
  <c r="J25" i="25"/>
  <c r="J18" i="25"/>
  <c r="J24" i="25"/>
  <c r="J13" i="60"/>
  <c r="K90" i="26"/>
  <c r="J27" i="25" l="1"/>
  <c r="K23" i="25"/>
  <c r="K20" i="25"/>
  <c r="K19" i="25"/>
  <c r="K21" i="25"/>
  <c r="K22" i="25"/>
  <c r="K24" i="25"/>
  <c r="K25" i="25"/>
  <c r="K26" i="25"/>
  <c r="K18" i="25"/>
  <c r="L6" i="60"/>
  <c r="M19" i="60"/>
  <c r="M6" i="60" s="1"/>
  <c r="K13" i="60"/>
  <c r="L90" i="26"/>
  <c r="L20" i="25" l="1"/>
  <c r="L23" i="25"/>
  <c r="L19" i="25"/>
  <c r="L21" i="25"/>
  <c r="L22" i="25"/>
  <c r="K27" i="25"/>
  <c r="L24" i="25"/>
  <c r="L26" i="25"/>
  <c r="L18" i="25"/>
  <c r="L25" i="25"/>
  <c r="N90" i="26"/>
  <c r="M13" i="60"/>
  <c r="M90" i="26"/>
  <c r="L13" i="60"/>
  <c r="N23" i="25" l="1"/>
  <c r="N20" i="25"/>
  <c r="N19" i="25"/>
  <c r="N21" i="25"/>
  <c r="N22" i="25"/>
  <c r="L27" i="25"/>
  <c r="M19" i="25"/>
  <c r="M21" i="25"/>
  <c r="M20" i="25"/>
  <c r="M22" i="25"/>
  <c r="M23" i="25"/>
  <c r="M25" i="25"/>
  <c r="M18" i="25"/>
  <c r="M24" i="25"/>
  <c r="M26" i="25"/>
  <c r="N26" i="25"/>
  <c r="N24" i="25"/>
  <c r="N18" i="25"/>
  <c r="N25" i="25"/>
  <c r="M27" i="25" l="1"/>
  <c r="N27" i="2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Isik, Mine</author>
    <author>CLS</author>
  </authors>
  <commentList>
    <comment ref="C34" authorId="0" shapeId="0" xr:uid="{00000000-0006-0000-0600-000001000000}">
      <text>
        <r>
          <rPr>
            <b/>
            <sz val="9"/>
            <color indexed="81"/>
            <rFont val="Tahoma"/>
            <family val="2"/>
          </rPr>
          <t>Isik, Mine:</t>
        </r>
        <r>
          <rPr>
            <sz val="9"/>
            <color indexed="81"/>
            <rFont val="Tahoma"/>
            <family val="2"/>
          </rPr>
          <t xml:space="preserve">
This is the official value provided by NYC.gov</t>
        </r>
      </text>
    </comment>
    <comment ref="D34" authorId="0" shapeId="0" xr:uid="{00000000-0006-0000-0600-000002000000}">
      <text>
        <r>
          <rPr>
            <b/>
            <sz val="9"/>
            <color indexed="81"/>
            <rFont val="Tahoma"/>
            <family val="2"/>
          </rPr>
          <t>Isik, Mine:</t>
        </r>
        <r>
          <rPr>
            <sz val="9"/>
            <color indexed="81"/>
            <rFont val="Tahoma"/>
            <family val="2"/>
          </rPr>
          <t xml:space="preserve">
This is the official value provided by NYC.gov</t>
        </r>
      </text>
    </comment>
    <comment ref="F50" authorId="1" shapeId="0" xr:uid="{00000000-0006-0000-0600-000003000000}">
      <text>
        <r>
          <rPr>
            <b/>
            <sz val="8"/>
            <color indexed="81"/>
            <rFont val="Tahoma"/>
            <family val="2"/>
          </rPr>
          <t>AEO 2014 data</t>
        </r>
      </text>
    </comment>
    <comment ref="C61" authorId="0" shapeId="0" xr:uid="{00000000-0006-0000-0600-000004000000}">
      <text>
        <r>
          <rPr>
            <b/>
            <sz val="9"/>
            <color indexed="81"/>
            <rFont val="Tahoma"/>
            <family val="2"/>
          </rPr>
          <t>Isik, Mine:</t>
        </r>
        <r>
          <rPr>
            <sz val="9"/>
            <color indexed="81"/>
            <rFont val="Tahoma"/>
            <family val="2"/>
          </rPr>
          <t xml:space="preserve">
this values belong to US national avg.</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Isik, Mine</author>
    <author>Pat DeLaquil</author>
    <author>EPA</author>
    <author>ctsuser</author>
    <author>CLS</author>
  </authors>
  <commentList>
    <comment ref="C4" authorId="0" shapeId="0" xr:uid="{00000000-0006-0000-0700-000001000000}">
      <text>
        <r>
          <rPr>
            <b/>
            <sz val="9"/>
            <color indexed="81"/>
            <rFont val="Tahoma"/>
            <family val="2"/>
          </rPr>
          <t>Isik, Mine:</t>
        </r>
        <r>
          <rPr>
            <sz val="9"/>
            <color indexed="81"/>
            <rFont val="Tahoma"/>
            <family val="2"/>
          </rPr>
          <t xml:space="preserve">
Please see (1)</t>
        </r>
      </text>
    </comment>
    <comment ref="C6" authorId="0" shapeId="0" xr:uid="{00000000-0006-0000-0700-000002000000}">
      <text>
        <r>
          <rPr>
            <b/>
            <sz val="9"/>
            <color indexed="81"/>
            <rFont val="Tahoma"/>
            <family val="2"/>
          </rPr>
          <t>Isik, Mine:</t>
        </r>
        <r>
          <rPr>
            <sz val="9"/>
            <color indexed="81"/>
            <rFont val="Tahoma"/>
            <family val="2"/>
          </rPr>
          <t xml:space="preserve">
Please see (1)</t>
        </r>
      </text>
    </comment>
    <comment ref="C8" authorId="0" shapeId="0" xr:uid="{00000000-0006-0000-0700-000003000000}">
      <text>
        <r>
          <rPr>
            <b/>
            <sz val="9"/>
            <color indexed="81"/>
            <rFont val="Tahoma"/>
            <family val="2"/>
          </rPr>
          <t>Isik, Mine:</t>
        </r>
        <r>
          <rPr>
            <sz val="9"/>
            <color indexed="81"/>
            <rFont val="Tahoma"/>
            <family val="2"/>
          </rPr>
          <t xml:space="preserve">
Please see (1)</t>
        </r>
      </text>
    </comment>
    <comment ref="C9" authorId="0" shapeId="0" xr:uid="{00000000-0006-0000-0700-000004000000}">
      <text>
        <r>
          <rPr>
            <b/>
            <sz val="9"/>
            <color indexed="81"/>
            <rFont val="Tahoma"/>
            <family val="2"/>
          </rPr>
          <t>Isik, Mine:</t>
        </r>
        <r>
          <rPr>
            <sz val="9"/>
            <color indexed="81"/>
            <rFont val="Tahoma"/>
            <family val="2"/>
          </rPr>
          <t xml:space="preserve">
Please see (1)</t>
        </r>
      </text>
    </comment>
    <comment ref="C12" authorId="0" shapeId="0" xr:uid="{00000000-0006-0000-0700-000005000000}">
      <text>
        <r>
          <rPr>
            <b/>
            <sz val="9"/>
            <color indexed="81"/>
            <rFont val="Tahoma"/>
            <family val="2"/>
          </rPr>
          <t>Isik, Mine:</t>
        </r>
        <r>
          <rPr>
            <sz val="9"/>
            <color indexed="81"/>
            <rFont val="Tahoma"/>
            <family val="2"/>
          </rPr>
          <t xml:space="preserve">
Please see (1)</t>
        </r>
      </text>
    </comment>
    <comment ref="B29" authorId="1" shapeId="0" xr:uid="{00000000-0006-0000-0700-000006000000}">
      <text>
        <r>
          <rPr>
            <b/>
            <sz val="8"/>
            <color indexed="81"/>
            <rFont val="Tahoma"/>
            <family val="2"/>
          </rPr>
          <t>Pat DeLaquil:</t>
        </r>
        <r>
          <rPr>
            <sz val="8"/>
            <color indexed="81"/>
            <rFont val="Tahoma"/>
            <family val="2"/>
          </rPr>
          <t xml:space="preserve">
The lighting and misc electric final energy is split acording to the AEO shares</t>
        </r>
      </text>
    </comment>
    <comment ref="B30" authorId="0" shapeId="0" xr:uid="{00000000-0006-0000-0700-000007000000}">
      <text>
        <r>
          <rPr>
            <b/>
            <sz val="9"/>
            <color indexed="81"/>
            <rFont val="Tahoma"/>
            <family val="2"/>
          </rPr>
          <t>Isik, Mine:</t>
        </r>
        <r>
          <rPr>
            <sz val="9"/>
            <color indexed="81"/>
            <rFont val="Tahoma"/>
            <family val="2"/>
          </rPr>
          <t xml:space="preserve">
refrigeration and freezers are also added</t>
        </r>
      </text>
    </comment>
    <comment ref="B48" authorId="1" shapeId="0" xr:uid="{00000000-0006-0000-0700-000008000000}">
      <text>
        <r>
          <rPr>
            <b/>
            <sz val="8"/>
            <color indexed="81"/>
            <rFont val="Tahoma"/>
            <family val="2"/>
          </rPr>
          <t>Pat DeLaquil:</t>
        </r>
        <r>
          <rPr>
            <sz val="8"/>
            <color indexed="81"/>
            <rFont val="Tahoma"/>
            <family val="2"/>
          </rPr>
          <t xml:space="preserve">
The lighting and misc electric final energy is split acording to the AEO shares</t>
        </r>
      </text>
    </comment>
    <comment ref="C107" authorId="2" shapeId="0" xr:uid="{00000000-0006-0000-0700-000009000000}">
      <text>
        <r>
          <rPr>
            <b/>
            <sz val="10"/>
            <color indexed="81"/>
            <rFont val="Tahoma"/>
            <family val="2"/>
          </rPr>
          <t>EPA:</t>
        </r>
        <r>
          <rPr>
            <sz val="10"/>
            <color indexed="81"/>
            <rFont val="Tahoma"/>
            <family val="2"/>
          </rPr>
          <t xml:space="preserve">
AEO 2008 data starts here.</t>
        </r>
      </text>
    </comment>
    <comment ref="D107" authorId="3" shapeId="0" xr:uid="{00000000-0006-0000-0700-00000A000000}">
      <text>
        <r>
          <rPr>
            <b/>
            <sz val="8"/>
            <color indexed="81"/>
            <rFont val="Tahoma"/>
            <family val="2"/>
          </rPr>
          <t>ctsuser:</t>
        </r>
        <r>
          <rPr>
            <sz val="8"/>
            <color indexed="81"/>
            <rFont val="Tahoma"/>
            <family val="2"/>
          </rPr>
          <t xml:space="preserve">
Start of AEO2010 data</t>
        </r>
      </text>
    </comment>
    <comment ref="C153" authorId="4" shapeId="0" xr:uid="{00000000-0006-0000-0700-00000B000000}">
      <text>
        <r>
          <rPr>
            <b/>
            <sz val="8"/>
            <color indexed="81"/>
            <rFont val="Tahoma"/>
            <family val="2"/>
          </rPr>
          <t>AEO adjusted the DSL use in Space Heating as the years went out.</t>
        </r>
        <r>
          <rPr>
            <sz val="8"/>
            <color indexed="81"/>
            <rFont val="Tahoma"/>
            <family val="2"/>
          </rPr>
          <t xml:space="preserve">
</t>
        </r>
      </text>
    </comment>
    <comment ref="C159" authorId="4" shapeId="0" xr:uid="{00000000-0006-0000-0700-00000C000000}">
      <text>
        <r>
          <rPr>
            <sz val="9"/>
            <color indexed="81"/>
            <rFont val="Tahoma"/>
            <family val="2"/>
          </rPr>
          <t>AEO14 changed the way space heating and other uses were calculated … 2005 data adjusted to reflect.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Isik, Mine</author>
  </authors>
  <commentList>
    <comment ref="I55" authorId="0" shapeId="0" xr:uid="{9E09C2BD-0CD2-4706-9AC7-3C2D30738190}">
      <text>
        <r>
          <rPr>
            <b/>
            <sz val="9"/>
            <color rgb="FF000000"/>
            <rFont val="Tahoma"/>
            <family val="2"/>
          </rPr>
          <t>Isik, Mine:</t>
        </r>
        <r>
          <rPr>
            <sz val="9"/>
            <color rgb="FF000000"/>
            <rFont val="Tahoma"/>
            <family val="2"/>
          </rPr>
          <t xml:space="preserve">
</t>
        </r>
        <r>
          <rPr>
            <sz val="9"/>
            <color rgb="FF000000"/>
            <rFont val="Tahoma"/>
            <family val="2"/>
          </rPr>
          <t>Biofuel excluded</t>
        </r>
      </text>
    </comment>
    <comment ref="S55" authorId="0" shapeId="0" xr:uid="{6BE6DE74-C128-4735-A816-72B6F1F8BAF9}">
      <text>
        <r>
          <rPr>
            <b/>
            <sz val="9"/>
            <color rgb="FF000000"/>
            <rFont val="Tahoma"/>
            <family val="2"/>
          </rPr>
          <t>Isik, Mine:</t>
        </r>
        <r>
          <rPr>
            <sz val="9"/>
            <color rgb="FF000000"/>
            <rFont val="Tahoma"/>
            <family val="2"/>
          </rPr>
          <t xml:space="preserve">
</t>
        </r>
        <r>
          <rPr>
            <sz val="9"/>
            <color rgb="FF000000"/>
            <rFont val="Tahoma"/>
            <family val="2"/>
          </rPr>
          <t>Biofuel excluded</t>
        </r>
      </text>
    </comment>
    <comment ref="I62" authorId="0" shapeId="0" xr:uid="{CFA436E3-5AAF-45E4-8F3E-D1A6C4CAAD4F}">
      <text>
        <r>
          <rPr>
            <b/>
            <sz val="9"/>
            <color rgb="FF000000"/>
            <rFont val="Tahoma"/>
            <family val="2"/>
          </rPr>
          <t>Isik, Mine:</t>
        </r>
        <r>
          <rPr>
            <sz val="9"/>
            <color rgb="FF000000"/>
            <rFont val="Tahoma"/>
            <family val="2"/>
          </rPr>
          <t xml:space="preserve">
</t>
        </r>
        <r>
          <rPr>
            <sz val="9"/>
            <color rgb="FF000000"/>
            <rFont val="Tahoma"/>
            <family val="2"/>
          </rPr>
          <t>Biofuel excluded</t>
        </r>
      </text>
    </comment>
    <comment ref="S62" authorId="0" shapeId="0" xr:uid="{645AB7FE-7DE5-45A5-B87B-A68274CD97C7}">
      <text>
        <r>
          <rPr>
            <b/>
            <sz val="9"/>
            <color rgb="FF000000"/>
            <rFont val="Tahoma"/>
            <family val="2"/>
          </rPr>
          <t>Isik, Mine:</t>
        </r>
        <r>
          <rPr>
            <sz val="9"/>
            <color rgb="FF000000"/>
            <rFont val="Tahoma"/>
            <family val="2"/>
          </rPr>
          <t xml:space="preserve">
</t>
        </r>
        <r>
          <rPr>
            <sz val="9"/>
            <color rgb="FF000000"/>
            <rFont val="Tahoma"/>
            <family val="2"/>
          </rPr>
          <t>Biofuel excluded</t>
        </r>
      </text>
    </comment>
    <comment ref="I68" authorId="0" shapeId="0" xr:uid="{6AEB1C5C-5930-4402-A3D5-AA6D2BFAE84F}">
      <text>
        <r>
          <rPr>
            <b/>
            <sz val="9"/>
            <color rgb="FF000000"/>
            <rFont val="Tahoma"/>
            <family val="2"/>
          </rPr>
          <t>Isik, Mine:</t>
        </r>
        <r>
          <rPr>
            <sz val="9"/>
            <color rgb="FF000000"/>
            <rFont val="Tahoma"/>
            <family val="2"/>
          </rPr>
          <t xml:space="preserve">
</t>
        </r>
        <r>
          <rPr>
            <sz val="9"/>
            <color rgb="FF000000"/>
            <rFont val="Tahoma"/>
            <family val="2"/>
          </rPr>
          <t>Biofuel excluded</t>
        </r>
      </text>
    </comment>
    <comment ref="S68" authorId="0" shapeId="0" xr:uid="{E70F9C47-2FE5-4BFD-8206-673DDD012257}">
      <text>
        <r>
          <rPr>
            <b/>
            <sz val="9"/>
            <color rgb="FF000000"/>
            <rFont val="Tahoma"/>
            <family val="2"/>
          </rPr>
          <t>Isik, Mine:</t>
        </r>
        <r>
          <rPr>
            <sz val="9"/>
            <color rgb="FF000000"/>
            <rFont val="Tahoma"/>
            <family val="2"/>
          </rPr>
          <t xml:space="preserve">
</t>
        </r>
        <r>
          <rPr>
            <sz val="9"/>
            <color rgb="FF000000"/>
            <rFont val="Tahoma"/>
            <family val="2"/>
          </rPr>
          <t>Biofuel excluded</t>
        </r>
      </text>
    </comment>
    <comment ref="I73" authorId="0" shapeId="0" xr:uid="{E317D4FB-200C-4C4C-A416-FD42566927D9}">
      <text>
        <r>
          <rPr>
            <b/>
            <sz val="9"/>
            <color rgb="FF000000"/>
            <rFont val="Tahoma"/>
            <family val="2"/>
          </rPr>
          <t>Isik, Mine:</t>
        </r>
        <r>
          <rPr>
            <sz val="9"/>
            <color rgb="FF000000"/>
            <rFont val="Tahoma"/>
            <family val="2"/>
          </rPr>
          <t xml:space="preserve">
</t>
        </r>
        <r>
          <rPr>
            <sz val="9"/>
            <color rgb="FF000000"/>
            <rFont val="Tahoma"/>
            <family val="2"/>
          </rPr>
          <t>Biofuel excluded</t>
        </r>
      </text>
    </comment>
    <comment ref="S73" authorId="0" shapeId="0" xr:uid="{35A44FD9-F8E9-48BA-B537-18174F00CE54}">
      <text>
        <r>
          <rPr>
            <b/>
            <sz val="9"/>
            <color rgb="FF000000"/>
            <rFont val="Tahoma"/>
            <family val="2"/>
          </rPr>
          <t>Isik, Mine:</t>
        </r>
        <r>
          <rPr>
            <sz val="9"/>
            <color rgb="FF000000"/>
            <rFont val="Tahoma"/>
            <family val="2"/>
          </rPr>
          <t xml:space="preserve">
</t>
        </r>
        <r>
          <rPr>
            <sz val="9"/>
            <color rgb="FF000000"/>
            <rFont val="Tahoma"/>
            <family val="2"/>
          </rPr>
          <t>Biofuel excluded</t>
        </r>
      </text>
    </comment>
    <comment ref="E79" authorId="0" shapeId="0" xr:uid="{BD57FC96-50B6-4D15-A54F-00B54645A5EA}">
      <text>
        <r>
          <rPr>
            <b/>
            <sz val="9"/>
            <color rgb="FF000000"/>
            <rFont val="Tahoma"/>
            <family val="2"/>
          </rPr>
          <t>Isik, Mine:</t>
        </r>
        <r>
          <rPr>
            <sz val="9"/>
            <color rgb="FF000000"/>
            <rFont val="Tahoma"/>
            <family val="2"/>
          </rPr>
          <t xml:space="preserve">
</t>
        </r>
        <r>
          <rPr>
            <sz val="9"/>
            <color rgb="FF000000"/>
            <rFont val="Tahoma"/>
            <family val="2"/>
          </rPr>
          <t>Biofuel excluded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Pat DeLaquil</author>
    <author>EPA</author>
    <author>ctsuser</author>
    <author>CLS</author>
  </authors>
  <commentList>
    <comment ref="B23" authorId="0" shapeId="0" xr:uid="{00000000-0006-0000-1800-000001000000}">
      <text>
        <r>
          <rPr>
            <b/>
            <sz val="8"/>
            <color indexed="81"/>
            <rFont val="Tahoma"/>
            <family val="2"/>
          </rPr>
          <t>Pat DeLaquil:</t>
        </r>
        <r>
          <rPr>
            <sz val="8"/>
            <color indexed="81"/>
            <rFont val="Tahoma"/>
            <family val="2"/>
          </rPr>
          <t xml:space="preserve">
The lighting and misc electric final energy is split acording to the AEO shares</t>
        </r>
      </text>
    </comment>
    <comment ref="B42" authorId="0" shapeId="0" xr:uid="{00000000-0006-0000-1800-000002000000}">
      <text>
        <r>
          <rPr>
            <b/>
            <sz val="8"/>
            <color indexed="81"/>
            <rFont val="Tahoma"/>
            <family val="2"/>
          </rPr>
          <t>Pat DeLaquil:</t>
        </r>
        <r>
          <rPr>
            <sz val="8"/>
            <color indexed="81"/>
            <rFont val="Tahoma"/>
            <family val="2"/>
          </rPr>
          <t xml:space="preserve">
The lighting and misc electric final energy is split acording to the AEO shares</t>
        </r>
      </text>
    </comment>
    <comment ref="C100" authorId="1" shapeId="0" xr:uid="{00000000-0006-0000-1800-000003000000}">
      <text>
        <r>
          <rPr>
            <b/>
            <sz val="10"/>
            <color indexed="81"/>
            <rFont val="Tahoma"/>
            <family val="2"/>
          </rPr>
          <t>EPA:</t>
        </r>
        <r>
          <rPr>
            <sz val="10"/>
            <color indexed="81"/>
            <rFont val="Tahoma"/>
            <family val="2"/>
          </rPr>
          <t xml:space="preserve">
AEO 2008 data starts here.</t>
        </r>
      </text>
    </comment>
    <comment ref="D100" authorId="2" shapeId="0" xr:uid="{00000000-0006-0000-1800-000004000000}">
      <text>
        <r>
          <rPr>
            <sz val="9"/>
            <color indexed="81"/>
            <rFont val="Tahoma"/>
            <family val="2"/>
          </rPr>
          <t>Used AEO 2014 data for 2011.   Several end uses (including RWH and RSC had significant changes in values from 2013 to 2014 for the same years.</t>
        </r>
      </text>
    </comment>
    <comment ref="C146" authorId="3" shapeId="0" xr:uid="{00000000-0006-0000-1800-000005000000}">
      <text>
        <r>
          <rPr>
            <b/>
            <sz val="8"/>
            <color indexed="81"/>
            <rFont val="Tahoma"/>
            <family val="2"/>
          </rPr>
          <t>AEO adjusted the DSL use in Space Heating as the years went out.</t>
        </r>
        <r>
          <rPr>
            <sz val="8"/>
            <color indexed="81"/>
            <rFont val="Tahoma"/>
            <family val="2"/>
          </rPr>
          <t xml:space="preserve">
</t>
        </r>
      </text>
    </comment>
    <comment ref="C152" authorId="3" shapeId="0" xr:uid="{00000000-0006-0000-1800-000006000000}">
      <text>
        <r>
          <rPr>
            <sz val="9"/>
            <color indexed="81"/>
            <rFont val="Tahoma"/>
            <family val="2"/>
          </rPr>
          <t>AEO14 changed the way space heating and other uses were calculated … 2005 data adjusted to reflect.</t>
        </r>
      </text>
    </comment>
    <comment ref="D212" authorId="3" shapeId="0" xr:uid="{00000000-0006-0000-1800-000007000000}">
      <text>
        <r>
          <rPr>
            <sz val="9"/>
            <color indexed="81"/>
            <rFont val="Tahoma"/>
            <family val="2"/>
          </rPr>
          <t>Used AEO 2014 data for 2011</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Isik, Mine</author>
  </authors>
  <commentList>
    <comment ref="H60" authorId="0" shapeId="0" xr:uid="{00000000-0006-0000-0800-000001000000}">
      <text>
        <r>
          <rPr>
            <b/>
            <sz val="9"/>
            <color indexed="81"/>
            <rFont val="Tahoma"/>
            <family val="2"/>
          </rPr>
          <t>Isik, Mine:</t>
        </r>
        <r>
          <rPr>
            <sz val="9"/>
            <color indexed="81"/>
            <rFont val="Tahoma"/>
            <family val="2"/>
          </rPr>
          <t xml:space="preserve">
the average of 2020 and 2030 is taken</t>
        </r>
      </text>
    </comment>
    <comment ref="J60" authorId="0" shapeId="0" xr:uid="{00000000-0006-0000-0800-000002000000}">
      <text>
        <r>
          <rPr>
            <b/>
            <sz val="9"/>
            <color indexed="81"/>
            <rFont val="Tahoma"/>
            <family val="2"/>
          </rPr>
          <t>Isik, Mine:</t>
        </r>
        <r>
          <rPr>
            <sz val="9"/>
            <color indexed="81"/>
            <rFont val="Tahoma"/>
            <family val="2"/>
          </rPr>
          <t xml:space="preserve">
The average of 2030 and 2040 is taken</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Isik, Mine</author>
  </authors>
  <commentList>
    <comment ref="AB94" authorId="0" shapeId="0" xr:uid="{00000000-0006-0000-1C00-000001000000}">
      <text>
        <r>
          <rPr>
            <b/>
            <sz val="9"/>
            <color indexed="81"/>
            <rFont val="Tahoma"/>
            <family val="2"/>
          </rPr>
          <t>Isik, Mine:</t>
        </r>
        <r>
          <rPr>
            <sz val="9"/>
            <color indexed="81"/>
            <rFont val="Tahoma"/>
            <family val="2"/>
          </rPr>
          <t xml:space="preserve">
</t>
        </r>
      </text>
    </comment>
    <comment ref="AJ94" authorId="0" shapeId="0" xr:uid="{00000000-0006-0000-1C00-000002000000}">
      <text>
        <r>
          <rPr>
            <b/>
            <sz val="9"/>
            <color indexed="81"/>
            <rFont val="Tahoma"/>
            <family val="2"/>
          </rPr>
          <t>Isik, Mine:</t>
        </r>
        <r>
          <rPr>
            <sz val="9"/>
            <color indexed="81"/>
            <rFont val="Tahoma"/>
            <family val="2"/>
          </rPr>
          <t xml:space="preserve">
</t>
        </r>
      </text>
    </comment>
  </commentList>
</comments>
</file>

<file path=xl/sharedStrings.xml><?xml version="1.0" encoding="utf-8"?>
<sst xmlns="http://schemas.openxmlformats.org/spreadsheetml/2006/main" count="7929" uniqueCount="2015">
  <si>
    <t>ANSWER-Commodities</t>
  </si>
  <si>
    <t>CommName</t>
  </si>
  <si>
    <t>CommDesc</t>
  </si>
  <si>
    <t>CommUnit</t>
  </si>
  <si>
    <t>Set Memberships</t>
  </si>
  <si>
    <t>Comment</t>
  </si>
  <si>
    <t>ANSWER-Technologies</t>
  </si>
  <si>
    <t>TechName</t>
  </si>
  <si>
    <t>TechDesc</t>
  </si>
  <si>
    <t>TACTUnit</t>
  </si>
  <si>
    <t>TCAPUnit</t>
  </si>
  <si>
    <t>Commodities</t>
  </si>
  <si>
    <t>_GLOBAL,R0,R1,R2,R3,R4,R5,R6</t>
  </si>
  <si>
    <t>~FI_Comm</t>
  </si>
  <si>
    <t>Region</t>
  </si>
  <si>
    <t>Csets</t>
  </si>
  <si>
    <t>Unit</t>
  </si>
  <si>
    <t>LimType</t>
  </si>
  <si>
    <t>CTSLvl</t>
  </si>
  <si>
    <t>PeakTS</t>
  </si>
  <si>
    <t>Ctype</t>
  </si>
  <si>
    <t>Technologies</t>
  </si>
  <si>
    <t>~FI_Process</t>
  </si>
  <si>
    <t>Sets</t>
  </si>
  <si>
    <t>Tact</t>
  </si>
  <si>
    <t>Tcap</t>
  </si>
  <si>
    <t>PrimaryCG</t>
  </si>
  <si>
    <t>Vintage</t>
  </si>
  <si>
    <t>Tslvl</t>
  </si>
  <si>
    <t>*Space Heating</t>
  </si>
  <si>
    <t>*Electric Radiant Heating</t>
  </si>
  <si>
    <t>DMD</t>
  </si>
  <si>
    <t>PJ</t>
  </si>
  <si>
    <t>PJ/a</t>
  </si>
  <si>
    <t>*Electric Furnaces</t>
  </si>
  <si>
    <t>*Electric Heat Pumps (Residential Air Source Heat Pumps)</t>
  </si>
  <si>
    <t>DAYNITE</t>
  </si>
  <si>
    <t>R2,R3,R4,R5,R6</t>
  </si>
  <si>
    <t>*Natural Gas Furnaces   (Residential Gas-Fired Furnaces - North)</t>
  </si>
  <si>
    <t>*Natural Gas Radiant Heating (Residential Gas-Fired Boiler Radiants)</t>
  </si>
  <si>
    <t>*Dfuel Oil (DSL) Radiant Space Heating</t>
  </si>
  <si>
    <t>*Fuel Oil (DSL) Furnaces</t>
  </si>
  <si>
    <t>*Geothermal Heat Pumps</t>
  </si>
  <si>
    <t>*Natural Gas Heat Pumps (Residential Natural Gas Heat Pumps)</t>
  </si>
  <si>
    <t>*Space Cooling</t>
  </si>
  <si>
    <t>*Room/Window AC (EIA EQ: Residential Room Air Conditioners)</t>
  </si>
  <si>
    <t>*Central AC Units (EIA EQ: Residential Central Air Conditioners (North (Not Hot-Dry or Hot-Humid)))</t>
  </si>
  <si>
    <t>*Portable AC Units (EIA EQ: Residential Portable Air Conditioners)</t>
  </si>
  <si>
    <t xml:space="preserve"> *Natural Gas Heat Pumps (EIA EQ: Residential Natural Gas Heat Pumps ver1 short, ver2 long)</t>
  </si>
  <si>
    <t>*Water Heating</t>
  </si>
  <si>
    <t>*Natural Gas Storage Water Heater</t>
  </si>
  <si>
    <t>*Electric Water Heaters (EIA EQ: Residentail Electric Resistance Storage Water Heaters)</t>
  </si>
  <si>
    <t>*Fuel Oil (DSL) Storage Water Heaters</t>
  </si>
  <si>
    <t>*Natural Gas Instantenous Water Heaters</t>
  </si>
  <si>
    <t>*Solar (EIA EQ: Residentail Solar Water Heaters)</t>
  </si>
  <si>
    <t>*Refrigeration</t>
  </si>
  <si>
    <t>*Freezer</t>
  </si>
  <si>
    <t>*Lighting</t>
  </si>
  <si>
    <t>bn-lum-yr</t>
  </si>
  <si>
    <t>bn-lum</t>
  </si>
  <si>
    <t>* Residential Other</t>
  </si>
  <si>
    <t>* Dummy/Pass Through Technologies for NYC LITE Model to Meet Populaiton Demand</t>
  </si>
  <si>
    <t>*PV solar</t>
  </si>
  <si>
    <t>ELE</t>
  </si>
  <si>
    <t>GW</t>
  </si>
  <si>
    <t>R2</t>
  </si>
  <si>
    <t>R3</t>
  </si>
  <si>
    <t>R4</t>
  </si>
  <si>
    <t>R5</t>
  </si>
  <si>
    <t>R6</t>
  </si>
  <si>
    <t>TechData</t>
  </si>
  <si>
    <t>~FI_T</t>
  </si>
  <si>
    <t>*TechDesc</t>
  </si>
  <si>
    <t>*Units</t>
  </si>
  <si>
    <t>CommIN</t>
  </si>
  <si>
    <t>CommOUT</t>
  </si>
  <si>
    <t>NCAP_START</t>
  </si>
  <si>
    <t>NCAP_TLIFE</t>
  </si>
  <si>
    <t>NCAP_COST</t>
  </si>
  <si>
    <t>EFF</t>
  </si>
  <si>
    <t>Share~UP</t>
  </si>
  <si>
    <t>NCAP_AF~R2</t>
  </si>
  <si>
    <t>NCAP_AF~R3</t>
  </si>
  <si>
    <t>NCAP_AF~R4</t>
  </si>
  <si>
    <t>NCAP_AF~R5</t>
  </si>
  <si>
    <t>NCAP_AF~R6</t>
  </si>
  <si>
    <t>NCAP_FOM</t>
  </si>
  <si>
    <t>NCAP_DRATE</t>
  </si>
  <si>
    <t>NCAP_BND~2010</t>
  </si>
  <si>
    <t>NCAP_BND~2015</t>
  </si>
  <si>
    <t>NCAP_BND~2020</t>
  </si>
  <si>
    <t>NCAP_BND~2025</t>
  </si>
  <si>
    <t>NCAP_BND~2030</t>
  </si>
  <si>
    <t>NCAP_BND~2035</t>
  </si>
  <si>
    <t>NCAP_BND~2040</t>
  </si>
  <si>
    <t>NCAP_BND~2045</t>
  </si>
  <si>
    <t>NCAP_BND~2050</t>
  </si>
  <si>
    <t>NCAP_BND~2055</t>
  </si>
  <si>
    <t>*GROWTH~2015</t>
  </si>
  <si>
    <t>*GROWTH~2020</t>
  </si>
  <si>
    <t>*GROWTH~2025</t>
  </si>
  <si>
    <t>*GROWTH~2030</t>
  </si>
  <si>
    <t>*GROWTH~2035</t>
  </si>
  <si>
    <t>*GROWTH~2040</t>
  </si>
  <si>
    <t>*GROWTH~2045</t>
  </si>
  <si>
    <t>*GROWTH~2050</t>
  </si>
  <si>
    <t>*GROWTH~2055</t>
  </si>
  <si>
    <t>PRC_RESID~R2~2010</t>
  </si>
  <si>
    <t>PRC_RESID~R3~2010</t>
  </si>
  <si>
    <t>PRC_RESID~R4~2010</t>
  </si>
  <si>
    <t>PRC_RESID~R5~2010</t>
  </si>
  <si>
    <t>PRC_RESID~R6~2010</t>
  </si>
  <si>
    <t>PRC_RESID~R2~2015</t>
  </si>
  <si>
    <t>PRC_RESID~R3~2015</t>
  </si>
  <si>
    <t>PRC_RESID~R4~2015</t>
  </si>
  <si>
    <t>PRC_RESID~R5~2015</t>
  </si>
  <si>
    <t>PRC_RESID~R6~2015</t>
  </si>
  <si>
    <t>PRC_RESID~R2~2020</t>
  </si>
  <si>
    <t>PRC_RESID~R3~2020</t>
  </si>
  <si>
    <t>PRC_RESID~R4~2020</t>
  </si>
  <si>
    <t>PRC_RESID~R5~2020</t>
  </si>
  <si>
    <t>PRC_RESID~R6~2020</t>
  </si>
  <si>
    <t>RESELC</t>
  </si>
  <si>
    <t>RSH</t>
  </si>
  <si>
    <t>RSC</t>
  </si>
  <si>
    <t>RESNGAEA</t>
  </si>
  <si>
    <t>RESDSLEA</t>
  </si>
  <si>
    <t/>
  </si>
  <si>
    <t>*UTILITY SCALE CHP - SH</t>
  </si>
  <si>
    <t>RSHNUTIBOI15</t>
  </si>
  <si>
    <t>RSH.NG.UTILITY.BOILER</t>
  </si>
  <si>
    <t>RESSTNB</t>
  </si>
  <si>
    <t>RSHNUTICHP15</t>
  </si>
  <si>
    <t>RSH.NG.UTILITY.CHP</t>
  </si>
  <si>
    <t>RESSTNUC</t>
  </si>
  <si>
    <t>RSHBUTICHP15</t>
  </si>
  <si>
    <t>RSH.DSL.UTILITY.CHP</t>
  </si>
  <si>
    <t>RESSTBUC</t>
  </si>
  <si>
    <t>*Heating retrofit</t>
  </si>
  <si>
    <t>RSHRETSMT</t>
  </si>
  <si>
    <t>Retrofit.Smart Thermostats</t>
  </si>
  <si>
    <t>RESRET</t>
  </si>
  <si>
    <t>RSHRETVEO</t>
  </si>
  <si>
    <t>Retrofit.Ventilation Overhaul</t>
  </si>
  <si>
    <t>RSHRETINR</t>
  </si>
  <si>
    <t>Retrofit.Insulation - roof</t>
  </si>
  <si>
    <t>RSHRETWIR</t>
  </si>
  <si>
    <t>Retrofit.Window replacement</t>
  </si>
  <si>
    <t>RSHRETINW</t>
  </si>
  <si>
    <t>Retrofit.Insulation - walls</t>
  </si>
  <si>
    <t>RWH</t>
  </si>
  <si>
    <t>SOL</t>
  </si>
  <si>
    <t>*UTILITY SCALE CHP - WH</t>
  </si>
  <si>
    <t>RWHNUTIBOI15</t>
  </si>
  <si>
    <t>RWH.NG.UTILITY.BOILER</t>
  </si>
  <si>
    <t>RWHNUTICHP15</t>
  </si>
  <si>
    <t>RWH.NG.UTILITY.CHP</t>
  </si>
  <si>
    <t>RWHBUTICHP15</t>
  </si>
  <si>
    <t>RWH.DSL.UTILITY.CHP</t>
  </si>
  <si>
    <t>RRFBS11</t>
  </si>
  <si>
    <t>Base.RRF.BS.ELC.05</t>
  </si>
  <si>
    <t>RRF</t>
  </si>
  <si>
    <t>*</t>
  </si>
  <si>
    <t>RRFTFV111</t>
  </si>
  <si>
    <t>TF Ver1.RRF.ELC.10</t>
  </si>
  <si>
    <t>2011</t>
  </si>
  <si>
    <t>RRFTFV115</t>
  </si>
  <si>
    <t>TF Ver1.RRF.ELC.15</t>
  </si>
  <si>
    <t>2015</t>
  </si>
  <si>
    <t>RRFTFV211</t>
  </si>
  <si>
    <t>TF VerC.RRF.ELC.10</t>
  </si>
  <si>
    <t>RRFTFV215</t>
  </si>
  <si>
    <t>TF Ver2.RRF.ELC.15</t>
  </si>
  <si>
    <t>RRFTFV311</t>
  </si>
  <si>
    <t>TF Ver3.RRF.ELC.10</t>
  </si>
  <si>
    <t>RRFTFV315</t>
  </si>
  <si>
    <t>TF Ver3.RRF.ELC.15</t>
  </si>
  <si>
    <t>RRFSFV111</t>
  </si>
  <si>
    <t>SF Ver1.RRF.ELC.10</t>
  </si>
  <si>
    <t>RRFSFV211</t>
  </si>
  <si>
    <t>SF Ver2.RRF.ELC.10</t>
  </si>
  <si>
    <t>RRFSFV215</t>
  </si>
  <si>
    <t>SF Ver2.RRF.ELC.15</t>
  </si>
  <si>
    <t>RRFBFV111</t>
  </si>
  <si>
    <t>BF Ver1.RRF.ELC.10</t>
  </si>
  <si>
    <t>RRFBFV211</t>
  </si>
  <si>
    <t>BF Ver2.RRF.ELC.10</t>
  </si>
  <si>
    <t>RRFBFV215</t>
  </si>
  <si>
    <t>BF Ver2.RRF.ELC.15</t>
  </si>
  <si>
    <t>RFZBS11</t>
  </si>
  <si>
    <t>Base.RFZ.BS.ELC.05</t>
  </si>
  <si>
    <t>RFZ</t>
  </si>
  <si>
    <t>RFZCV111</t>
  </si>
  <si>
    <t>C Ver1.RFZ.ELC.10</t>
  </si>
  <si>
    <t>RFZCV211</t>
  </si>
  <si>
    <t>C Ver2.RFZ.ELC.10</t>
  </si>
  <si>
    <t>RFZCV215</t>
  </si>
  <si>
    <t>C Ver2.RFZ.ELC.15</t>
  </si>
  <si>
    <t>RFZUV111</t>
  </si>
  <si>
    <t>U Ver1.RFZ.ELC.10</t>
  </si>
  <si>
    <t>RFZUV211</t>
  </si>
  <si>
    <t>U Ver2.RFZ.ELC.10</t>
  </si>
  <si>
    <t>RFZUV215</t>
  </si>
  <si>
    <t>U Ver2.RFZ.ELC.15</t>
  </si>
  <si>
    <t>RLTGINCBS11</t>
  </si>
  <si>
    <t>RLT.GSL.INC.BS.11</t>
  </si>
  <si>
    <t>RLT</t>
  </si>
  <si>
    <t>RLTGINC11</t>
  </si>
  <si>
    <t>RLT.GSL.INC.10</t>
  </si>
  <si>
    <t>RLTGINC15</t>
  </si>
  <si>
    <t>RLT.GSL.INC.15</t>
  </si>
  <si>
    <t>RLTGCFLBS11</t>
  </si>
  <si>
    <t>RLT.GSL.CFL.BS.11</t>
  </si>
  <si>
    <t>RLTGCFL11</t>
  </si>
  <si>
    <t>RLT.GSL.CFL.10</t>
  </si>
  <si>
    <t>RLTGCFL15</t>
  </si>
  <si>
    <t>RLT.GSL.CFL.15</t>
  </si>
  <si>
    <t>RLTGCFL20</t>
  </si>
  <si>
    <t>RLT.GSL.CFL.20</t>
  </si>
  <si>
    <t>2020</t>
  </si>
  <si>
    <t>RLTGCFL30</t>
  </si>
  <si>
    <t>RLT.GSL.CFL.30</t>
  </si>
  <si>
    <t>2030</t>
  </si>
  <si>
    <t>RLTGCFL40</t>
  </si>
  <si>
    <t>RLT.GSL.CFL.40</t>
  </si>
  <si>
    <t>2040</t>
  </si>
  <si>
    <t>RLTGLED11</t>
  </si>
  <si>
    <t>RLT.GSL.LED.10</t>
  </si>
  <si>
    <t>RLTGLED15</t>
  </si>
  <si>
    <t>RLT.GSL.LED.15</t>
  </si>
  <si>
    <t>RLTGLED20</t>
  </si>
  <si>
    <t>RLT.GSL.LED.20</t>
  </si>
  <si>
    <t>RLTGLED25</t>
  </si>
  <si>
    <t>RLT.GSL.LED.25</t>
  </si>
  <si>
    <t>2025</t>
  </si>
  <si>
    <t>RLTGLED30</t>
  </si>
  <si>
    <t>RLT.GSL.LED.30</t>
  </si>
  <si>
    <t>RLTGLED40</t>
  </si>
  <si>
    <t>RLT.GSL.LED.40</t>
  </si>
  <si>
    <t>RLTRINC11</t>
  </si>
  <si>
    <t>RLT.REF.INC.10</t>
  </si>
  <si>
    <t>RLTRINC20</t>
  </si>
  <si>
    <t>RLT.REF.INC.20</t>
  </si>
  <si>
    <t>RLTRINC30</t>
  </si>
  <si>
    <t>RLT.REF.INC.30</t>
  </si>
  <si>
    <t>RLTRINC40</t>
  </si>
  <si>
    <t>RLT.REF.INC.40</t>
  </si>
  <si>
    <t>RLTRCFL11</t>
  </si>
  <si>
    <t>RLT.REF.CFL.10</t>
  </si>
  <si>
    <t>RLTRCFL20</t>
  </si>
  <si>
    <t>RLT.REF.CFL.20</t>
  </si>
  <si>
    <t>RLTRCFL30</t>
  </si>
  <si>
    <t>RLT.REF.CFL.30</t>
  </si>
  <si>
    <t>RLTRCFL40</t>
  </si>
  <si>
    <t>RLT.REF.CFL.40</t>
  </si>
  <si>
    <t>RLTRHAL11</t>
  </si>
  <si>
    <t>RLT.REF.HAL.10</t>
  </si>
  <si>
    <t>RLTRHAL20</t>
  </si>
  <si>
    <t>RLT.REF.HAL.20</t>
  </si>
  <si>
    <t>RLTRHAL30</t>
  </si>
  <si>
    <t>RLT.REF.HAL.30</t>
  </si>
  <si>
    <t>RLTRHAL40</t>
  </si>
  <si>
    <t>RLT.REF.HAL.40</t>
  </si>
  <si>
    <t>RLTRLED11</t>
  </si>
  <si>
    <t>RLT.REF.LED.10</t>
  </si>
  <si>
    <t>RLTRLED15</t>
  </si>
  <si>
    <t>RLT.REF.LED.15</t>
  </si>
  <si>
    <t>RLTRLED20</t>
  </si>
  <si>
    <t>RLT.REF.LED.20</t>
  </si>
  <si>
    <t>RLTRLED25</t>
  </si>
  <si>
    <t>RLT.REF.LED.25</t>
  </si>
  <si>
    <t>RLTRLED30</t>
  </si>
  <si>
    <t>RLT.REF.LED.30</t>
  </si>
  <si>
    <t>RLTLT1211</t>
  </si>
  <si>
    <t>RLT.LFL.T12.10</t>
  </si>
  <si>
    <t>RLTLFL11</t>
  </si>
  <si>
    <t>RLT.LFL.10</t>
  </si>
  <si>
    <t>RLTLT811</t>
  </si>
  <si>
    <t>RLT.LFL.T8.10</t>
  </si>
  <si>
    <t>RLTLT830</t>
  </si>
  <si>
    <t>RLT.LFL.T8.30</t>
  </si>
  <si>
    <t>RLTLLED11</t>
  </si>
  <si>
    <t>RLT.LFL.LED.10</t>
  </si>
  <si>
    <t>RLTLLED15</t>
  </si>
  <si>
    <t>RLT.LFL.LED.15</t>
  </si>
  <si>
    <t>RLTLLED20</t>
  </si>
  <si>
    <t>RLT.LFL.LED.20</t>
  </si>
  <si>
    <t>RLTLLED30</t>
  </si>
  <si>
    <t>RLT.LFL.LED.30</t>
  </si>
  <si>
    <t>RLTEXTBS11</t>
  </si>
  <si>
    <t>RLT.EXT.BS.11</t>
  </si>
  <si>
    <t>RLTEINC11</t>
  </si>
  <si>
    <t>RLT.EXT.INC.10</t>
  </si>
  <si>
    <t>RLTEINC15</t>
  </si>
  <si>
    <t>RLT.EXT.INC.15</t>
  </si>
  <si>
    <t>RLTEINC20</t>
  </si>
  <si>
    <t>RLT.EXT.INC.20</t>
  </si>
  <si>
    <t>RLTEINC30</t>
  </si>
  <si>
    <t>RLT.EXT.INC.30</t>
  </si>
  <si>
    <t>RLTEINC40</t>
  </si>
  <si>
    <t>RLT.EXT.INC.40</t>
  </si>
  <si>
    <t>RLTECFL11</t>
  </si>
  <si>
    <t>RLT.EXT.CFL.10</t>
  </si>
  <si>
    <t>RLTECFL20</t>
  </si>
  <si>
    <t>RLT.EXT.CFL.20</t>
  </si>
  <si>
    <t>RLTECFL30</t>
  </si>
  <si>
    <t>RLT.EXT.CFL.30</t>
  </si>
  <si>
    <t>RLTECFL40</t>
  </si>
  <si>
    <t>RLT.EXT.CFL.40</t>
  </si>
  <si>
    <t>RLTEHPS11</t>
  </si>
  <si>
    <t>RLT.EXT.HPS.10</t>
  </si>
  <si>
    <t>RLTEHPS20</t>
  </si>
  <si>
    <t>RLT.EXT.HPS.20</t>
  </si>
  <si>
    <t>RLTELED11</t>
  </si>
  <si>
    <t>RLT.EXT.LED.10</t>
  </si>
  <si>
    <t>RLTELED15</t>
  </si>
  <si>
    <t>RLT.EXT.LED.15</t>
  </si>
  <si>
    <t>RLTELED20</t>
  </si>
  <si>
    <t>RLT.EXT.LED.20</t>
  </si>
  <si>
    <t>RLTELED25</t>
  </si>
  <si>
    <t>RLT.EXT.LED.25</t>
  </si>
  <si>
    <t>RLTELED30</t>
  </si>
  <si>
    <t>RLT.EXT.LED.30</t>
  </si>
  <si>
    <t>ROTHCELC11</t>
  </si>
  <si>
    <t>Residential Other - Electric</t>
  </si>
  <si>
    <t>ROE</t>
  </si>
  <si>
    <t>ROTHNGA11</t>
  </si>
  <si>
    <t>Residential Other - NGA</t>
  </si>
  <si>
    <t>ROG</t>
  </si>
  <si>
    <t>ROTHLPG11</t>
  </si>
  <si>
    <t>Residential Other - LPG</t>
  </si>
  <si>
    <t>RESLPGEA</t>
  </si>
  <si>
    <t>ROL</t>
  </si>
  <si>
    <t>RBLDHEDM11</t>
  </si>
  <si>
    <t>Residential Building High Eff</t>
  </si>
  <si>
    <t>Mt, Mt/a</t>
  </si>
  <si>
    <t>RBLDHEDMY</t>
  </si>
  <si>
    <t>POPDMRES</t>
  </si>
  <si>
    <t>RBLDMEDM11</t>
  </si>
  <si>
    <t>Residential Building Medium Eff</t>
  </si>
  <si>
    <t>RBLDMEDMY</t>
  </si>
  <si>
    <t>RBLDLEDM11</t>
  </si>
  <si>
    <t>Residential Building Low Eff</t>
  </si>
  <si>
    <t>RBLDLEDMY</t>
  </si>
  <si>
    <t>RBROOFDM11</t>
  </si>
  <si>
    <t>Residential Sector Black Roof</t>
  </si>
  <si>
    <t>RBROOFDMY</t>
  </si>
  <si>
    <t>RWROOFDM</t>
  </si>
  <si>
    <t>RWTROOFDM11</t>
  </si>
  <si>
    <t>Residential Sector White Roof</t>
  </si>
  <si>
    <t>RWTROOFDMY</t>
  </si>
  <si>
    <t>RGROOF6DM11</t>
  </si>
  <si>
    <t>Residential Sector Green Roof 6 Inch Depth</t>
  </si>
  <si>
    <t>RGRF6DMY</t>
  </si>
  <si>
    <t>RGROOF12DM11</t>
  </si>
  <si>
    <t>Residential Sector Green Roof 12 Inch Depth</t>
  </si>
  <si>
    <t>RGRF12DMY</t>
  </si>
  <si>
    <t>* Green Infrastructure Heating &amp; Cooling Technologies</t>
  </si>
  <si>
    <t>RSHRFBLK11</t>
  </si>
  <si>
    <t>Heating provided by black roofs</t>
  </si>
  <si>
    <t>RHCRFBLK</t>
  </si>
  <si>
    <t>RSHRFWT11</t>
  </si>
  <si>
    <t>Heating provided by white roofs</t>
  </si>
  <si>
    <t>RHCRFWT</t>
  </si>
  <si>
    <t>RSHRFG611</t>
  </si>
  <si>
    <t>Heating provided by 6 inch green roofs</t>
  </si>
  <si>
    <t>RHCRFG6</t>
  </si>
  <si>
    <t>RSHRFG1211</t>
  </si>
  <si>
    <t>Heating provided by 12 inch green roofs</t>
  </si>
  <si>
    <t>RHCRFG12</t>
  </si>
  <si>
    <t>RSCRFBLK11</t>
  </si>
  <si>
    <t>Cooling provided by black roofs</t>
  </si>
  <si>
    <t>RSCRFWT11</t>
  </si>
  <si>
    <t>Cooling provided by white roofs</t>
  </si>
  <si>
    <t>RSCRFG611</t>
  </si>
  <si>
    <t>Cooling provided by 6 inch green roofs</t>
  </si>
  <si>
    <t>RSCRFG1211</t>
  </si>
  <si>
    <t>Cooling provided by 12 inch green roofs</t>
  </si>
  <si>
    <t>PRC_CAPACT</t>
  </si>
  <si>
    <t>Peak</t>
  </si>
  <si>
    <t>NCAP_COST~2010</t>
  </si>
  <si>
    <t>NCAP_COST~2015</t>
  </si>
  <si>
    <t>NCAP_COST~2020</t>
  </si>
  <si>
    <t>NCAP_COST~2025</t>
  </si>
  <si>
    <t>NCAP_COST~2030</t>
  </si>
  <si>
    <t>NCAP_COST~2035</t>
  </si>
  <si>
    <t>NCAP_COST~2040</t>
  </si>
  <si>
    <t>NCAP_COST~2045</t>
  </si>
  <si>
    <t>NCAP_COST~2050</t>
  </si>
  <si>
    <t>NCAP_COST~2055</t>
  </si>
  <si>
    <t>NCAP_AF~IDAM</t>
  </si>
  <si>
    <t>NCAP_AF~IDPM</t>
  </si>
  <si>
    <t>*NCAP_AF~IP</t>
  </si>
  <si>
    <t>NCAP_AF~IP</t>
  </si>
  <si>
    <t>NCAP_AF~IN</t>
  </si>
  <si>
    <t>NCAP_AF~SDAM</t>
  </si>
  <si>
    <t>NCAP_AF~SDPM</t>
  </si>
  <si>
    <t>*NCAP_AF~SP</t>
  </si>
  <si>
    <t>NCAP_AF~SP</t>
  </si>
  <si>
    <t>NCAP_AF~SN</t>
  </si>
  <si>
    <t>NCAP_AF~WDAM</t>
  </si>
  <si>
    <t>NCAP_AF~WDPM</t>
  </si>
  <si>
    <t>*NCAP_AF~WP</t>
  </si>
  <si>
    <t>NCAP_AF~WP</t>
  </si>
  <si>
    <t>NCAP_AF~WN</t>
  </si>
  <si>
    <t>Input</t>
  </si>
  <si>
    <t>Output</t>
  </si>
  <si>
    <t>ACT_BND~FX~2010</t>
  </si>
  <si>
    <t>ACT_BND~FX~2015</t>
  </si>
  <si>
    <t>ACT_BND~LO~2020</t>
  </si>
  <si>
    <t>ACT_BND~LO~2025</t>
  </si>
  <si>
    <t>ACT_BND~LO~2030</t>
  </si>
  <si>
    <t>ACT_BND~LO~2035</t>
  </si>
  <si>
    <t>ACT_BND~LO~2040</t>
  </si>
  <si>
    <t>ACT_BND~LO~2045</t>
  </si>
  <si>
    <t>ACT_BND~LO~2050</t>
  </si>
  <si>
    <t>ACT_BND~LO~2055</t>
  </si>
  <si>
    <t>ACT_BND~UP~2020</t>
  </si>
  <si>
    <t>ACT_BND~UP~2025</t>
  </si>
  <si>
    <t>ACT_BND~UP~2030</t>
  </si>
  <si>
    <t>ACT_BND~UP~2035</t>
  </si>
  <si>
    <t>ACT_BND~UP~2040</t>
  </si>
  <si>
    <t>ACT_BND~UP~2045</t>
  </si>
  <si>
    <t>ACT_BND~UP~2050</t>
  </si>
  <si>
    <t>ACT_BND~UP~2055</t>
  </si>
  <si>
    <t>* Solar PV Technologies</t>
  </si>
  <si>
    <t>*R1</t>
  </si>
  <si>
    <t>Solar PV Distributed Residential Generation</t>
  </si>
  <si>
    <t>SOLRES</t>
  </si>
  <si>
    <t>ConstrName</t>
  </si>
  <si>
    <t>ConstrDesc</t>
  </si>
  <si>
    <t>Units</t>
  </si>
  <si>
    <t>*R2,R3,R4,R5,R6</t>
  </si>
  <si>
    <t>FI_T</t>
  </si>
  <si>
    <t>NCAP_LIFE</t>
  </si>
  <si>
    <t>ENV_ACT~CO2~2010</t>
  </si>
  <si>
    <t>ENV_ACT~CO2~2055</t>
  </si>
  <si>
    <t>ENV_ACT~NOX~2010</t>
  </si>
  <si>
    <t>ENV_ACT~NOX~2055</t>
  </si>
  <si>
    <t>ENV_ACT~PM10~2010</t>
  </si>
  <si>
    <t>ENV_ACT~PM10~2055</t>
  </si>
  <si>
    <t>ENV_ACT~PM25~2010</t>
  </si>
  <si>
    <t>ENV_ACT~PM25~2055</t>
  </si>
  <si>
    <t>ENV_ACT~VOC~2010</t>
  </si>
  <si>
    <t>ENV_ACT~VOC~2055</t>
  </si>
  <si>
    <t>ENV_ACT~CO~2010</t>
  </si>
  <si>
    <t>ENV_ACT~CO~2055</t>
  </si>
  <si>
    <t>ENV_ACT~CH4~2010</t>
  </si>
  <si>
    <t>ENV_ACT~CH4~2055</t>
  </si>
  <si>
    <t>ENV_ACT~N2O~2010</t>
  </si>
  <si>
    <t>ENV_ACT~N2O~2055</t>
  </si>
  <si>
    <t>ENV_ACT~BC~2010</t>
  </si>
  <si>
    <t>ENV_ACT~BC~2055</t>
  </si>
  <si>
    <t>ENV_ACT~OC~2010</t>
  </si>
  <si>
    <t>ENV_ACT~OC~2055</t>
  </si>
  <si>
    <t>ENV_ACT~SO2~2010</t>
  </si>
  <si>
    <t>ENV_ACT~SO2~2055</t>
  </si>
  <si>
    <t>ENV_ACT~CO2R</t>
  </si>
  <si>
    <t>ENV_ACT~NOXR</t>
  </si>
  <si>
    <t>ENV_ACT~PM10R</t>
  </si>
  <si>
    <t>ENV_ACT~SO2R</t>
  </si>
  <si>
    <t>ENV_ACT~NOX2CR</t>
  </si>
  <si>
    <t>* Residential</t>
  </si>
  <si>
    <t>SERESCOA</t>
  </si>
  <si>
    <t>Emissions: COA to RES</t>
  </si>
  <si>
    <t>RESCOA</t>
  </si>
  <si>
    <t>RESCOAEA</t>
  </si>
  <si>
    <t>SERESNGA</t>
  </si>
  <si>
    <t>Emissions: NGA to RES</t>
  </si>
  <si>
    <t>RESNGA</t>
  </si>
  <si>
    <t>SERESBIO</t>
  </si>
  <si>
    <t>Emissions: BIO to RES</t>
  </si>
  <si>
    <t>RESBIO</t>
  </si>
  <si>
    <t>RESBIOEA</t>
  </si>
  <si>
    <t>SERESDSL</t>
  </si>
  <si>
    <t>Emissions: DSL to RES</t>
  </si>
  <si>
    <t>RESDSL</t>
  </si>
  <si>
    <t>SERESKER</t>
  </si>
  <si>
    <t>Emissions: KER to RES</t>
  </si>
  <si>
    <t>RESKER</t>
  </si>
  <si>
    <t>RESKEREA</t>
  </si>
  <si>
    <t>SERESLPG</t>
  </si>
  <si>
    <t>Emissions: LPG to RES</t>
  </si>
  <si>
    <t>RESLPG</t>
  </si>
  <si>
    <t>* Industrial</t>
  </si>
  <si>
    <t>ACT_COST</t>
  </si>
  <si>
    <t>* ZZ&lt;dm&gt;INFES Backstop Technologies</t>
  </si>
  <si>
    <t xml:space="preserve"> </t>
  </si>
  <si>
    <t>ZZRLT</t>
  </si>
  <si>
    <t>Residential Lighting - ZZINFES backstop</t>
  </si>
  <si>
    <t>ZZDMY</t>
  </si>
  <si>
    <t>ZZRFZ</t>
  </si>
  <si>
    <t>Residential Freezing - ZZINFES backstop</t>
  </si>
  <si>
    <t>ZZRRF</t>
  </si>
  <si>
    <t>Residential Refrigeration - ZZINFES backstop</t>
  </si>
  <si>
    <t>ZZRSC</t>
  </si>
  <si>
    <t>Residential Cooling - ZZINFES backstop</t>
  </si>
  <si>
    <t>ZZRSH</t>
  </si>
  <si>
    <t>Residential Heating - ZZINFES backstop</t>
  </si>
  <si>
    <t>ZZRWH</t>
  </si>
  <si>
    <t>Residential Water Heating - ZZINFES backstop</t>
  </si>
  <si>
    <t>* Dummy and Backstop Water Technologies</t>
  </si>
  <si>
    <t>ZZDMYRBLD</t>
  </si>
  <si>
    <t>Dummy RES Building to meet POPDM</t>
  </si>
  <si>
    <t>ZZDMYH2O</t>
  </si>
  <si>
    <t>ZZDMYRRFDM</t>
  </si>
  <si>
    <t>Dummy technology to meet RWROOFDM</t>
  </si>
  <si>
    <t>NCAP_AF</t>
  </si>
  <si>
    <t>* Collectors</t>
  </si>
  <si>
    <t>* Emissions Accounting</t>
  </si>
  <si>
    <t>SCRESELC</t>
  </si>
  <si>
    <t>Collector: ELC to RES</t>
  </si>
  <si>
    <t>ELC</t>
  </si>
  <si>
    <t>* Building Retrofit Collectors</t>
  </si>
  <si>
    <t>XELCRBLD</t>
  </si>
  <si>
    <t>Collects ELC for use in buildings</t>
  </si>
  <si>
    <t>RESELCBLD</t>
  </si>
  <si>
    <t>XNGARBLD</t>
  </si>
  <si>
    <t>Collects NGA for use in buildings</t>
  </si>
  <si>
    <t>RESNGABLD</t>
  </si>
  <si>
    <t>XRFLRBLD</t>
  </si>
  <si>
    <t>Collects RFL for use in buildings</t>
  </si>
  <si>
    <t>RESRFLEA</t>
  </si>
  <si>
    <t>RESRFLBLD</t>
  </si>
  <si>
    <t>XDSLRBLD</t>
  </si>
  <si>
    <t>Collects DSL for use in buildings</t>
  </si>
  <si>
    <t>RESDSLBLD</t>
  </si>
  <si>
    <t>RELCHE</t>
  </si>
  <si>
    <t>High efficiency building ELC without retrofits</t>
  </si>
  <si>
    <t>RESELCRB</t>
  </si>
  <si>
    <t>RBLDBAUHE</t>
  </si>
  <si>
    <t>High efficiency building energy without retrofits</t>
  </si>
  <si>
    <t>RESNGARB</t>
  </si>
  <si>
    <t>RESDSLRB</t>
  </si>
  <si>
    <t>RESRFLRB</t>
  </si>
  <si>
    <t>RELCBAU</t>
  </si>
  <si>
    <t>Building ELC without retrofits</t>
  </si>
  <si>
    <t>RESELCRM</t>
  </si>
  <si>
    <t>RBLDBAU</t>
  </si>
  <si>
    <t>Building energy without retrofits</t>
  </si>
  <si>
    <t>RESNGARM</t>
  </si>
  <si>
    <t>RESDSLRM</t>
  </si>
  <si>
    <t>RESRFLRM</t>
  </si>
  <si>
    <t>RELCR10</t>
  </si>
  <si>
    <t>Building ELC retrofit for 10% energy reduction</t>
  </si>
  <si>
    <t>RBLDR10</t>
  </si>
  <si>
    <t>Building retrofit for 10% energy reduction</t>
  </si>
  <si>
    <t>RELCR25</t>
  </si>
  <si>
    <t>Building ELC retrofit for 25% energy reduction</t>
  </si>
  <si>
    <t>RBLDR25</t>
  </si>
  <si>
    <t>Building retrofit for 25% energy reduction</t>
  </si>
  <si>
    <t>RELCR50</t>
  </si>
  <si>
    <t>Building ELC retrofit for 50% energy reduction</t>
  </si>
  <si>
    <t>RBLDR50</t>
  </si>
  <si>
    <t>Building retrofit for 50% energy reduction</t>
  </si>
  <si>
    <t>RSHEHPBS05</t>
  </si>
  <si>
    <t>RSCEHPBS05</t>
  </si>
  <si>
    <t>RSHEHPV110</t>
  </si>
  <si>
    <t>RSCEHPV110</t>
  </si>
  <si>
    <t>RSHEHPV115</t>
  </si>
  <si>
    <t>RSCEHPV115</t>
  </si>
  <si>
    <t>RSHEHPV210</t>
  </si>
  <si>
    <t>RSCEHPV210</t>
  </si>
  <si>
    <t>RSHEHPV215</t>
  </si>
  <si>
    <t>RSCEHPV215</t>
  </si>
  <si>
    <t>RSHEHPV310</t>
  </si>
  <si>
    <t>RSCEHPV310</t>
  </si>
  <si>
    <t>RSHEHPV315</t>
  </si>
  <si>
    <t>RSCEHPV315</t>
  </si>
  <si>
    <t>RSHEHPV320</t>
  </si>
  <si>
    <t>RSCEHPV320</t>
  </si>
  <si>
    <t>RSHEHPV330</t>
  </si>
  <si>
    <t>RSCEHPV330</t>
  </si>
  <si>
    <t>RSHEHPV410</t>
  </si>
  <si>
    <t>RSCEHPV410</t>
  </si>
  <si>
    <t>RSHEHPV420</t>
  </si>
  <si>
    <t>RSCEHPV420</t>
  </si>
  <si>
    <t>RSHEHPV430</t>
  </si>
  <si>
    <t>RSCEHPV430</t>
  </si>
  <si>
    <t>RSHEHPV435</t>
  </si>
  <si>
    <t>RSCEHPV435</t>
  </si>
  <si>
    <t>RSHGHPBS05</t>
  </si>
  <si>
    <t>RSCGHPBS05</t>
  </si>
  <si>
    <t>RSHGHPV110</t>
  </si>
  <si>
    <t>RSCGHPV110</t>
  </si>
  <si>
    <t>RSHGHPV210</t>
  </si>
  <si>
    <t>RSCGHPV210</t>
  </si>
  <si>
    <t>RSHGHPV220</t>
  </si>
  <si>
    <t>RSCGHPV220</t>
  </si>
  <si>
    <t>RSHNHPBS05</t>
  </si>
  <si>
    <t>RSCNHPBS05</t>
  </si>
  <si>
    <t>RSHNHPV110</t>
  </si>
  <si>
    <t>RSCNHPV110</t>
  </si>
  <si>
    <t>RSHNHPV120</t>
  </si>
  <si>
    <t>RSCNHPV120</t>
  </si>
  <si>
    <t>Measure No.</t>
  </si>
  <si>
    <t>Name</t>
  </si>
  <si>
    <t xml:space="preserve">Energy Demand Reduction (% kBtu/sqft) </t>
  </si>
  <si>
    <t>Cost per Sqft</t>
  </si>
  <si>
    <t xml:space="preserve">% of Residential Area Eligible </t>
  </si>
  <si>
    <t>Cost Calculation</t>
  </si>
  <si>
    <t>Restriction Calculation</t>
  </si>
  <si>
    <t>Insulation – walls</t>
  </si>
  <si>
    <t xml:space="preserve">$41.75 per square foot wall area; wall area calculated as average perimeter area times height in eligible single-family homes </t>
  </si>
  <si>
    <t xml:space="preserve">Only single-family homes built before 2005 </t>
  </si>
  <si>
    <t>Ventilation overhaul</t>
  </si>
  <si>
    <t xml:space="preserve">$1 per sqft </t>
  </si>
  <si>
    <t xml:space="preserve">Only homes built after 1945 </t>
  </si>
  <si>
    <t>Smart thermostats</t>
  </si>
  <si>
    <t xml:space="preserve">$500 / apartment (average size 962 sqft) </t>
  </si>
  <si>
    <t>All homes except steam-heated</t>
  </si>
  <si>
    <t>Insulation – roof</t>
  </si>
  <si>
    <t>$13 / roof area (90% of footprint); foot print is 0.129 of total area</t>
  </si>
  <si>
    <t xml:space="preserve">Only homes built before 2005 </t>
  </si>
  <si>
    <t>Window replacement</t>
  </si>
  <si>
    <t xml:space="preserve">Cost given </t>
  </si>
  <si>
    <t>2005 Building eff (Btu / sqft )</t>
  </si>
  <si>
    <t>Brooklyn</t>
  </si>
  <si>
    <t>Bronx</t>
  </si>
  <si>
    <t>Manhattan</t>
  </si>
  <si>
    <t>Queens</t>
  </si>
  <si>
    <t>Staten Island</t>
  </si>
  <si>
    <t>NYC</t>
  </si>
  <si>
    <t>% of new build</t>
  </si>
  <si>
    <t>Cost per Btu (M $ 2010 / PJa)</t>
  </si>
  <si>
    <t>Max penetration (% Btu)</t>
  </si>
  <si>
    <t>https://fred.stlouisfed.org/series/FPCPITOTLZGUSA</t>
  </si>
  <si>
    <t>Inflation</t>
  </si>
  <si>
    <t>Cumulated ref 2010</t>
  </si>
  <si>
    <t>Btu to PJ</t>
  </si>
  <si>
    <t>See 2023_COMET_Residential_Cost_Data for details</t>
  </si>
  <si>
    <t>START</t>
  </si>
  <si>
    <t>LIFE</t>
  </si>
  <si>
    <t>CAPITAL COST update wrt EIA</t>
  </si>
  <si>
    <t>INVCOST</t>
  </si>
  <si>
    <t>Capacity</t>
  </si>
  <si>
    <t>CF</t>
  </si>
  <si>
    <t>2005$/unit</t>
  </si>
  <si>
    <t>btu/hr</t>
  </si>
  <si>
    <t>TID</t>
  </si>
  <si>
    <t>RSHERDBS10</t>
  </si>
  <si>
    <t>Electric Radiant Base.RSH.ELC.10</t>
  </si>
  <si>
    <t>RSHERUV115</t>
  </si>
  <si>
    <t>Electric Resistance Unit Heater Ver1.RSH.ELC.15</t>
  </si>
  <si>
    <t>RSHERUV120</t>
  </si>
  <si>
    <t>Electric Resistance Unit Heater Ver1.RSH.ELC.20</t>
  </si>
  <si>
    <t>RSHERUV122</t>
  </si>
  <si>
    <t>Electric Resistance Unit Heater Ver1.RSH.ELC.22</t>
  </si>
  <si>
    <t>RSHEFRV115</t>
  </si>
  <si>
    <t>Electric Furnace Ver1.RSH.ELC.15</t>
  </si>
  <si>
    <t>RSHEFRV120</t>
  </si>
  <si>
    <t>Electric Furnace Ver1.RSH.ELC.20</t>
  </si>
  <si>
    <t>RSHEFRV122</t>
  </si>
  <si>
    <t>Electric Furnace Ver1.RSH.ELC.22</t>
  </si>
  <si>
    <t>RSHEHPBS15</t>
  </si>
  <si>
    <t>Electric Heat Pump Base.RSH.ELC.15</t>
  </si>
  <si>
    <t>RSHEHPB120</t>
  </si>
  <si>
    <t>Electric Heat Pump Base.RSH.ELC.20</t>
  </si>
  <si>
    <t>RSHEHPBS22</t>
  </si>
  <si>
    <t>Electric Heat Pump Base.RSH.ELC.22</t>
  </si>
  <si>
    <t>RSHEHPV122</t>
  </si>
  <si>
    <t>Electric Heat Pump Ver1.RSH.ELC.22</t>
  </si>
  <si>
    <t>RSHEHPV123</t>
  </si>
  <si>
    <t>Electric Heat Pump Ver1.RSH.ELC.23</t>
  </si>
  <si>
    <t>RSHEHPV223</t>
  </si>
  <si>
    <t>Electric Heat Pump Ver2.RSH.ELC.23</t>
  </si>
  <si>
    <t>RSHEHPV323</t>
  </si>
  <si>
    <t>Electric Heat Pump Ver3.RSH.ELC.23</t>
  </si>
  <si>
    <t>RSHEHPV130</t>
  </si>
  <si>
    <t>Electric Heat Pump Ver1.RSH.ELC.30</t>
  </si>
  <si>
    <t>RSHEHPV230</t>
  </si>
  <si>
    <t>Electric Heat Pump Ver2.RSH.ELC.30</t>
  </si>
  <si>
    <t>RSHEHPV140</t>
  </si>
  <si>
    <t>Electric Heat Pump Ver1.RSH.ELC.40</t>
  </si>
  <si>
    <t>RSHEHPV240</t>
  </si>
  <si>
    <t>Electric Heat Pump Ver2.RSH.ELC.40</t>
  </si>
  <si>
    <t>RSHEHPV150</t>
  </si>
  <si>
    <t>Electric Heat Pump Ver1.RSH.ELC.50</t>
  </si>
  <si>
    <t>RSHEHPV250</t>
  </si>
  <si>
    <t>Electric Heat Pump Ver2.RSH.ELC.50</t>
  </si>
  <si>
    <t>RSHNFRBS15</t>
  </si>
  <si>
    <t>Natural Gas Furnace Base.RSH.NGA.15</t>
  </si>
  <si>
    <t>RSHNFRBS20</t>
  </si>
  <si>
    <t>Natural Gas Furnace Base.RSH.NGA.20</t>
  </si>
  <si>
    <t>RSHNFRV122</t>
  </si>
  <si>
    <t>Natural Gas Furnace Ver1.RSH.NGA.22</t>
  </si>
  <si>
    <t>RSHNFRV222</t>
  </si>
  <si>
    <t>Natural Gas Furnace Ver2.RSH.NGA.22</t>
  </si>
  <si>
    <t>RSHNFRV322</t>
  </si>
  <si>
    <t>Natural Gas Furnace Ver3.RSH.NGA.22</t>
  </si>
  <si>
    <t>RSHNFRV422</t>
  </si>
  <si>
    <t>Natural Gas Furnace Ver4.RSH.NGA.22</t>
  </si>
  <si>
    <t>RSHNBRBS15</t>
  </si>
  <si>
    <t>Natural Gas Boiler Radiant Base.RSH.NGA.15</t>
  </si>
  <si>
    <t>RSHNBRBS20</t>
  </si>
  <si>
    <t>Natural Gas Boiler Radiant Base.RSH.NGA.20</t>
  </si>
  <si>
    <t>RSHNBRV122</t>
  </si>
  <si>
    <t>Natural Gas Boiler Radiant Ver 1.RSH.NGA.22</t>
  </si>
  <si>
    <t>RSHNBRV222</t>
  </si>
  <si>
    <t>Natural Gas Boiler Radiant Ver 2.RSH.NGA.22</t>
  </si>
  <si>
    <t>RSHNBRV322</t>
  </si>
  <si>
    <t>Natural Gas Boiler Radiant Ver 3.RSH.NGA.22</t>
  </si>
  <si>
    <t>RSHNBRV422</t>
  </si>
  <si>
    <t>Natural Gas Boiler Radiant Ver 4.RSH.NGA.22</t>
  </si>
  <si>
    <t>RSHNBRV130</t>
  </si>
  <si>
    <t>Natural Gas Boiler Radiant Ver 1.RSH.NGA.30</t>
  </si>
  <si>
    <t>RSHNBRV230</t>
  </si>
  <si>
    <t>Natural Gas Boiler Radiant Ver 2.RSH.NGA.30</t>
  </si>
  <si>
    <t>RSHDRDBS15</t>
  </si>
  <si>
    <t>Distillate Radiant Base.RSH.DST.15</t>
  </si>
  <si>
    <t>RSHDRDBS20</t>
  </si>
  <si>
    <t>Distillate Radiant Ver1.RSH.DST.20</t>
  </si>
  <si>
    <t>RSHDRDV122</t>
  </si>
  <si>
    <t>Distillate Radiant Ver1.RSH.DST.22</t>
  </si>
  <si>
    <t>RSHDRDV222</t>
  </si>
  <si>
    <t>Distillate Radiant Ver2.RSH.DST.22</t>
  </si>
  <si>
    <t>RSHDRDV322</t>
  </si>
  <si>
    <t>Distillate Radiant Ver3.RSH.DST.22</t>
  </si>
  <si>
    <t>RSHDRDV422</t>
  </si>
  <si>
    <t>Distillate Radiant Ver4.RSH.DST.22</t>
  </si>
  <si>
    <t>RSHDRDV130</t>
  </si>
  <si>
    <t>Distillate Radiant Ver1.RSH.DST.30</t>
  </si>
  <si>
    <t>RSHDRDV230</t>
  </si>
  <si>
    <t>Distillate Radiant Ver2.RSH.DST.30</t>
  </si>
  <si>
    <t>RSHDFRBS15</t>
  </si>
  <si>
    <t>Distillate Furnace Base.RSH.DST.15</t>
  </si>
  <si>
    <t>RSHDFRBS20</t>
  </si>
  <si>
    <t>Distillate Furnace Base.RSH.DST.20</t>
  </si>
  <si>
    <t>RSHDFRV122</t>
  </si>
  <si>
    <t>Distillate Furnace Ver1.RSH.DST.22</t>
  </si>
  <si>
    <t>RSHDFRV222</t>
  </si>
  <si>
    <t>Distillate Furnace Ver2.RSH.DST.22</t>
  </si>
  <si>
    <t>RSHDFRV322</t>
  </si>
  <si>
    <t>Distillate Furnace Ver3.RSH.DST.22</t>
  </si>
  <si>
    <t>RSHDFRV422</t>
  </si>
  <si>
    <t>Distillate Furnace Ver4.RSH.DST.22</t>
  </si>
  <si>
    <t>RSHDFRV130</t>
  </si>
  <si>
    <t>Distillate Furnace Ver1.RSH.DST.30</t>
  </si>
  <si>
    <t>RSHDFRV230</t>
  </si>
  <si>
    <t>Distillate Furnace Ver2.RSH.DST.30</t>
  </si>
  <si>
    <t>RSCGHPBS15</t>
  </si>
  <si>
    <t>Ground Source Heat Pump Base.RSC.ELC.15</t>
  </si>
  <si>
    <t>RSCGHPBS20</t>
  </si>
  <si>
    <t>Ground Source  Heat Pump Base.RSC.ELC.20</t>
  </si>
  <si>
    <t>RSCGHPV122</t>
  </si>
  <si>
    <t>Ground Source Heat Pump Ver1.RSC.ELC.22</t>
  </si>
  <si>
    <t>RSCGHPV222</t>
  </si>
  <si>
    <t>Ground Source Heat Pump Ver2.RSC.ELC.22</t>
  </si>
  <si>
    <t>RSCGHPV322</t>
  </si>
  <si>
    <t>Ground Source Heat Pump Ver3.RSC.ELC.22</t>
  </si>
  <si>
    <t>RSCGHPV422</t>
  </si>
  <si>
    <t>Ground Source Heat Pump Ver4.RSC.ELC.22</t>
  </si>
  <si>
    <t>RSCGHPV130</t>
  </si>
  <si>
    <t>Ground Source Heat Pump Ver1.RSC.ELC.30</t>
  </si>
  <si>
    <t>RSCGHPV230</t>
  </si>
  <si>
    <t>Ground Source Heat Pump Ver2.RSC.ELC.30</t>
  </si>
  <si>
    <t>RSHNHPBS09</t>
  </si>
  <si>
    <t>Natural Gas Heat Pump Base.RSH.NGA.09</t>
  </si>
  <si>
    <t>RSHNHPBS20</t>
  </si>
  <si>
    <t>Natural Gas Heat Pump Base.RSH.NGA.20</t>
  </si>
  <si>
    <t>RSHNHPV122</t>
  </si>
  <si>
    <t>Natural Gas Heat Pump Ver1.RSH.NGA.22</t>
  </si>
  <si>
    <t>RSHNHPV130</t>
  </si>
  <si>
    <t>Natural Gas Heat Pump Ver1.RSH.NGA.30</t>
  </si>
  <si>
    <t>RSHNHPV140</t>
  </si>
  <si>
    <t>Natural Gas Heat Pump Ver1.RSH.NGA.40</t>
  </si>
  <si>
    <t>RSHNHPV150</t>
  </si>
  <si>
    <t>Natural Gas Heat Pump Ver1.RSH.NGA.50</t>
  </si>
  <si>
    <t>RSCRACBS15</t>
  </si>
  <si>
    <t>Room AC Base.RSC.ELC.15</t>
  </si>
  <si>
    <t>RSCRACBS20</t>
  </si>
  <si>
    <t>Room AC Base.RSC.ELC.20</t>
  </si>
  <si>
    <t>RSCRACV122</t>
  </si>
  <si>
    <t>Room AC Ver1.RSC.ELC.22</t>
  </si>
  <si>
    <t>RSCRACV222</t>
  </si>
  <si>
    <t>Room AC Ver2.RSC.ELC.22</t>
  </si>
  <si>
    <t>RSCRACV322</t>
  </si>
  <si>
    <t>Room AC Ver3.RSC.ELC.22</t>
  </si>
  <si>
    <t>RSCRACV422</t>
  </si>
  <si>
    <t>Room AC Ver4.RSC.ELC.22</t>
  </si>
  <si>
    <t>RSCCACBS15</t>
  </si>
  <si>
    <t>Central AC Base.RSC.ELC.15</t>
  </si>
  <si>
    <t>RSCCACBS20</t>
  </si>
  <si>
    <t>Central AC Base.RSC.ELC.20</t>
  </si>
  <si>
    <t>RSCCACV122</t>
  </si>
  <si>
    <t>Central AC Ver1.RSC.ELC.22</t>
  </si>
  <si>
    <t>RSCCACV222</t>
  </si>
  <si>
    <t>Central AC Ver2.RSC.ELC.22</t>
  </si>
  <si>
    <t>RSCCACV322</t>
  </si>
  <si>
    <t>Central AC Ver3.RSC.ELC.22</t>
  </si>
  <si>
    <t>RSCCACV422</t>
  </si>
  <si>
    <t>Central AC Ver4.RSC.ELC.22</t>
  </si>
  <si>
    <t>RSCCACV130</t>
  </si>
  <si>
    <t>Central AC Ver1.RSC.ELC.30</t>
  </si>
  <si>
    <t>RSCCACV230</t>
  </si>
  <si>
    <t>Central AC Ver2.RSC.ELC.30</t>
  </si>
  <si>
    <t>*Portable AC Units (EIA EQ: Residential Portable Air Conditioners Ver1 Base, Ver2 Energy Star, Ver3 Typical Short, Ver4 Typical Long, Ver5 High Short Ver6 High Long)</t>
  </si>
  <si>
    <t>RSCCACP115</t>
  </si>
  <si>
    <t>Portable AC Ver1.RSC.ELC.15</t>
  </si>
  <si>
    <t>RSCCACP120</t>
  </si>
  <si>
    <t>Portable AC Ver1.RSC.ELC.20</t>
  </si>
  <si>
    <t>RSCCACP122</t>
  </si>
  <si>
    <t>Portable AC Ver1.RSC.ELC.22</t>
  </si>
  <si>
    <t>RSCCACP222</t>
  </si>
  <si>
    <t>Portable AC Ver2.RSC.ELC.22</t>
  </si>
  <si>
    <t>RSCCACP125</t>
  </si>
  <si>
    <t>Portable AC Ver1.RSC.ELC.25</t>
  </si>
  <si>
    <t>RSCCACP225</t>
  </si>
  <si>
    <t>Portable AC Ver2.RSC.ELC.25</t>
  </si>
  <si>
    <t>*Electric Heat Pumps (EIA EQ: Residential Air Source Heat Pumps)</t>
  </si>
  <si>
    <t>RSCEHPBS15</t>
  </si>
  <si>
    <t>Electric Heat Pump Base.RSC.ELC.15</t>
  </si>
  <si>
    <t>RSCEHPB120</t>
  </si>
  <si>
    <t>Electric Heat Pump Base.RSC.ELC.20</t>
  </si>
  <si>
    <t>RSCEHPBS22</t>
  </si>
  <si>
    <t>Electric Heat Pump Base.RSC.ELC.22</t>
  </si>
  <si>
    <t>RSCEHPV122</t>
  </si>
  <si>
    <t>Electric Heat Pump Ver1.RSC.ELC.22</t>
  </si>
  <si>
    <t>RSCEHPV123</t>
  </si>
  <si>
    <t>Electric Heat Pump Ver1.RSC.ELC.23</t>
  </si>
  <si>
    <t>RSCEHPV223</t>
  </si>
  <si>
    <t>Electric Heat Pump Ver2.RSC.ELC.23</t>
  </si>
  <si>
    <t>RSCEHPV323</t>
  </si>
  <si>
    <t>Electric Heat Pump Ver3.RSC.ELC.23</t>
  </si>
  <si>
    <t>RSCEHPV130</t>
  </si>
  <si>
    <t>Electric Heat Pump Ver1.RSC.ELC.30</t>
  </si>
  <si>
    <t>RSCEHPV230</t>
  </si>
  <si>
    <t>Electric Heat Pump Ver2.RSC.ELC.30</t>
  </si>
  <si>
    <t>RSCEHPV140</t>
  </si>
  <si>
    <t>Electric Heat Pump Ver1.RSC.ELC.40</t>
  </si>
  <si>
    <t>RSCEHPV240</t>
  </si>
  <si>
    <t>Electric Heat Pump Ver2.RSC.ELC.40</t>
  </si>
  <si>
    <t>RSCEHPV150</t>
  </si>
  <si>
    <t>Electric Heat Pump Ver1.RSC.ELC.50</t>
  </si>
  <si>
    <t>RSCEHPV250</t>
  </si>
  <si>
    <t>Electric Heat Pump Ver2.RSC.ELC.50</t>
  </si>
  <si>
    <t>RWHNGSV115</t>
  </si>
  <si>
    <t>Natural Gas Ver1.RWH.NGA.15</t>
  </si>
  <si>
    <t>RWHNGSV120</t>
  </si>
  <si>
    <t>Natural Gas Ver1.RWH.NGA.20</t>
  </si>
  <si>
    <t>RWHNGSV122</t>
  </si>
  <si>
    <t>Natural Gas Ver1.RWH.NGA.22</t>
  </si>
  <si>
    <t>RWHNGSV222</t>
  </si>
  <si>
    <t>Natural Gas Ver2.RWH.NGA.22</t>
  </si>
  <si>
    <t>RWHNGSV322</t>
  </si>
  <si>
    <t>Natural Gas Ver3.RWH.NGA.22</t>
  </si>
  <si>
    <t>RWHNGSV422</t>
  </si>
  <si>
    <t>Natural Gas Ver4.RWH.NGA.22</t>
  </si>
  <si>
    <t>RWHNGSV423</t>
  </si>
  <si>
    <t>Natural Gas Ver5.RWH.NGA.23</t>
  </si>
  <si>
    <t>RWHNGSV130</t>
  </si>
  <si>
    <t>Natural Gas Ver1.RWH.NGA.30</t>
  </si>
  <si>
    <t>RWHNGSV230</t>
  </si>
  <si>
    <t>Natural Gas Ver2.RWH.NGA.30</t>
  </si>
  <si>
    <t>RWHNNGV140</t>
  </si>
  <si>
    <t>Natural Gas Ver1.RWH.NGA.40</t>
  </si>
  <si>
    <t>RWHNGSV240</t>
  </si>
  <si>
    <t>Natural Gas Ver2.RWH.NGA.40</t>
  </si>
  <si>
    <t>RWHNGSV150</t>
  </si>
  <si>
    <t>Natural Gas Ver1.RWH.NGA.50</t>
  </si>
  <si>
    <t>RWHNGSV250</t>
  </si>
  <si>
    <t>Natural Gas Ver2.RWH.NGA.50</t>
  </si>
  <si>
    <t>RWHEWHV115</t>
  </si>
  <si>
    <t>Electric Ver1.RWH.ELC.15</t>
  </si>
  <si>
    <t>RWHEWHV320</t>
  </si>
  <si>
    <t>Electric Ver3.RWH.ELC.20</t>
  </si>
  <si>
    <t>RWHEWHV520</t>
  </si>
  <si>
    <t>Electric Ver5.RWH.ELC.20</t>
  </si>
  <si>
    <t>RWHEWHV122</t>
  </si>
  <si>
    <t>Electric Ver1.RWH.ELC.22</t>
  </si>
  <si>
    <t>RWHEWHV222</t>
  </si>
  <si>
    <t>Electric Ver2.RWH.ELC.22</t>
  </si>
  <si>
    <t>RWHDSHV115</t>
  </si>
  <si>
    <t>Oil Ver1.RWH.DSH.15</t>
  </si>
  <si>
    <t>RWHDSHV120</t>
  </si>
  <si>
    <t>Oil Ver1.RWH.DSH.20</t>
  </si>
  <si>
    <t>RWHDSHV122</t>
  </si>
  <si>
    <t>Oil Ver1.RWH.DSH.22</t>
  </si>
  <si>
    <t>RWHDSHV222</t>
  </si>
  <si>
    <t>RWHDSHV322</t>
  </si>
  <si>
    <t>Oil Ver2.RWH.DSH.22</t>
  </si>
  <si>
    <t>RWHNGIV115</t>
  </si>
  <si>
    <t>Natural Gas Instant Ver1.RWH.NGA.15</t>
  </si>
  <si>
    <t>RWHNGIV120</t>
  </si>
  <si>
    <t>Natural Gas Instant Ver1.RWH.NGA.20</t>
  </si>
  <si>
    <t>RWHNGIV122</t>
  </si>
  <si>
    <t>Natural Gas Instant Ver1.RWH.NGA.22</t>
  </si>
  <si>
    <t>RWHNGIV222</t>
  </si>
  <si>
    <t>Natural Gas Instant Ver2.RWH.NGA.22</t>
  </si>
  <si>
    <t>RWHNGIV322</t>
  </si>
  <si>
    <t>Natural Gas Instant Ver3.RWH.NGA.22</t>
  </si>
  <si>
    <t>RWHNGIV123</t>
  </si>
  <si>
    <t>Natural Gas Instant Ver1.RWH.NGI.23</t>
  </si>
  <si>
    <t>RWHNGIV130</t>
  </si>
  <si>
    <t>Natural Gas Instant Ver1.RWH.NGA.30</t>
  </si>
  <si>
    <t>RWHNGIV230</t>
  </si>
  <si>
    <t>Natural Gas Instant Ver2.RWH.NGA.30</t>
  </si>
  <si>
    <t>RWHSWHV110</t>
  </si>
  <si>
    <t>Solar Ver1.RWH.ELC.10</t>
  </si>
  <si>
    <t>2010</t>
  </si>
  <si>
    <t>RWHSWHV115</t>
  </si>
  <si>
    <t>Solar Ver1.RWH.ELC.15</t>
  </si>
  <si>
    <t>RWHSWHV120</t>
  </si>
  <si>
    <t>Solar Ver1.RWH.ELC.20</t>
  </si>
  <si>
    <t>RWHSWHV122</t>
  </si>
  <si>
    <t>Solar Ver1.RWH.ELC.22</t>
  </si>
  <si>
    <t>RWHSWHV130</t>
  </si>
  <si>
    <t>Solar Ver1.RWH.ELC.30</t>
  </si>
  <si>
    <t>RWHSWHV140</t>
  </si>
  <si>
    <t>Solar Ver1.RWH.ELC.40</t>
  </si>
  <si>
    <t>RWHSWHV150</t>
  </si>
  <si>
    <t>Solar Ver1.RWH.ELC.50</t>
  </si>
  <si>
    <t>MA(ENT)</t>
  </si>
  <si>
    <t>OUT(DM)</t>
  </si>
  <si>
    <t>FIXOM</t>
  </si>
  <si>
    <t>DISCRATE</t>
  </si>
  <si>
    <t>RESID EPAUS9r 2010</t>
  </si>
  <si>
    <t>RESID EPAUS9r (%)</t>
  </si>
  <si>
    <t>Resid Total</t>
  </si>
  <si>
    <t>Demand Total</t>
  </si>
  <si>
    <t>RESID</t>
  </si>
  <si>
    <t>DEMAND</t>
  </si>
  <si>
    <t>BR</t>
  </si>
  <si>
    <t>BX</t>
  </si>
  <si>
    <t>MN</t>
  </si>
  <si>
    <t>SI</t>
  </si>
  <si>
    <t>QN</t>
  </si>
  <si>
    <t>*Electric Radiant</t>
  </si>
  <si>
    <t>R1,R2,R3,R4,R5,R6</t>
  </si>
  <si>
    <t>RSHERDBS05</t>
  </si>
  <si>
    <t>Electric Radiant Base.RSH.ELC.05</t>
  </si>
  <si>
    <t>2005</t>
  </si>
  <si>
    <t>*Electric Heat Pump</t>
  </si>
  <si>
    <t>Electric Heat Pump Base.RSH.ELC.05</t>
  </si>
  <si>
    <t>Electric Heat Pump Ver1.RSH.ELC.10</t>
  </si>
  <si>
    <t>Electric Heat Pump Ver1.RSH.ELC.15</t>
  </si>
  <si>
    <t>Electric Heat Pump Ver2.RSH.ELC.10</t>
  </si>
  <si>
    <t>Electric Heat Pump Ver2.RSH.ELC.15</t>
  </si>
  <si>
    <t>Electric Heat Pump Ver3.RSH.ELC.10</t>
  </si>
  <si>
    <t>Electric Heat Pump Ver3.RSH.ELC.15</t>
  </si>
  <si>
    <t>Electric Heat Pump Ver3.RSH.ELC.20</t>
  </si>
  <si>
    <t>Electric Heat Pump Ver3.RSH.ELC.30</t>
  </si>
  <si>
    <t>Electric Heat Pump Ver4.RSH.ELC.10</t>
  </si>
  <si>
    <t>Electric Heat Pump Ver4.RSH.ELC.20</t>
  </si>
  <si>
    <t>Electric Heat Pump Ver4.RSH.ELC.30</t>
  </si>
  <si>
    <t>Electric Heat Pump Ver4.RSH.ELC.35</t>
  </si>
  <si>
    <t>2035</t>
  </si>
  <si>
    <t>NGA</t>
  </si>
  <si>
    <t>*Natural Gas Furnace</t>
  </si>
  <si>
    <t>RSHNFRBS05</t>
  </si>
  <si>
    <t>Natural Gas Furnace Base.RSH.NGA.05</t>
  </si>
  <si>
    <t>RSHNFRV110</t>
  </si>
  <si>
    <t>Natural Gas Furnace Ver1.RSH.NGA.10</t>
  </si>
  <si>
    <t>RSHNFRV210</t>
  </si>
  <si>
    <t>Natural Gas Furnace Ver2.RSH.NGA.10</t>
  </si>
  <si>
    <t>RSHNFRV310</t>
  </si>
  <si>
    <t>Natural Gas Furnace Ver3.RSH.NGA.10</t>
  </si>
  <si>
    <t>RSHNFRV410</t>
  </si>
  <si>
    <t>Natural Gas Furnace Ver4.RSH.NGA.10</t>
  </si>
  <si>
    <t>RSHNFRV510</t>
  </si>
  <si>
    <t>Natural Gas Furnace Ver5.RSH.NGA.10</t>
  </si>
  <si>
    <t>*Natural Gas Radiant</t>
  </si>
  <si>
    <t>RSHNRDBS05</t>
  </si>
  <si>
    <t>Natural Gas Radiant Base.RSH.NGA.05</t>
  </si>
  <si>
    <t>RSHNRDV110</t>
  </si>
  <si>
    <t>Natural Gas Radiant Ver1.RSH.NGA.10</t>
  </si>
  <si>
    <t>RSHNRDV115</t>
  </si>
  <si>
    <t>Natural Gas Radiant Ver1.RSH.NGA.15</t>
  </si>
  <si>
    <t>RSHNRDV210</t>
  </si>
  <si>
    <t>Natural Gas Radiant Ver2.RSH.NGA.10</t>
  </si>
  <si>
    <t>RSHNRDV310</t>
  </si>
  <si>
    <t>Natural Gas Radiant Ver3.RSH.NGA.10</t>
  </si>
  <si>
    <t>DSL</t>
  </si>
  <si>
    <t>*Distillate Furnace</t>
  </si>
  <si>
    <t>RSHDFRBS05</t>
  </si>
  <si>
    <t>Distillate Furnace Base.RSH.DST.05</t>
  </si>
  <si>
    <t>RSHDFRV110</t>
  </si>
  <si>
    <t>Distillate Furnace Ver1.RSH.DST.10</t>
  </si>
  <si>
    <t>RSHDFRV115</t>
  </si>
  <si>
    <t>Distillate Furnace Ver1.RSH.DST.15</t>
  </si>
  <si>
    <t>RSHDFRV210</t>
  </si>
  <si>
    <t>Distillate Furnace Ver2.RSH.DST.10</t>
  </si>
  <si>
    <t>RSHDFRV310</t>
  </si>
  <si>
    <t>Distillate Furnace Ver3.RSH.DST.10</t>
  </si>
  <si>
    <t>*Distillate Radiant</t>
  </si>
  <si>
    <t>RSHDRDBS05</t>
  </si>
  <si>
    <t>Distillate Radiant Base.RSH.DST.05</t>
  </si>
  <si>
    <t>RSHDRDV110</t>
  </si>
  <si>
    <t>Distillate Radiant Ver1.RSH.DST.10</t>
  </si>
  <si>
    <t>RSHDRDV115</t>
  </si>
  <si>
    <t>Distillate Radiant Ver1.RSH.DST.15</t>
  </si>
  <si>
    <t>RSHDRDV210</t>
  </si>
  <si>
    <t>Distillate Radiant Ver2.RSH.DST.10</t>
  </si>
  <si>
    <t>RSHDRDV310</t>
  </si>
  <si>
    <t>Distillate Radiant Ver3.RSH.DST.10</t>
  </si>
  <si>
    <t>*Natural Gas Heat Pump</t>
  </si>
  <si>
    <t>Natural Gas Heat Pump Base.RSH.NGA.05</t>
  </si>
  <si>
    <t>Natural Gas Heat Pump Ver1.RSH.NGA.10</t>
  </si>
  <si>
    <t>Natural Gas Heat Pump Ver1.RSH.NGA.20</t>
  </si>
  <si>
    <t>*Room AC</t>
  </si>
  <si>
    <t>RSCRACBS05</t>
  </si>
  <si>
    <t>Room AC Base.RSC.ELC.05</t>
  </si>
  <si>
    <t>RSCRACV110</t>
  </si>
  <si>
    <t>Room AC Ver1.RSC.ELC.10</t>
  </si>
  <si>
    <t>RSCRACV210</t>
  </si>
  <si>
    <t>Room AC Ver2.RSC.ELC.10</t>
  </si>
  <si>
    <t>RSCRACV215</t>
  </si>
  <si>
    <t>Room AC Ver2.RSC.ELC.15</t>
  </si>
  <si>
    <t>RSCRACV230</t>
  </si>
  <si>
    <t>Room AC Ver2.RSC.ELC.30</t>
  </si>
  <si>
    <t>RSCRACV310</t>
  </si>
  <si>
    <t>Room AC Ver3.RSC.ELC.10</t>
  </si>
  <si>
    <t>RSCRACV320</t>
  </si>
  <si>
    <t>Room AC Ver3.RSC.ELC.20</t>
  </si>
  <si>
    <t>*Central AC</t>
  </si>
  <si>
    <t>RSCCACBS05</t>
  </si>
  <si>
    <t>Central AC Base.RSC.ELC.05</t>
  </si>
  <si>
    <t>RSCCACV110</t>
  </si>
  <si>
    <t>Central AC Ver1.RSC.ELC.10</t>
  </si>
  <si>
    <t>R5,R6,R7,R9</t>
  </si>
  <si>
    <t>RSCCACV115</t>
  </si>
  <si>
    <t>Central AC Ver1.RSC.ELC.15</t>
  </si>
  <si>
    <t>RSCCACV220</t>
  </si>
  <si>
    <t>Central AC Ver2.RSC.ELC.20</t>
  </si>
  <si>
    <t>RSCCACV310</t>
  </si>
  <si>
    <t xml:space="preserve">Central AC Ver3.RSC.ELC.10 </t>
  </si>
  <si>
    <t>RSCCACV320</t>
  </si>
  <si>
    <t>Central AC Ver3.RSC.ELC.20</t>
  </si>
  <si>
    <t>RSCCACV410</t>
  </si>
  <si>
    <t>Central AC Ver4.RSC.ELC.10</t>
  </si>
  <si>
    <t>RSCCACV415</t>
  </si>
  <si>
    <t>Central AC Ver4.RSC.ELC.15</t>
  </si>
  <si>
    <t>RSCCACV420</t>
  </si>
  <si>
    <t>Central AC Ver4.RSC.ELC.20</t>
  </si>
  <si>
    <t>Electric Heat Pump Base.RSC.ELC.05</t>
  </si>
  <si>
    <t>Electric Heat Pump Ver1.RSC.ELC.10</t>
  </si>
  <si>
    <t>Electric Heat Pump Ver1.RSC.ELC.15</t>
  </si>
  <si>
    <t>Electric Heat Pump Ver2.RSC.ELC.10</t>
  </si>
  <si>
    <t>Electric Heat Pump Ver2.RSC.ELC.15</t>
  </si>
  <si>
    <t>Electric Heat Pump Ver3.RSC.ELC.10</t>
  </si>
  <si>
    <t>Electric Heat Pump Ver3.RSC.ELC.15</t>
  </si>
  <si>
    <t>Electric Heat Pump Ver3.RSC.ELC.20</t>
  </si>
  <si>
    <t>Electric Heat Pump Ver3.RSC.ELC.30</t>
  </si>
  <si>
    <t>Electric Heat Pump Ver4.RSC.ELC.10</t>
  </si>
  <si>
    <t>Electric Heat Pump Ver4.RSC.ELC.20</t>
  </si>
  <si>
    <t>Electric Heat Pump Ver4.RSC.ELC.30</t>
  </si>
  <si>
    <t>Electric Heat Pump Ver4.RSC.ELC.35</t>
  </si>
  <si>
    <t>Natural Gas Heat Pump Base.RSC.NGA.05</t>
  </si>
  <si>
    <t>Natural Gas Heat Pump Ver1.RSC.NGA.10</t>
  </si>
  <si>
    <t>Natural Gas Heat Pump Ver1.RSC.NGA.20</t>
  </si>
  <si>
    <t>RWHNWHBS05</t>
  </si>
  <si>
    <t>Natural Gas Base.RWH.NGA.05</t>
  </si>
  <si>
    <t>RWHNWHV110</t>
  </si>
  <si>
    <t>Natural Gas Ver1.RWH.NGA.10</t>
  </si>
  <si>
    <t>RWHNWHV115</t>
  </si>
  <si>
    <t>RWHNWHV210</t>
  </si>
  <si>
    <t>Natural Gas Ver2.RWH.NGA.10</t>
  </si>
  <si>
    <t>RWHNWHV310</t>
  </si>
  <si>
    <t>Natural Gas Ver3.RWH.NGA.10</t>
  </si>
  <si>
    <t>RWHNWHV320</t>
  </si>
  <si>
    <t>Natural Gas Ver3.RWH.NGA.20</t>
  </si>
  <si>
    <t>RWHNWHV410</t>
  </si>
  <si>
    <t>Natural Gas Ver4.RWH.NGA.10</t>
  </si>
  <si>
    <t>RWHEWHBS05</t>
  </si>
  <si>
    <t>Electric Base.RWH.ELC.05</t>
  </si>
  <si>
    <t>RWHEWHV110</t>
  </si>
  <si>
    <t>Electric Ver1.RWH.ELC.10</t>
  </si>
  <si>
    <t>RWHEWHV210</t>
  </si>
  <si>
    <t>Electric Ver2.RWH.ELC.10</t>
  </si>
  <si>
    <t>RWHEWHV215</t>
  </si>
  <si>
    <t>Electric Ver2.RWH.ELC.15</t>
  </si>
  <si>
    <t>RWHEWHV310</t>
  </si>
  <si>
    <t>Electric Ver3.RWH.ELC.10</t>
  </si>
  <si>
    <t>RWHEWHV410</t>
  </si>
  <si>
    <t>Electric Ver4.RWH.ELC.10</t>
  </si>
  <si>
    <t>RWHEWHV420</t>
  </si>
  <si>
    <t>Electric Ver4.RWH.ELC.20</t>
  </si>
  <si>
    <t>RWHEWHV510</t>
  </si>
  <si>
    <t>Electric Ver5.RWH.ELC.10</t>
  </si>
  <si>
    <t>RWHDWHBS05</t>
  </si>
  <si>
    <t>Distillate Base.RWH.DSL.05</t>
  </si>
  <si>
    <t>RWHDWHV110</t>
  </si>
  <si>
    <t>Distillate Ver1.RWH.DSL.10</t>
  </si>
  <si>
    <t>RWHDWHV210</t>
  </si>
  <si>
    <t>Distillate Ver2.RWH.DSL.10</t>
  </si>
  <si>
    <t>RWHDWHV310</t>
  </si>
  <si>
    <t>Distillate Ver3.RWH.DSL.10</t>
  </si>
  <si>
    <t>ROTHCELC</t>
  </si>
  <si>
    <t>Regional Demand Projections</t>
  </si>
  <si>
    <t>Regional Cooling Demand PJ/a</t>
  </si>
  <si>
    <t>= cooling coefficient * sq ft of AC housing space * CDD</t>
  </si>
  <si>
    <t>R1</t>
  </si>
  <si>
    <t>NE</t>
  </si>
  <si>
    <t>New England</t>
  </si>
  <si>
    <t>West North Central</t>
  </si>
  <si>
    <t>R8</t>
  </si>
  <si>
    <t>M</t>
  </si>
  <si>
    <t>Mountain</t>
  </si>
  <si>
    <t>R9</t>
  </si>
  <si>
    <t>P</t>
  </si>
  <si>
    <t>Pacific</t>
  </si>
  <si>
    <t>Total NYC</t>
  </si>
  <si>
    <t>Cooling demand can be changed through population (Pop:C4-N12) or cooling degree days(ResCalc:I37-I45) or Housholds without AC (ResCalc:C125-N133)</t>
  </si>
  <si>
    <t>Regional Heating Demand PJ/a</t>
  </si>
  <si>
    <t>= heating coefficient * sq ft of heated housing space * HDD</t>
  </si>
  <si>
    <t>Heating demand can be changed through population (Pop:C4-N12) or heating degree days(ResCalc:J37-J45)</t>
  </si>
  <si>
    <t>Regional Refrigeration Demand million units/yr</t>
  </si>
  <si>
    <t>= # households * # refrigerators/household</t>
  </si>
  <si>
    <t>MA</t>
  </si>
  <si>
    <t>Middle Atlantic</t>
  </si>
  <si>
    <t>SA</t>
  </si>
  <si>
    <t>South Atlantic</t>
  </si>
  <si>
    <t>ESC</t>
  </si>
  <si>
    <t>East South Central</t>
  </si>
  <si>
    <t>ENC</t>
  </si>
  <si>
    <t>East North Central</t>
  </si>
  <si>
    <t>WSC</t>
  </si>
  <si>
    <t>West South Central</t>
  </si>
  <si>
    <t>WNC</t>
  </si>
  <si>
    <t>Total US</t>
  </si>
  <si>
    <t>Check From AEO data</t>
  </si>
  <si>
    <t>Regional Freezer Demand million units/yr</t>
  </si>
  <si>
    <t>= # households * # freezers/household</t>
  </si>
  <si>
    <t>Regional Lighting Demand billion lumens/yr</t>
  </si>
  <si>
    <t>= Nat'l lighting demand * Regional % of total households</t>
  </si>
  <si>
    <t>Regional Miscellaneous Electric Demand PJ/a</t>
  </si>
  <si>
    <t>= Nat'l misc electric demand * Regional % of total households</t>
  </si>
  <si>
    <t>Regional Miscellaneous Gas Demand PJ/a</t>
  </si>
  <si>
    <t>= Nat'l misc NG demand * Regional % of total households</t>
  </si>
  <si>
    <t>Regional Miscellaneous LPG Demand PJ/a</t>
  </si>
  <si>
    <t>Regional Water Heating Demand PJ/a</t>
  </si>
  <si>
    <t>= Nat'l water heating demand * Regional % of total households</t>
  </si>
  <si>
    <t>Seasonal Distribution of Heating and Cooling Loads</t>
  </si>
  <si>
    <t>Data (10 year average for 1998-2008) from NOAA's Historical Climatography Series  No. 5.1 (HDD) and 5.2 (CDD)</t>
  </si>
  <si>
    <t>Summer</t>
  </si>
  <si>
    <t>Intermediate</t>
  </si>
  <si>
    <t>Winter</t>
  </si>
  <si>
    <t>MARKAL #</t>
  </si>
  <si>
    <t>Degree Day</t>
  </si>
  <si>
    <t>Jun</t>
  </si>
  <si>
    <t>Jul</t>
  </si>
  <si>
    <t>Aug</t>
  </si>
  <si>
    <t>Sept</t>
  </si>
  <si>
    <t>Oct</t>
  </si>
  <si>
    <t>Nov</t>
  </si>
  <si>
    <t>Dec</t>
  </si>
  <si>
    <t>Jan</t>
  </si>
  <si>
    <t>Feb</t>
  </si>
  <si>
    <t>Mar</t>
  </si>
  <si>
    <t>Apr</t>
  </si>
  <si>
    <t>May</t>
  </si>
  <si>
    <t>HDD</t>
  </si>
  <si>
    <t>CDD</t>
  </si>
  <si>
    <t>Day</t>
  </si>
  <si>
    <t>Night</t>
  </si>
  <si>
    <t>Residential</t>
  </si>
  <si>
    <t>For Cooling degree days assume that day/night load distribution is 70%/30%.</t>
  </si>
  <si>
    <t>In winter, assume CDD distribution is 80%/20%.</t>
  </si>
  <si>
    <t>For Heating degree days assume the day night distribution is 45%/55%.</t>
  </si>
  <si>
    <t>In summer, assume the HDD day/night distribution is 20%/80%</t>
  </si>
  <si>
    <t>* AEO2014 Data (2011 used to approximate 2010 because previous reports with 2010 data were significantly different)</t>
  </si>
  <si>
    <t>Heating Degree Days</t>
  </si>
  <si>
    <t>Heating and Cooling Degree Days</t>
  </si>
  <si>
    <t>In Calculations</t>
  </si>
  <si>
    <t>   New England</t>
  </si>
  <si>
    <t>CDD*</t>
  </si>
  <si>
    <t>HDD*</t>
  </si>
  <si>
    <t>Ratio C/H</t>
  </si>
  <si>
    <t>   Middle Atlantic</t>
  </si>
  <si>
    <t>   East North Central</t>
  </si>
  <si>
    <t>   West North Central</t>
  </si>
  <si>
    <t>   South Atlantic</t>
  </si>
  <si>
    <t>   East South Central</t>
  </si>
  <si>
    <t>   West South Central</t>
  </si>
  <si>
    <t>   Mountain</t>
  </si>
  <si>
    <t>   Pacific</t>
  </si>
  <si>
    <t>      United States</t>
  </si>
  <si>
    <t>*Data from 10yrAVG.xls</t>
  </si>
  <si>
    <t>Total</t>
  </si>
  <si>
    <t>Cooling Degree Days</t>
  </si>
  <si>
    <t>10-yr average (1998-2008) weighted by XXXX population.</t>
  </si>
  <si>
    <t>AEO 2014</t>
  </si>
  <si>
    <t>Table 4.  Residential Sector Key Indicators and Consumption</t>
  </si>
  <si>
    <t>(quadrillion Btu, unless otherwise noted)</t>
  </si>
  <si>
    <t xml:space="preserve"> Key Indicators and Consumption</t>
  </si>
  <si>
    <t>Key Indicators</t>
  </si>
  <si>
    <t xml:space="preserve"> Households (millions)</t>
  </si>
  <si>
    <t xml:space="preserve">   Single-Family</t>
  </si>
  <si>
    <t xml:space="preserve">   Multifamily</t>
  </si>
  <si>
    <t xml:space="preserve">   Mobile Homes</t>
  </si>
  <si>
    <t xml:space="preserve">     Total</t>
  </si>
  <si>
    <t xml:space="preserve"> Average House Square Footage</t>
  </si>
  <si>
    <t>Ave persons per household</t>
  </si>
  <si>
    <t>Average House Square Footage</t>
  </si>
  <si>
    <t>Households per Region in calculations (based on Population at top of Pop Worksheet)</t>
  </si>
  <si>
    <t>HDD and CDD adjustment factors based on population impacts on national HDD and CDD</t>
  </si>
  <si>
    <t>NYC CDD</t>
  </si>
  <si>
    <t>NYC HDD</t>
  </si>
  <si>
    <t>Heating and Cooling Coefficients</t>
  </si>
  <si>
    <t>Adjustments based on population shifts through time</t>
  </si>
  <si>
    <t>CDD adjustment</t>
  </si>
  <si>
    <t>HDD adjustment</t>
  </si>
  <si>
    <t>Housing cooling coefficient (BTU per sqft per CDD)</t>
  </si>
  <si>
    <t>Housing heating coefficient (BTU per sqft per HDD)</t>
  </si>
  <si>
    <t>RECS Air-Conditioning Usage by Census Region</t>
  </si>
  <si>
    <t>Household (%) with no AC</t>
  </si>
  <si>
    <t>Change</t>
  </si>
  <si>
    <t>annual</t>
  </si>
  <si>
    <t>1/2 of annual</t>
  </si>
  <si>
    <t>Lower bound*</t>
  </si>
  <si>
    <t>US</t>
  </si>
  <si>
    <t>* Lower bounds estimated at 20% of the population for the northern states of the region.</t>
  </si>
  <si>
    <t xml:space="preserve">Projected Fraction of Households with no AC using rates (O64-74) and lower bounds (P64-74) </t>
  </si>
  <si>
    <t>Refrigerator and Freezer Distribution</t>
  </si>
  <si>
    <t>2000 Data based year 2001 from Table 2.6  Annual Energy Review 2005</t>
  </si>
  <si>
    <t>Refrigeration Distribution in Households extrapolated</t>
  </si>
  <si>
    <t>Percent of Households</t>
  </si>
  <si>
    <t>One Refrigerator</t>
  </si>
  <si>
    <t>Two or More</t>
  </si>
  <si>
    <t>Separate Freezer</t>
  </si>
  <si>
    <t>Rate of change 1980-2001</t>
  </si>
  <si>
    <t>1987-2001</t>
  </si>
  <si>
    <t>Yearly rate</t>
  </si>
  <si>
    <t>Average household misc. electric use</t>
  </si>
  <si>
    <t>Average household misc. gas use</t>
  </si>
  <si>
    <t>Average household misc. LPG use</t>
  </si>
  <si>
    <t xml:space="preserve">Average household water heating </t>
  </si>
  <si>
    <t>Household (%) with 2 or more Refrig</t>
  </si>
  <si>
    <t>Hholds 2001</t>
  </si>
  <si>
    <t>Wtd Average</t>
  </si>
  <si>
    <t>Household (%) with separate Freezer</t>
  </si>
  <si>
    <t>M Units 2001</t>
  </si>
  <si>
    <t>Converted to Fractions</t>
  </si>
  <si>
    <t>Residential Sector - AEO National Demands</t>
  </si>
  <si>
    <t>Demand, PJ/a or mu/a</t>
  </si>
  <si>
    <t>Description</t>
  </si>
  <si>
    <t>RC</t>
  </si>
  <si>
    <t>Residential space cooling</t>
  </si>
  <si>
    <t>1 quad=</t>
  </si>
  <si>
    <t>RF</t>
  </si>
  <si>
    <t>Residential freezers</t>
  </si>
  <si>
    <t>RH</t>
  </si>
  <si>
    <t>Residential space heating</t>
  </si>
  <si>
    <t>RL</t>
  </si>
  <si>
    <t>Residential lighting</t>
  </si>
  <si>
    <t>RME</t>
  </si>
  <si>
    <t>Residential miscellaneous electric</t>
  </si>
  <si>
    <t>RMG</t>
  </si>
  <si>
    <t>Residential miscellaneous gas</t>
  </si>
  <si>
    <t>RML</t>
  </si>
  <si>
    <t>Residential miscellaneous LPG</t>
  </si>
  <si>
    <t>RR</t>
  </si>
  <si>
    <t>Residential refrigeration</t>
  </si>
  <si>
    <t>RW</t>
  </si>
  <si>
    <t>Residential water heating</t>
  </si>
  <si>
    <t xml:space="preserve">* (1) 2010 data is changed to the value provided by NYC gov. and increased by AEO projection </t>
  </si>
  <si>
    <t>WH</t>
  </si>
  <si>
    <t>Residential Delivered (Final) Energy Projections, Quads  (AEO T.4: Residential Key Indicators - Delivered Energy Consumption)</t>
  </si>
  <si>
    <t>RMN</t>
  </si>
  <si>
    <t>Residential miscellaneous nat gas</t>
  </si>
  <si>
    <t>Total Residential Demand</t>
  </si>
  <si>
    <t>Residential Energy Service Demand Projections, Quads</t>
  </si>
  <si>
    <t>Ave space heating efficiency</t>
  </si>
  <si>
    <t>(%change for US demand)</t>
  </si>
  <si>
    <t>Ave water heating efficiency</t>
  </si>
  <si>
    <t>Ave refrigeration efficiency</t>
  </si>
  <si>
    <t>Ave misc electric efficiency</t>
  </si>
  <si>
    <t>Ave freezer efficiency</t>
  </si>
  <si>
    <t>Ave misc gas efficiency</t>
  </si>
  <si>
    <t>Ave space cooling efficiency</t>
  </si>
  <si>
    <t xml:space="preserve">Total Residential Demand </t>
  </si>
  <si>
    <t>Lighting</t>
  </si>
  <si>
    <t>bn-lm yr/PJ demand</t>
  </si>
  <si>
    <t>bn-lm yr demand in 2010</t>
  </si>
  <si>
    <t>lm-yr/HH/sqft</t>
  </si>
  <si>
    <t>Incandescent</t>
  </si>
  <si>
    <t>CFL</t>
  </si>
  <si>
    <t>LFL</t>
  </si>
  <si>
    <t>Reflector</t>
  </si>
  <si>
    <t>Exterior</t>
  </si>
  <si>
    <t>ResidNYC!Q120</t>
  </si>
  <si>
    <t>From EIA 1993 Residential Energy Consumption lighting study</t>
  </si>
  <si>
    <t>Survey indicates that 40% of the lighting hours are for kitchen and bathroom. Assume about 2/3rds is during the day for these rooms.</t>
  </si>
  <si>
    <t>Space Heating Demand by Fuel</t>
  </si>
  <si>
    <t>Electricity</t>
  </si>
  <si>
    <t>Natural Gas</t>
  </si>
  <si>
    <t>Distillate</t>
  </si>
  <si>
    <t>LPG</t>
  </si>
  <si>
    <t>Wood</t>
  </si>
  <si>
    <t>Kerosene</t>
  </si>
  <si>
    <t>Water Heating Demand by Fuel</t>
  </si>
  <si>
    <t>Average</t>
  </si>
  <si>
    <t>AEO 2012 Residential Sector Key Indicators and Consumption, Reference case</t>
  </si>
  <si>
    <t xml:space="preserve"> Energy Intensity</t>
  </si>
  <si>
    <t xml:space="preserve"> (million Btu per household)</t>
  </si>
  <si>
    <t xml:space="preserve">  Delivered Energy Consumption</t>
  </si>
  <si>
    <t xml:space="preserve">  Total Energy Consumption</t>
  </si>
  <si>
    <t xml:space="preserve"> (thousand Btu per square foot)</t>
  </si>
  <si>
    <t>Delivered Energy Consumption by Fuel</t>
  </si>
  <si>
    <t xml:space="preserve"> Electricity</t>
  </si>
  <si>
    <t xml:space="preserve">   Space Heating</t>
  </si>
  <si>
    <t>Heating and Cooling Degree Days / Demand Intensity</t>
  </si>
  <si>
    <t xml:space="preserve">   Space Cooling</t>
  </si>
  <si>
    <t xml:space="preserve">   Water Heating</t>
  </si>
  <si>
    <t>Building heating coefficient</t>
  </si>
  <si>
    <t>PJ/ft2-DD-yr</t>
  </si>
  <si>
    <t xml:space="preserve">   Refrigeration</t>
  </si>
  <si>
    <t>Building cooling coefficient</t>
  </si>
  <si>
    <t xml:space="preserve">   Cooking</t>
  </si>
  <si>
    <t xml:space="preserve">   Clothes Dryers</t>
  </si>
  <si>
    <t>Total Demand (PJ) per million sqft</t>
  </si>
  <si>
    <t xml:space="preserve">   Freezers</t>
  </si>
  <si>
    <t>Refrigeration</t>
  </si>
  <si>
    <t xml:space="preserve">   Lighting</t>
  </si>
  <si>
    <t>Freezing</t>
  </si>
  <si>
    <t xml:space="preserve">   Clothes Washers 1/</t>
  </si>
  <si>
    <t xml:space="preserve">   Dishwashers 1/</t>
  </si>
  <si>
    <t>Water heating</t>
  </si>
  <si>
    <t xml:space="preserve">   Color Televisions</t>
  </si>
  <si>
    <t>Residential Miscellaneous - Electricity</t>
  </si>
  <si>
    <t xml:space="preserve">   Personal Computers</t>
  </si>
  <si>
    <t>Residential Miscellaneous - Natural gas</t>
  </si>
  <si>
    <t xml:space="preserve">   Furnace Fans</t>
  </si>
  <si>
    <t>Residential Miscellaneous - LPG</t>
  </si>
  <si>
    <t xml:space="preserve">   Other Uses 2/</t>
  </si>
  <si>
    <t xml:space="preserve">     Delivered Energy</t>
  </si>
  <si>
    <t xml:space="preserve"> Natural Gas</t>
  </si>
  <si>
    <t xml:space="preserve">   Other</t>
  </si>
  <si>
    <t xml:space="preserve"> Distillate</t>
  </si>
  <si>
    <t xml:space="preserve"> Liquefied Petroleum Gas</t>
  </si>
  <si>
    <t xml:space="preserve">   Other Uses 3/</t>
  </si>
  <si>
    <t xml:space="preserve"> Marketed Renewables (wood) 5/</t>
  </si>
  <si>
    <t xml:space="preserve"> Other Fuels 6/</t>
  </si>
  <si>
    <t>Delivered Energy Consumption by End-Use</t>
  </si>
  <si>
    <t xml:space="preserve"> Space Heating</t>
  </si>
  <si>
    <t xml:space="preserve"> Space Cooling</t>
  </si>
  <si>
    <t xml:space="preserve"> Water Heating</t>
  </si>
  <si>
    <t xml:space="preserve"> Refrigeration</t>
  </si>
  <si>
    <t xml:space="preserve"> Cooking </t>
  </si>
  <si>
    <t xml:space="preserve"> Clothes Dryers </t>
  </si>
  <si>
    <t xml:space="preserve"> Freezers</t>
  </si>
  <si>
    <t xml:space="preserve"> Lighting</t>
  </si>
  <si>
    <t xml:space="preserve"> Clothes Washers</t>
  </si>
  <si>
    <t xml:space="preserve"> Dishwashers</t>
  </si>
  <si>
    <t xml:space="preserve"> Color Televisions</t>
  </si>
  <si>
    <t xml:space="preserve"> Personal Computers</t>
  </si>
  <si>
    <t xml:space="preserve"> Furnace Fans </t>
  </si>
  <si>
    <t xml:space="preserve"> Other Uses 7/ </t>
  </si>
  <si>
    <t xml:space="preserve">   Total Delivered Energy</t>
  </si>
  <si>
    <t>Electricity Related Losses</t>
  </si>
  <si>
    <t>Total Energy Consumption by End-Use</t>
  </si>
  <si>
    <t xml:space="preserve"> Cooking</t>
  </si>
  <si>
    <t xml:space="preserve"> Clothes Dryers</t>
  </si>
  <si>
    <t xml:space="preserve"> Furnace Fans</t>
  </si>
  <si>
    <t xml:space="preserve"> Other Uses 7/</t>
  </si>
  <si>
    <t xml:space="preserve">   Total</t>
  </si>
  <si>
    <t>Non-Marketed Renewables</t>
  </si>
  <si>
    <t xml:space="preserve">  Geothermal Heat Pumps</t>
  </si>
  <si>
    <t xml:space="preserve">  Solar Hot Water Heating</t>
  </si>
  <si>
    <t xml:space="preserve">  Solar Photovoltaic</t>
  </si>
  <si>
    <t xml:space="preserve">  Wind</t>
  </si>
  <si>
    <t>Electric share of total to electric and gas</t>
  </si>
  <si>
    <t xml:space="preserve"> Other Uses</t>
  </si>
  <si>
    <t>Annual</t>
  </si>
  <si>
    <t>AEO 2012 Residential Sector Equipment Stock and Efficiency, Reference case</t>
  </si>
  <si>
    <t>Equipment Stock (million units)</t>
  </si>
  <si>
    <t xml:space="preserve"> Main Space Heaters</t>
  </si>
  <si>
    <t xml:space="preserve">   Electric Heat Pumps</t>
  </si>
  <si>
    <t xml:space="preserve">   Electric Other</t>
  </si>
  <si>
    <t xml:space="preserve">   Natural Gas Heat Pumps</t>
  </si>
  <si>
    <t xml:space="preserve">   Natural Gas Other</t>
  </si>
  <si>
    <t xml:space="preserve">   Distillate</t>
  </si>
  <si>
    <t xml:space="preserve">   Liquefied Petroleum Gas</t>
  </si>
  <si>
    <t xml:space="preserve">   Kerosene</t>
  </si>
  <si>
    <t xml:space="preserve">   Wood Stoves</t>
  </si>
  <si>
    <t xml:space="preserve">   Geothermal Heat Pumps</t>
  </si>
  <si>
    <t xml:space="preserve"> Space Cooling (million units)</t>
  </si>
  <si>
    <t xml:space="preserve">   Central Air Conditioners</t>
  </si>
  <si>
    <t xml:space="preserve">   Room Air Conditioners</t>
  </si>
  <si>
    <t xml:space="preserve"> Water Heaters (million units)</t>
  </si>
  <si>
    <t xml:space="preserve">   Electric</t>
  </si>
  <si>
    <t xml:space="preserve">   Natural Gas</t>
  </si>
  <si>
    <t xml:space="preserve">   Solar Thermal</t>
  </si>
  <si>
    <t xml:space="preserve"> Cooking Equipment (million units) 1/</t>
  </si>
  <si>
    <t xml:space="preserve"> Clothes Dryers (million units)</t>
  </si>
  <si>
    <t xml:space="preserve"> Other Appliances (million units)</t>
  </si>
  <si>
    <t xml:space="preserve">   Refrigerators</t>
  </si>
  <si>
    <t>Stock Average Equipment Efficiency</t>
  </si>
  <si>
    <t xml:space="preserve">   Electric Heat Pumps (HSPF)</t>
  </si>
  <si>
    <t xml:space="preserve">   Electric Heat Pumps (COP)</t>
  </si>
  <si>
    <t>Equipment Efficiency growth is determined by taking the weighted efficiency in 2005 calculated by using the RESIDs and their efficiencies and multiplying out be the Stock Avg Efficiency Change from AEO</t>
  </si>
  <si>
    <t xml:space="preserve">   Natural Gas Heat Pumps (GCOP)</t>
  </si>
  <si>
    <t xml:space="preserve">   Geothermal Heat Pumps (COP)</t>
  </si>
  <si>
    <t xml:space="preserve">   Natural Gas Furnace (AFUE)</t>
  </si>
  <si>
    <t xml:space="preserve">   Distillate Furnace (AFUE)</t>
  </si>
  <si>
    <t>Wtd. Average end-use efficiency</t>
  </si>
  <si>
    <t xml:space="preserve">   Electric Heat Pumps (SEER)</t>
  </si>
  <si>
    <t xml:space="preserve">   Geothermal Heat Pumps (EER)</t>
  </si>
  <si>
    <t xml:space="preserve">   Cent. Air Conditioners (SEER)</t>
  </si>
  <si>
    <t xml:space="preserve">   Cent. Air Conditioners (COP)</t>
  </si>
  <si>
    <t xml:space="preserve">   Room Air Conditioners (EER)</t>
  </si>
  <si>
    <t xml:space="preserve">   Room Air Conditioners (COP)</t>
  </si>
  <si>
    <t>Heat Pump Cooling/Heating</t>
  </si>
  <si>
    <t xml:space="preserve"> Water Heaters</t>
  </si>
  <si>
    <t xml:space="preserve">   Electric (EF)</t>
  </si>
  <si>
    <t xml:space="preserve">   Natural Gas (EF)</t>
  </si>
  <si>
    <t xml:space="preserve">   Distillate (EF)</t>
  </si>
  <si>
    <t xml:space="preserve">   Liquefied Petroleum Gas (EF)</t>
  </si>
  <si>
    <t xml:space="preserve"> Other Appliances (kilowatthours per year) 2/</t>
  </si>
  <si>
    <t>Building Shell Efficiency Index 3/</t>
  </si>
  <si>
    <t xml:space="preserve">   Pre-2005 Homes</t>
  </si>
  <si>
    <t xml:space="preserve">   New Construction</t>
  </si>
  <si>
    <t xml:space="preserve">     All Homes</t>
  </si>
  <si>
    <t>    1/ Does not include microwave ovens or outdoor grills.</t>
  </si>
  <si>
    <t>    2/ Kilowatthours per year to run the appliance under certain test conditions as specified by the Department of Energy.</t>
  </si>
  <si>
    <t>    3/ The building shell efficiency index sets the heating and cooling value at 1.00 for an average</t>
  </si>
  <si>
    <t>home in 2005 (by type) in each Census division.  The values listed for New Construction</t>
  </si>
  <si>
    <t>represent the change in heating and cooling load based on the difference in physical size and shell</t>
  </si>
  <si>
    <t>attributes for a newly-constructed home (by type and Census division).  As an example, a value of 1.05</t>
  </si>
  <si>
    <t>for cooling in the New Construction row equates to a cooling load 5 percent greater than the 2005 stock,</t>
  </si>
  <si>
    <t>after accounting for the physical size difference and efficiency gains from better insulation and windows.</t>
  </si>
  <si>
    <t>    HSPF = Heating Seasonal Performance Factor:  The total heating output of a heat pump in Btu during its normal annual usage</t>
  </si>
  <si>
    <t>period for heating divided by total electric input in watt-hours during the same period.</t>
  </si>
  <si>
    <t>    COP  = Coefficient of Performance:  Energy efficiency rating measure determined, under specific testing conditions, by</t>
  </si>
  <si>
    <t>dividing the energy output by the energy input.</t>
  </si>
  <si>
    <t>    GCOP = Gas Coefficient of Performance:  Energy efficiency rating measure determined, under specific testing conditions,</t>
  </si>
  <si>
    <t>by dividing the energy output by the energy input.</t>
  </si>
  <si>
    <t>    AFUE = Annual Fuel Utilization Efficiency:  Efficiency rating based on average usage, including on and off cycling, as set</t>
  </si>
  <si>
    <t>out in the standardized Department of Energy test procedures.</t>
  </si>
  <si>
    <t>    SEER = Seasonal Energy Efficiency Ratio:  The total cooling of a central unitary air conditioner or a unitary heat pump in</t>
  </si>
  <si>
    <t>Btu during its normal annual usage period for cooling divided by the total electric energy input in watt-hours during the same</t>
  </si>
  <si>
    <t>period.</t>
  </si>
  <si>
    <t>    EER = Energy Efficiency Ratio:  A ratio calculated by dividing the cooling capacity in Btu per hour by the power input in</t>
  </si>
  <si>
    <t>watts at any given set of rating conditions, expressed in Btu per hour per watt.</t>
  </si>
  <si>
    <t>    EF = Efficiency Factor:  Efficiency (measured in Btu out / Btu in) of water heaters under certain test conditions specified</t>
  </si>
  <si>
    <t>by the Department of Energy.</t>
  </si>
  <si>
    <t>    Btu = British thermal unit.</t>
  </si>
  <si>
    <t>    - - = Not applicable.</t>
  </si>
  <si>
    <t>    Note:  Totals may not equal sum of components due to independent rounding.</t>
  </si>
  <si>
    <t>    Source:  U.S. Energy Information Administration, AEO2012 National Energy Modeling System.</t>
  </si>
  <si>
    <t>Consumed</t>
  </si>
  <si>
    <t>#2 fuel oil</t>
  </si>
  <si>
    <t>liters</t>
  </si>
  <si>
    <t>#4 fuel oil</t>
  </si>
  <si>
    <t>#6 fuel oil</t>
  </si>
  <si>
    <t>GJ</t>
  </si>
  <si>
    <t>Natural gas</t>
  </si>
  <si>
    <t>Steam</t>
  </si>
  <si>
    <t>kg</t>
  </si>
  <si>
    <t>Gasoline</t>
  </si>
  <si>
    <t>1 to 4</t>
  </si>
  <si>
    <t>Multifamily</t>
  </si>
  <si>
    <t>Commercial</t>
  </si>
  <si>
    <t>Institutional</t>
  </si>
  <si>
    <t>Industrial</t>
  </si>
  <si>
    <t>TOTAL</t>
  </si>
  <si>
    <t>Fuel Oil</t>
  </si>
  <si>
    <t xml:space="preserve">TOTAL BLDGAREA </t>
  </si>
  <si>
    <t>BK</t>
  </si>
  <si>
    <t>Fuel consumption</t>
  </si>
  <si>
    <t>Fuel Shares</t>
  </si>
  <si>
    <t xml:space="preserve">1 to 4 </t>
  </si>
  <si>
    <t>Control</t>
  </si>
  <si>
    <t>Fuel consumption values wrt sectors 1 to 4</t>
  </si>
  <si>
    <t>Space Heating</t>
  </si>
  <si>
    <t>DHW</t>
  </si>
  <si>
    <t>Space Cooling</t>
  </si>
  <si>
    <t>Other ELC</t>
  </si>
  <si>
    <t>Other DSL</t>
  </si>
  <si>
    <t>Other NGA</t>
  </si>
  <si>
    <t>Fuel consumption values wrt sectors Multifamily</t>
  </si>
  <si>
    <t>Building Type  effect</t>
  </si>
  <si>
    <t>Population effect</t>
  </si>
  <si>
    <t>Lighting Coef.</t>
  </si>
  <si>
    <t>Other ELC Coef.</t>
  </si>
  <si>
    <t>Other NGA Coef.</t>
  </si>
  <si>
    <t>Staten island</t>
  </si>
  <si>
    <t>Water Heating Coef.</t>
  </si>
  <si>
    <t>Space Heating Coef.</t>
  </si>
  <si>
    <t>Fuel consumption values wrt sectors Commercial</t>
  </si>
  <si>
    <t>Fuel consumption values wrt sectors Institutional</t>
  </si>
  <si>
    <t>2010 Fuel Cons</t>
  </si>
  <si>
    <t>Heat pump</t>
  </si>
  <si>
    <t>2015 NYC GHG Inventory (CY 2014)</t>
  </si>
  <si>
    <t>Citywide Site MMBtu, by Fuel Type, per 2015 NYC GHG Inventory (CY2014)</t>
  </si>
  <si>
    <t>MMBtu by End Use</t>
  </si>
  <si>
    <t>Description of Typical Building</t>
  </si>
  <si>
    <t>CY2014 Site MMBtu</t>
  </si>
  <si>
    <t>CY2014 Site MMBtu % of Total</t>
  </si>
  <si>
    <t>CY2014 Site kBtu/SF</t>
  </si>
  <si>
    <t>Biofuel</t>
  </si>
  <si>
    <t>% Fuel Oil, Space Heating</t>
  </si>
  <si>
    <t>% Fuel Oil, DHW</t>
  </si>
  <si>
    <t>% Fuel Oil, Space Cooling</t>
  </si>
  <si>
    <t>% Fuel Oil, Ventilation</t>
  </si>
  <si>
    <t>% Fuel Oil, Lighting</t>
  </si>
  <si>
    <t>% Fuel Oil, Conveyance</t>
  </si>
  <si>
    <t>% Fuel Oil, Process Loads</t>
  </si>
  <si>
    <t>% Fuel Oil, Plug Loads/Misc</t>
  </si>
  <si>
    <t>% Electricity, Space Heating</t>
  </si>
  <si>
    <t>% Electricity, DHW</t>
  </si>
  <si>
    <t>% Electricity, Space Cooling</t>
  </si>
  <si>
    <t>% Electricity, Ventilation</t>
  </si>
  <si>
    <t>% Electricity, Lighting</t>
  </si>
  <si>
    <t>% Electricity, Conveyance</t>
  </si>
  <si>
    <t>% Electricity, Process Loads</t>
  </si>
  <si>
    <t>% Electricity, Plug Loads/Misc</t>
  </si>
  <si>
    <t>% Natural Gas, Space Heating</t>
  </si>
  <si>
    <t>% Natural Gas, DHW</t>
  </si>
  <si>
    <t>% Natural Gas, Space Cooling</t>
  </si>
  <si>
    <t>% Natural Gas, Ventilation</t>
  </si>
  <si>
    <t>% Natural Gas, Lighting</t>
  </si>
  <si>
    <t>% Natural Gas, Conveyance</t>
  </si>
  <si>
    <t>% Natural Gas, Process Loads</t>
  </si>
  <si>
    <t>% Natural Gas, Plug Loads/Misc</t>
  </si>
  <si>
    <t>% Steam, Space Heating</t>
  </si>
  <si>
    <t>% Steam, DHW</t>
  </si>
  <si>
    <t>% Steam, Space Cooling</t>
  </si>
  <si>
    <t>% Steam, Ventilation</t>
  </si>
  <si>
    <t>% Steam, Lighting</t>
  </si>
  <si>
    <t>% Steam, Conveyance</t>
  </si>
  <si>
    <t>% Steam, Process Loads</t>
  </si>
  <si>
    <t>% Steam, Plug Loads/Misc</t>
  </si>
  <si>
    <t>Ventilation</t>
  </si>
  <si>
    <t>Conveyance</t>
  </si>
  <si>
    <t xml:space="preserve"> Process Loads</t>
  </si>
  <si>
    <t>Plug Loads/Misc</t>
  </si>
  <si>
    <t>1 to 4 Family, Freestanding, Wood Frame</t>
  </si>
  <si>
    <t>1 to 4 Family, Row House, Masonry</t>
  </si>
  <si>
    <t>Multifamily, NYCHA</t>
  </si>
  <si>
    <t>Multifamily, Post-1980 &gt;7 stories</t>
  </si>
  <si>
    <t>Multifamily, Post-1980 up to 7 stories</t>
  </si>
  <si>
    <t>Multifamily, Post-war &gt;7 stories</t>
  </si>
  <si>
    <t>Multifamily, Post-war up to 7 stories</t>
  </si>
  <si>
    <t>Multifamily, Pre-war &gt;7 stories</t>
  </si>
  <si>
    <t>Multifamily, Pre-war up to 7 stories</t>
  </si>
  <si>
    <t>Multifamily, VeryLarge</t>
  </si>
  <si>
    <t>Commercial, Post-1980 &gt;7 stories</t>
  </si>
  <si>
    <t>Commercial, Post-1980 up to 7 stories</t>
  </si>
  <si>
    <t>Commercial, Post-war &gt;7 stories</t>
  </si>
  <si>
    <t>Commercial, Post-war up to 7 stories</t>
  </si>
  <si>
    <t>Commercial, Pre-war &gt;7 stories</t>
  </si>
  <si>
    <t>Commercial, Pre-war up to 7 stories</t>
  </si>
  <si>
    <t>Commercial, VeryLarge</t>
  </si>
  <si>
    <t>Commercial, Mixed use</t>
  </si>
  <si>
    <t xml:space="preserve">Industrial, 3 stories of more warehouse/factory building </t>
  </si>
  <si>
    <t xml:space="preserve">Industrial, 3 stories or less warehouse/factory building </t>
  </si>
  <si>
    <t xml:space="preserve">Industrial, Transportation, Garages, and Utilities </t>
  </si>
  <si>
    <t xml:space="preserve">Institutional, Hospital and Health Facilities </t>
  </si>
  <si>
    <t xml:space="preserve">Institutional, Institutional General </t>
  </si>
  <si>
    <t xml:space="preserve">Institutional, K-12 Schools </t>
  </si>
  <si>
    <t xml:space="preserve">Institutional, Religious </t>
  </si>
  <si>
    <t xml:space="preserve">Institutional, University </t>
  </si>
  <si>
    <t>NoData</t>
  </si>
  <si>
    <t xml:space="preserve">Water heating </t>
  </si>
  <si>
    <t>STEAM</t>
  </si>
  <si>
    <t>Fuel consumption values wrt sectors</t>
  </si>
  <si>
    <t>Fuel consumption values wrt sectors Indsutrial</t>
  </si>
  <si>
    <t>BldgArea (Data belong to 2010 Pluto)</t>
  </si>
  <si>
    <t>Industrial, 3 stories of more warehouse/factory building</t>
  </si>
  <si>
    <t>Industrial, 3 stories or less warehouse/factory building</t>
  </si>
  <si>
    <t>Industrial, Transportation, Garages, and Utilities</t>
  </si>
  <si>
    <t>Institutional, Hospital and Health Facilities</t>
  </si>
  <si>
    <t>Institutional, Institutional General</t>
  </si>
  <si>
    <t>Institutional, K-12 Schools</t>
  </si>
  <si>
    <t>Institutional, Religious</t>
  </si>
  <si>
    <t>Institutional, University</t>
  </si>
  <si>
    <t>#N/A</t>
  </si>
  <si>
    <t>No Data + N/A percentage</t>
  </si>
  <si>
    <t>TOTAL BLDGAREA Nodata and N/A exclueded)</t>
  </si>
  <si>
    <t>TOTAL BLDGAREA (%) (Nodata and N/A exclueded)</t>
  </si>
  <si>
    <t>Total - Check</t>
  </si>
  <si>
    <t>Fraction</t>
  </si>
  <si>
    <t>bn-lm yr demand in 2000</t>
  </si>
  <si>
    <t>Hhi</t>
  </si>
  <si>
    <t>Elc (%)</t>
  </si>
  <si>
    <t>AEO 2014 Residential Sector Key Indicators and Consumption, Reference case</t>
  </si>
  <si>
    <t>Weighted Eff of Resids in 2005</t>
  </si>
  <si>
    <t>Conversions</t>
  </si>
  <si>
    <t>REGIONS</t>
  </si>
  <si>
    <t>MARKAL</t>
  </si>
  <si>
    <t>MARKAL description</t>
  </si>
  <si>
    <t>Efficiency</t>
  </si>
  <si>
    <t>Capital cost</t>
  </si>
  <si>
    <t>start year
*REMOVE*
*THIS*</t>
  </si>
  <si>
    <t>PJ/PJ</t>
  </si>
  <si>
    <t>million units*year/PJ</t>
  </si>
  <si>
    <t>2010$/unit</t>
  </si>
  <si>
    <t xml:space="preserve"> 05m$/PJ</t>
  </si>
  <si>
    <t xml:space="preserve"> 05m$/unit</t>
  </si>
  <si>
    <t>R1,R2,R3,R4,R5,R6,R7,R8,R9</t>
  </si>
  <si>
    <t>RSHERDV110</t>
  </si>
  <si>
    <t>Electric Radiant Ver1.RSH.ELC.10</t>
  </si>
  <si>
    <t>RSHKFRBS05</t>
  </si>
  <si>
    <t>Kerosene Furnace Base.RSH.KER.05</t>
  </si>
  <si>
    <t>RSHKFRV110</t>
  </si>
  <si>
    <t>Kerosene Furnace Ver1.RSH.KER.10</t>
  </si>
  <si>
    <t>RSHKFRV115</t>
  </si>
  <si>
    <t>Kerosene Furnace Ver1.RSH.KER.15</t>
  </si>
  <si>
    <t>RSHKFRV210</t>
  </si>
  <si>
    <t>Kerosene Furnace Ver2.RSH.KER.10</t>
  </si>
  <si>
    <t>RSHKFRV310</t>
  </si>
  <si>
    <t>Kerosene Furnace Ver3.RSH.KER.10</t>
  </si>
  <si>
    <t>RSHLFRBS05</t>
  </si>
  <si>
    <t>Liquid Gas Furnace Base.RSH.LPG.05</t>
  </si>
  <si>
    <t>RSHLFRV110</t>
  </si>
  <si>
    <t>Liquid Gas Furnace Ver1.RSH.LPG.10</t>
  </si>
  <si>
    <t>RSHLFRV210</t>
  </si>
  <si>
    <t>Liquid Gas Furnace Ver2.RSH.LPG.10</t>
  </si>
  <si>
    <t>RSHLFRV310</t>
  </si>
  <si>
    <t>Liquid Gas Furnace Ver3.RSH.LPG.10</t>
  </si>
  <si>
    <t>RSHLFRV410</t>
  </si>
  <si>
    <t>Liquid Gas Furnace Ver4.RSH.LPG.10</t>
  </si>
  <si>
    <t>RSHLFRV510</t>
  </si>
  <si>
    <t>Liquid Gas Furnace Ver5.RSH.LPG.10</t>
  </si>
  <si>
    <t>RSHWDHBS05</t>
  </si>
  <si>
    <t>Wood Heat Base.RSH.BWD.05</t>
  </si>
  <si>
    <t>RSHWDHV110</t>
  </si>
  <si>
    <t>Wood Heat Ver1.RSH.BWD.10</t>
  </si>
  <si>
    <t>Geothermal Heat Pump Base.RSH.ELC.05</t>
  </si>
  <si>
    <t>Geothermal Heat Pump Ver1.RSH.ELC.10</t>
  </si>
  <si>
    <t>Geothermal Heat Pump Ver2.RSH.ELC.10</t>
  </si>
  <si>
    <t>Geothermal Heat Pump Ver2.RSH.ELC.20</t>
  </si>
  <si>
    <t>Geothermal Heat Pump Base.RSC.ELC.05</t>
  </si>
  <si>
    <t>Geothermal Heat Pump Ver1.RSC.ELC.10</t>
  </si>
  <si>
    <t>Geothermal Heat Pump Ver2.RSC.ELC.10</t>
  </si>
  <si>
    <t>Geothermal Heat Pump Ver2.RSC.ELC.20</t>
  </si>
  <si>
    <t>RWHLWHBS05</t>
  </si>
  <si>
    <t>Liquid Gas Base.RWH.LPG.05</t>
  </si>
  <si>
    <t>RWHLWHV110</t>
  </si>
  <si>
    <t>Liquid Gas Ver1.RWH.LPG.10</t>
  </si>
  <si>
    <t>RWHLWHV115</t>
  </si>
  <si>
    <t>Liquid Gas Ver1.RWH.LPG.15</t>
  </si>
  <si>
    <t>RWHLWHV210</t>
  </si>
  <si>
    <t>Liquid Gas Ver2.RWH.LPG.10</t>
  </si>
  <si>
    <t>RWHLWHV310</t>
  </si>
  <si>
    <t>Liquid Gas Ver3.RWH.LPG.10</t>
  </si>
  <si>
    <t>RWHLWHV320</t>
  </si>
  <si>
    <t>Liquid Gas Ver3.RWH.LPG.20</t>
  </si>
  <si>
    <t>RWHLWHV410</t>
  </si>
  <si>
    <t xml:space="preserve">Liquid Gas Ver4.RWH.LPG.10 </t>
  </si>
  <si>
    <t>RWHLWHV420</t>
  </si>
  <si>
    <t>Liquid Gas Ver4.RWH.LPG.20</t>
  </si>
  <si>
    <t>RRFBS05</t>
  </si>
  <si>
    <t>RRFTFV110</t>
  </si>
  <si>
    <t>RRFTFV210</t>
  </si>
  <si>
    <t>RRFTFV310</t>
  </si>
  <si>
    <t>RRFSFV110</t>
  </si>
  <si>
    <t>RRFSFV210</t>
  </si>
  <si>
    <t>RRFBFV110</t>
  </si>
  <si>
    <t>RRFBFV210</t>
  </si>
  <si>
    <t>RFZBS05</t>
  </si>
  <si>
    <t>RFZCV110</t>
  </si>
  <si>
    <t>RFZCV210</t>
  </si>
  <si>
    <t>RFZUV110</t>
  </si>
  <si>
    <t>RFZUV210</t>
  </si>
  <si>
    <t>Capital Cost</t>
  </si>
  <si>
    <t>Life</t>
  </si>
  <si>
    <t>* Lighting General Services</t>
  </si>
  <si>
    <t>lm/w</t>
  </si>
  <si>
    <t>bn-lm yr/PJ</t>
  </si>
  <si>
    <t>10$/klm</t>
  </si>
  <si>
    <t>$m/bn-lm</t>
  </si>
  <si>
    <t>1000 hours</t>
  </si>
  <si>
    <t>years</t>
  </si>
  <si>
    <t>* Incandescent</t>
  </si>
  <si>
    <t>RLTGINCBS</t>
  </si>
  <si>
    <t>RLT.GSL.INC.BS</t>
  </si>
  <si>
    <t>lumens</t>
  </si>
  <si>
    <t>* CFL</t>
  </si>
  <si>
    <t>RLTGCFLBS</t>
  </si>
  <si>
    <t>RLT.GSL.CFL.BS</t>
  </si>
  <si>
    <t>* LED</t>
  </si>
  <si>
    <t>* Lighting Reflector</t>
  </si>
  <si>
    <t>RLTREFBS</t>
  </si>
  <si>
    <t>RLT.REF.BS</t>
  </si>
  <si>
    <t>* Halogen</t>
  </si>
  <si>
    <t>* Lighting Linear Fluorescent</t>
  </si>
  <si>
    <t>RLTLFLBS</t>
  </si>
  <si>
    <t>RLT.LFL.BS</t>
  </si>
  <si>
    <t>* Lighting Exterior</t>
  </si>
  <si>
    <t>RLTEXTBS</t>
  </si>
  <si>
    <t>RLT.EXT.BS</t>
  </si>
  <si>
    <t>Population Projections for calculations</t>
  </si>
  <si>
    <t>Choose Preferred Population Projection from below and copy and paste values in the table above:</t>
  </si>
  <si>
    <t>Population Projections for A1 Scenario*</t>
  </si>
  <si>
    <t>Population Projections Based on Census Projections</t>
  </si>
  <si>
    <t>* A1 scenario from ICLUS project.  ICLUS Pacific region has been adjusted to include Alaska and Hawaii projects based on Census projections.</t>
  </si>
  <si>
    <t>Table 7: New York CIty Population by Borough, 1950-2040</t>
  </si>
  <si>
    <t>intercept</t>
  </si>
  <si>
    <t>slope</t>
  </si>
  <si>
    <t>CY2005</t>
  </si>
  <si>
    <t>CY2013</t>
  </si>
  <si>
    <t>CY2014</t>
  </si>
  <si>
    <t>CY2019</t>
  </si>
  <si>
    <t>SOURCE:https://nyc-ghg-inventory.cusp.nyu.edu/www.urbanintelligencelab.org/</t>
  </si>
  <si>
    <t>StationaryEnergy</t>
  </si>
  <si>
    <t>Residential(smallandlargeresidential)</t>
  </si>
  <si>
    <t>tCo2e</t>
  </si>
  <si>
    <t>SourceMMBtu</t>
  </si>
  <si>
    <t>Source (PJ)</t>
  </si>
  <si>
    <t>#2fueloil</t>
  </si>
  <si>
    <t>#4fueloil</t>
  </si>
  <si>
    <t>#6fueloil</t>
  </si>
  <si>
    <t>kwh</t>
  </si>
  <si>
    <t>Naturalgas</t>
  </si>
  <si>
    <t>CommercialandInstitutional(commercialinstitutionalandstreetlights)</t>
  </si>
  <si>
    <t>Manufacturingandconstruction(industrial)</t>
  </si>
  <si>
    <t>ElectricityT&amp;Dlosses</t>
  </si>
  <si>
    <t>SteamT&amp;Dlosseskg</t>
  </si>
  <si>
    <t>Fugitivenaturalgas</t>
  </si>
  <si>
    <t>CH4-naturalgasdistribution</t>
  </si>
  <si>
    <t>Transportationwithincity(Basic)</t>
  </si>
  <si>
    <r>
      <rPr>
        <sz val="11"/>
        <rFont val="Arial"/>
        <family val="2"/>
      </rPr>
      <t>On-Road</t>
    </r>
  </si>
  <si>
    <t>Gasoline-passengercars</t>
  </si>
  <si>
    <t>Diesel-passengercars</t>
  </si>
  <si>
    <t>Gasoline-lighttrucks</t>
  </si>
  <si>
    <t>Diesel-lighttrucks</t>
  </si>
  <si>
    <t>Diesel-heavytrucks</t>
  </si>
  <si>
    <t>Diesel-transitbus</t>
  </si>
  <si>
    <t>Diesel-non-transitbus</t>
  </si>
  <si>
    <t>CNG-transitbus</t>
  </si>
  <si>
    <t>-</t>
  </si>
  <si>
    <t>Ethanol</t>
  </si>
  <si>
    <r>
      <rPr>
        <sz val="11"/>
        <rFont val="Arial"/>
        <family val="2"/>
      </rPr>
      <t>Railways</t>
    </r>
  </si>
  <si>
    <t>Electricity-subwayandcommuterra</t>
  </si>
  <si>
    <t>Diesel-commuterrail</t>
  </si>
  <si>
    <t>MarineNavigation</t>
  </si>
  <si>
    <t>Diesel-marinenavigation</t>
  </si>
  <si>
    <r>
      <rPr>
        <sz val="11"/>
        <rFont val="Arial"/>
        <family val="2"/>
      </rPr>
      <t>Aviation</t>
    </r>
  </si>
  <si>
    <t>Jetfuel-aviation</t>
  </si>
  <si>
    <r>
      <rPr>
        <sz val="11"/>
        <rFont val="Arial"/>
        <family val="2"/>
      </rPr>
      <t>Waste</t>
    </r>
  </si>
  <si>
    <r>
      <rPr>
        <sz val="11"/>
        <rFont val="Arial"/>
        <family val="2"/>
      </rPr>
      <t>Landfills</t>
    </r>
  </si>
  <si>
    <t>Exportedsolidwaste-landfill</t>
  </si>
  <si>
    <t>Mg</t>
  </si>
  <si>
    <t>Closedlandfillsincity</t>
  </si>
  <si>
    <r>
      <rPr>
        <sz val="11"/>
        <rFont val="Arial"/>
        <family val="2"/>
      </rPr>
      <t>Incineration</t>
    </r>
  </si>
  <si>
    <t>Exportedsolidwaste-wastetoener</t>
  </si>
  <si>
    <t>Biologicaltreatment</t>
  </si>
  <si>
    <t>CH4andN2O-composting</t>
  </si>
  <si>
    <t>Wastewatertreatment</t>
  </si>
  <si>
    <t>CH4-wastewatertreatmentplants</t>
  </si>
  <si>
    <t>N2O-wastewatertreatmentplants</t>
  </si>
  <si>
    <t>Furnace</t>
  </si>
  <si>
    <t>Other</t>
  </si>
  <si>
    <t>ANSWER-Constraints</t>
  </si>
  <si>
    <t>ANSWER-CommData</t>
  </si>
  <si>
    <t>ANSWER-TechData</t>
  </si>
  <si>
    <t>ANSWER-ConstrData</t>
  </si>
  <si>
    <t>LED</t>
  </si>
  <si>
    <t>Levels of PV/Green Roof Installation</t>
  </si>
  <si>
    <t>PV (ft2/kW)</t>
  </si>
  <si>
    <t>Borough</t>
  </si>
  <si>
    <t>Customer Class</t>
  </si>
  <si>
    <t>General Classification</t>
  </si>
  <si>
    <t>No Green Roof</t>
  </si>
  <si>
    <t>PV KW (75%)</t>
  </si>
  <si>
    <t>PV KW (50%)</t>
  </si>
  <si>
    <t>PV KW (25%)</t>
  </si>
  <si>
    <t>PV KW (10%)</t>
  </si>
  <si>
    <t>1-2 Family Dwelling</t>
  </si>
  <si>
    <t>Transportation</t>
  </si>
  <si>
    <t>Airport</t>
  </si>
  <si>
    <t>Auto Services</t>
  </si>
  <si>
    <t>Church/Mission/Asylum</t>
  </si>
  <si>
    <t>Education College/University</t>
  </si>
  <si>
    <t>Education K12</t>
  </si>
  <si>
    <t>Government</t>
  </si>
  <si>
    <t>Sum of PV KW (50%)</t>
  </si>
  <si>
    <t>Column Labels</t>
  </si>
  <si>
    <t>Hospital/Clinic</t>
  </si>
  <si>
    <t>Row Labels</t>
  </si>
  <si>
    <t>(blank)</t>
  </si>
  <si>
    <t>Grand Total</t>
  </si>
  <si>
    <t>Large Apartment/Hotel</t>
  </si>
  <si>
    <t>Cust. Class</t>
  </si>
  <si>
    <t>Large Retail/Office</t>
  </si>
  <si>
    <t>N/A</t>
  </si>
  <si>
    <t>Parking Area Outdoor</t>
  </si>
  <si>
    <t>Parking Structure</t>
  </si>
  <si>
    <t>Port or Shipping</t>
  </si>
  <si>
    <t>Small Apartment or Condo</t>
  </si>
  <si>
    <t>Small Retail/Office</t>
  </si>
  <si>
    <t>Theater/Public Assembly</t>
  </si>
  <si>
    <t>Utility Electric/Gas</t>
  </si>
  <si>
    <t>Utility Other</t>
  </si>
  <si>
    <t>http://www.nyc.gov/html/dem/downloads/pdf/Solar%20100%20Local%20Law%2024%202016.pdf</t>
  </si>
  <si>
    <t>Warehouse</t>
  </si>
  <si>
    <t>RES</t>
  </si>
  <si>
    <t>COM</t>
  </si>
  <si>
    <t>https://nysolarmap.com/</t>
  </si>
  <si>
    <t>https://www.nrel.gov/docs/fy12osti/50198.pdf</t>
  </si>
  <si>
    <t>At the end of 2015, New York City ranked 8th amongst US cities for total installed solar capacity (84 MW, both municipal and private sector combined)3</t>
  </si>
  <si>
    <t>https://environmentamerica.org/sites/environment/files/reports/EA_shiningcities2016_scrn.pdf</t>
  </si>
  <si>
    <t>The following table is on page 5</t>
  </si>
  <si>
    <t>NYSolar Map Installed Solar Power Generation Capacity (MW) in 2010 -Completed</t>
  </si>
  <si>
    <t>NYSolar Map Installed Solar Power Generation Capacity (MW) in 2015 -Completed</t>
  </si>
  <si>
    <t>NYSolar Map Installed Solar Power Generation Capacity (MW) in 2020 -Completed</t>
  </si>
  <si>
    <t>efficiency</t>
  </si>
  <si>
    <t>NYSolar Map Installed Solar Power Generation Capacity (GW) in 2010 -Completed</t>
  </si>
  <si>
    <t xml:space="preserve"> 2010 -Completed (Generation PJ)</t>
  </si>
  <si>
    <t>(PJ)</t>
  </si>
  <si>
    <t>Building Class</t>
  </si>
  <si>
    <t>PV KW (100%)</t>
  </si>
  <si>
    <t>NYSolar Map Installed Solar Power Generation Capacity (GW) in 2015 -Completed</t>
  </si>
  <si>
    <t xml:space="preserve"> 2015 -Completed (Generation PJ)</t>
  </si>
  <si>
    <t>on page 21</t>
  </si>
  <si>
    <t>Looking ahead, the city has committed to installing 100 MW of solar power on public buildings and spurring the installation of 250 MW on private buildings by 2025</t>
  </si>
  <si>
    <t>NYSolar Map Installed Solar Power Generation Capacity (GW) in 2020 -Completed</t>
  </si>
  <si>
    <t xml:space="preserve"> 2020 -Completed (Generation PJ)</t>
  </si>
  <si>
    <t xml:space="preserve"> 2020 -Upper Bounds (Generation PJ)</t>
  </si>
  <si>
    <t>MW/5 year</t>
  </si>
  <si>
    <t xml:space="preserve"> 2025 -Estimated LB (Generation PJ)</t>
  </si>
  <si>
    <t xml:space="preserve"> 2025 -Upper Bounds  (Generation PJ)</t>
  </si>
  <si>
    <t xml:space="preserve"> 2030 -Estimated LB (Generation PJ)</t>
  </si>
  <si>
    <t xml:space="preserve"> 2030 -Upper Bounds (Generation PJ)</t>
  </si>
  <si>
    <t xml:space="preserve"> 2035 -Estimated LB (Generation PJ)</t>
  </si>
  <si>
    <t xml:space="preserve"> 2035 -Upper Bounds  (Generation PJ)</t>
  </si>
  <si>
    <t xml:space="preserve"> 2040 -Estimated LB (Generation PJ)</t>
  </si>
  <si>
    <t xml:space="preserve"> 2040 -Upper Bounds  (Generation PJ)</t>
  </si>
  <si>
    <t xml:space="preserve"> 2045 -Estimated LB (Generation PJ)</t>
  </si>
  <si>
    <t xml:space="preserve"> 2045 -Upper Bounds (Generation PJ)</t>
  </si>
  <si>
    <t>EPAUS9r base scenario results for R2 region</t>
  </si>
  <si>
    <t>BS14_V14</t>
  </si>
  <si>
    <t>OUTPUT.ELC</t>
  </si>
  <si>
    <t>ESOLPVCOM</t>
  </si>
  <si>
    <t>(% increase)</t>
  </si>
  <si>
    <t xml:space="preserve"> 2050 -Estimated LB (Generation PJ)</t>
  </si>
  <si>
    <t xml:space="preserve"> 2050 -Upper Bounds  (Generation PJ)</t>
  </si>
  <si>
    <t xml:space="preserve"> 2055 -Estimated LB (Generation PJ)</t>
  </si>
  <si>
    <t xml:space="preserve"> 2055 -Upper Bounds (Generation PJ)</t>
  </si>
  <si>
    <t>Technology</t>
  </si>
  <si>
    <t>Residential Lighting Menu Inputs: AEO 2014 Update to Base Year for RECS 2009</t>
  </si>
  <si>
    <t>Last Modified:</t>
  </si>
  <si>
    <t>Definition:</t>
  </si>
  <si>
    <t>Self-contained lighting technology and usage database for the RDM.</t>
  </si>
  <si>
    <t>Units:</t>
  </si>
  <si>
    <t>See specific sections and headings below.</t>
  </si>
  <si>
    <t>Sources:</t>
  </si>
  <si>
    <t xml:space="preserve">EIA - Technology Forecast Updates – Residential and Commercial Building Technologies </t>
  </si>
  <si>
    <t>–</t>
  </si>
  <si>
    <t xml:space="preserve">Reference Case, EIA/Navigant, June 15, 2012 (Deflated to 2010 Dollars); </t>
  </si>
  <si>
    <t>RECS 2009; 2010 US Lighting Market Characteriztion, EERE Jan 2012;</t>
  </si>
  <si>
    <t xml:space="preserve">Residential Lighting End-Use Consumption Study: Estimation Framework and Initial Estimates, </t>
  </si>
  <si>
    <t>EERE, Dec 2012;</t>
  </si>
  <si>
    <t>Solid-State Lighting Research and Development Multi-Year Program Plan, EERE, April 2013.</t>
  </si>
  <si>
    <t>Comments:</t>
  </si>
  <si>
    <t>Current paramaters allow 4 lighting applications with up to four bulb technologies in each.</t>
  </si>
  <si>
    <t>Notes:</t>
  </si>
  <si>
    <t>Added exterior lighting for AEO 2014.</t>
  </si>
  <si>
    <t>Added LFL LED option based on web cost in Aug 2013.</t>
  </si>
  <si>
    <t>Updated cost of halogen technologies meeting EISA defficacy requirements based on market availability as of September 2013.</t>
  </si>
  <si>
    <t>Number of Applications (NumApps)</t>
  </si>
  <si>
    <t>Application Labels AppIDs()-Char*3 Data-and Order in Data File AppIndex()</t>
  </si>
  <si>
    <t>GSL</t>
  </si>
  <si>
    <t>REF</t>
  </si>
  <si>
    <t>EXT</t>
  </si>
  <si>
    <t xml:space="preserve">Number of Lamp Types by Application (NumTypes), Number of Bins by Application (NumAppBins) </t>
  </si>
  <si>
    <t>-- this line is ignored, included for readability</t>
  </si>
  <si>
    <t>Technology Cost and Performance (years assumed not to overlap within an application bulb type)</t>
  </si>
  <si>
    <t>(Note read this section until 2099 is encountered for FirstYear)</t>
  </si>
  <si>
    <t>FirstYear</t>
  </si>
  <si>
    <t>LastYear</t>
  </si>
  <si>
    <t>Cost</t>
  </si>
  <si>
    <t>Lumens/Watt</t>
  </si>
  <si>
    <t>Watts</t>
  </si>
  <si>
    <t>Life(hrs)</t>
  </si>
  <si>
    <t>CRI</t>
  </si>
  <si>
    <t>Application</t>
  </si>
  <si>
    <t>BulbType</t>
  </si>
  <si>
    <t>Inc</t>
  </si>
  <si>
    <t>RLTGINC10</t>
  </si>
  <si>
    <t xml:space="preserve">								</t>
  </si>
  <si>
    <t>RLTGCFL10</t>
  </si>
  <si>
    <t>RLTGLED10</t>
  </si>
  <si>
    <t>RLTRINC10</t>
  </si>
  <si>
    <t>RLTRCFL10</t>
  </si>
  <si>
    <t>HAL</t>
  </si>
  <si>
    <t>RLTRHAL10</t>
  </si>
  <si>
    <t>RLTRLED10</t>
  </si>
  <si>
    <t>T12</t>
  </si>
  <si>
    <t>RLTLT1210</t>
  </si>
  <si>
    <t>T-8</t>
  </si>
  <si>
    <t>RLTLT810</t>
  </si>
  <si>
    <t>RLTLLED10</t>
  </si>
  <si>
    <t>RLTEINC10</t>
  </si>
  <si>
    <t>RLTECFL10</t>
  </si>
  <si>
    <t>HPS</t>
  </si>
  <si>
    <t>RLTEHPS10</t>
  </si>
  <si>
    <t>RLTELED10</t>
  </si>
  <si>
    <t>RLTELED40</t>
  </si>
  <si>
    <t>RLT.EXT.LED.40</t>
  </si>
  <si>
    <t xml:space="preserve">									</t>
  </si>
  <si>
    <t>9999	9999	999	99	99	999	99	End	End</t>
  </si>
  <si>
    <t>GS Lamps per Housing Unit (SF, MF, Mobile)</t>
  </si>
  <si>
    <t xml:space="preserve">Reflector		</t>
  </si>
  <si>
    <t xml:space="preserve">	</t>
  </si>
  <si>
    <t>Linear	Fluorescent(4-ft,	1Bulbs)</t>
  </si>
  <si>
    <t xml:space="preserve">Exterior	Lighting	</t>
  </si>
  <si>
    <t>GS Hours per Bin (daily)</t>
  </si>
  <si>
    <t>Hours for each bin (GSHOURS)</t>
  </si>
  <si>
    <t>GS Overall Bulb Shares by Bin</t>
  </si>
  <si>
    <t>Shares of bulbs by bin (GSSHARE)</t>
  </si>
  <si>
    <t xml:space="preserve">GS Initial Bulb Shares within Bin  </t>
  </si>
  <si>
    <t>GS RECSYear Watts (from database above) INC, CFL, LED</t>
  </si>
  <si>
    <t>Reflector Hours per Bin (daily)</t>
  </si>
  <si>
    <t>Reflector Overall Bulb Shares by Bin</t>
  </si>
  <si>
    <t>Reflector Shares by Bulb Type and Bin (INC, CFL, HAL, LED)</t>
  </si>
  <si>
    <t>Reflector RECSYear Watts</t>
  </si>
  <si>
    <t>per</t>
  </si>
  <si>
    <t>Linear Fluorescent Hours per Day (no shares all LFL)</t>
  </si>
  <si>
    <t>LFL Overall Bulb Shares by Bin</t>
  </si>
  <si>
    <t>LFL Shares by BulbType and bin (T12, t8, LED)</t>
  </si>
  <si>
    <t>LFL RECSYear Watts</t>
  </si>
  <si>
    <t>Exterior Hours per Day</t>
  </si>
  <si>
    <t>EXT Overall bulb Shares by Bin</t>
  </si>
  <si>
    <t>EXT Shares by BulbType (INC CFL HID LED)</t>
  </si>
  <si>
    <t>EXT RECSYear Watts</t>
  </si>
  <si>
    <t>Choice Parameters (Capital Cost, Operating Cost)</t>
  </si>
  <si>
    <t>Year</t>
  </si>
  <si>
    <t>Conversion Factors</t>
  </si>
  <si>
    <t>Hours per day</t>
  </si>
  <si>
    <t>Days per year</t>
  </si>
  <si>
    <t>j per btu</t>
  </si>
  <si>
    <t>btu per watthr</t>
  </si>
  <si>
    <t>j per pj</t>
  </si>
  <si>
    <t>dollar($) per $m</t>
  </si>
  <si>
    <t>cfm hrs per trillion cfm hrs</t>
  </si>
  <si>
    <t>lumens per billion lumens</t>
  </si>
  <si>
    <t>kwhr per j</t>
  </si>
  <si>
    <t>units per m units</t>
  </si>
  <si>
    <t>btu per mmbtu</t>
  </si>
  <si>
    <t>tBTU to PJ</t>
  </si>
  <si>
    <t>Lighting average operating hours per day</t>
  </si>
  <si>
    <t>Source: Table ES-3.  Average Operating Hours per Day by Light Source, 2001 from U.S. Lighting Market Characterization Report (Sept 2002).</t>
  </si>
  <si>
    <t>PJ per quad</t>
  </si>
  <si>
    <t>PJ=</t>
  </si>
  <si>
    <t>BTU</t>
  </si>
  <si>
    <t xml:space="preserve">NIPA Table 1.1.9. Implicit Price Deflators for Gross Domestic Product                                                                                                                                                                                          </t>
  </si>
  <si>
    <t xml:space="preserve">[Index numbers, 2009=100]                                                                                                                                                                                                                                 </t>
  </si>
  <si>
    <t>US Department of Commerce: Bureau of Economic Analysis</t>
  </si>
  <si>
    <t>http://www.bea.gov/national/nipaweb/SelectTable.asp?Selected=Y</t>
  </si>
  <si>
    <t>Downloaded on 1/09/2014    Last Revised 12/23/2013</t>
  </si>
  <si>
    <t>Deflator</t>
  </si>
  <si>
    <t>To bring to $2005</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</si>
  <si>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</si>
  <si>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</si>
  <si>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</si>
  <si>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</si>
  <si>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</si>
  <si>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</si>
  <si>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</si>
  <si>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</si>
  <si>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</si>
  <si>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</si>
  <si>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</si>
  <si>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</si>
  <si>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</si>
  <si>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</si>
  <si>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</si>
  <si>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</si>
  <si>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</si>
  <si>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</si>
  <si>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</si>
  <si>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</si>
  <si>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</si>
  <si>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</si>
  <si>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2006</t>
  </si>
  <si>
    <t>2007</t>
  </si>
  <si>
    <t>2008</t>
  </si>
  <si>
    <t>2009</t>
  </si>
  <si>
    <t>2012</t>
  </si>
  <si>
    <t>From</t>
  </si>
  <si>
    <t>http://www.eia.doe.gov/oiaf/1605/ggrpt/documentation/pdf/0638(2006).pdf</t>
  </si>
  <si>
    <t>Page 200, Table 6, Carbon Coefficients</t>
  </si>
  <si>
    <t>From Table 6-1: Carbon dioxide coefficients used in Emissions of Greenhouse Gases in the United States (projected values for 2006 are shown)</t>
  </si>
  <si>
    <t>Conversion: 1 quad is 1055.1 PJ</t>
  </si>
  <si>
    <t>tonnes/</t>
  </si>
  <si>
    <t>Mtonnes/</t>
  </si>
  <si>
    <t>ktonnes/</t>
  </si>
  <si>
    <t>Fuel</t>
  </si>
  <si>
    <t>Quad</t>
  </si>
  <si>
    <t>Jet Fuel</t>
  </si>
  <si>
    <t>Residual Fuel</t>
  </si>
  <si>
    <t>Petrochemical feedstocks</t>
  </si>
  <si>
    <t>Petroleum Coke</t>
  </si>
  <si>
    <t>Coal (ELC)</t>
  </si>
  <si>
    <t>Coal (Res)</t>
  </si>
  <si>
    <t>Coal (Com)</t>
  </si>
  <si>
    <t>Coal (Ind)</t>
  </si>
  <si>
    <t>Source: TranSystems|Pechan, collected for EPA, 2010-2011</t>
  </si>
  <si>
    <t>For more information, please contact Dan Loughlin (louglin.dan@epa.gov)</t>
  </si>
  <si>
    <t>MARKAL Code</t>
  </si>
  <si>
    <t>Data Key (Concatenation)</t>
  </si>
  <si>
    <t>Demand</t>
  </si>
  <si>
    <t>Revised CO2</t>
  </si>
  <si>
    <t>Revised SO2</t>
  </si>
  <si>
    <t>Revised NOx</t>
  </si>
  <si>
    <t>Revised PM10</t>
  </si>
  <si>
    <t>Revised PM2.5</t>
  </si>
  <si>
    <t>Revised VOC</t>
  </si>
  <si>
    <t>Revised CO</t>
  </si>
  <si>
    <t>Revised CH4</t>
  </si>
  <si>
    <t>Revised N2O</t>
  </si>
  <si>
    <t>Space heating</t>
  </si>
  <si>
    <t>Boiler Radiant</t>
  </si>
  <si>
    <t>Distillate oil</t>
  </si>
  <si>
    <t>Radiant</t>
  </si>
  <si>
    <t>Space cooling</t>
  </si>
  <si>
    <t>Tank</t>
  </si>
  <si>
    <t>Instantaneous</t>
  </si>
  <si>
    <t>Data Source:</t>
  </si>
  <si>
    <t>The Climate Registry</t>
  </si>
  <si>
    <t>EPA WebFIRE</t>
  </si>
  <si>
    <t>Assume the same emissions factor as another technology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</si>
</sst>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6" formatCode="&quot;$&quot;#,##0_);[Red]\(&quot;$&quot;#,##0\)"/>
    <numFmt numFmtId="8" formatCode="&quot;$&quot;#,##0.00_);[Red]\(&quot;$&quot;#,##0.00\)"/>
    <numFmt numFmtId="41" formatCode="_(* #,##0_);_(* \(#,##0\);_(* &quot;-&quot;_);_(@_)"/>
    <numFmt numFmtId="44" formatCode="_(&quot;$&quot;* #,##0.00_);_(&quot;$&quot;* \(#,##0.00\);_(&quot;$&quot;* &quot;-&quot;??_);_(@_)"/>
    <numFmt numFmtId="43" formatCode="_(* #,##0.00_);_(* \(#,##0.00\);_(* &quot;-&quot;??_);_(@_)"/>
    <numFmt numFmtId="164" formatCode="_-* #,##0.00_-;\-* #,##0.00_-;_-* &quot;-&quot;??_-;_-@_-"/>
    <numFmt numFmtId="165" formatCode="0.000"/>
    <numFmt numFmtId="166" formatCode="0.0000"/>
    <numFmt numFmtId="167" formatCode="0.0"/>
    <numFmt numFmtId="168" formatCode="0.E+00"/>
    <numFmt numFmtId="169" formatCode="0.0%"/>
    <numFmt numFmtId="170" formatCode="0.000E+00"/>
    <numFmt numFmtId="171" formatCode="0.00_)"/>
    <numFmt numFmtId="172" formatCode="#,##0.0"/>
    <numFmt numFmtId="173" formatCode="0_)"/>
    <numFmt numFmtId="174" formatCode="0.0_)"/>
    <numFmt numFmtId="177" formatCode="0.000000"/>
    <numFmt numFmtId="179" formatCode="0.000_)"/>
    <numFmt numFmtId="181" formatCode="&quot;$&quot;#,##0"/>
    <numFmt numFmtId="182" formatCode="_-* #,##0_-;\-* #,##0_-;_-* &quot;-&quot;??_-;_-@_-"/>
    <numFmt numFmtId="183" formatCode="_(* #,##0_);_(* \(#,##0\);_(* &quot;-&quot;??_);_(@_)"/>
    <numFmt numFmtId="184" formatCode="0.0000000"/>
    <numFmt numFmtId="185" formatCode="\Te\x\t"/>
    <numFmt numFmtId="186" formatCode="_-* #,##0.00\ _€_-;\-* #,##0.00\ _€_-;_-* &quot;-&quot;??\ _€_-;_-@_-"/>
  </numFmts>
  <fonts count="90">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0"/>
      <name val="Arial"/>
      <family val="2"/>
    </font>
    <font>
      <sz val="10"/>
      <name val="Arial"/>
      <family val="2"/>
    </font>
    <font>
      <sz val="10"/>
      <color indexed="8"/>
      <name val="Arial"/>
      <family val="2"/>
    </font>
    <font>
      <b/>
      <sz val="10"/>
      <color indexed="8"/>
      <name val="Arial"/>
      <family val="2"/>
    </font>
    <font>
      <sz val="10"/>
      <color indexed="10"/>
      <name val="Arial"/>
      <family val="2"/>
    </font>
    <font>
      <sz val="10"/>
      <color indexed="12"/>
      <name val="Arial"/>
      <family val="2"/>
    </font>
    <font>
      <b/>
      <sz val="10"/>
      <color indexed="12"/>
      <name val="Arial"/>
      <family val="2"/>
    </font>
    <font>
      <b/>
      <sz val="10"/>
      <color indexed="11"/>
      <name val="Arial"/>
      <family val="2"/>
    </font>
    <font>
      <sz val="8"/>
      <name val="Arial"/>
      <family val="2"/>
    </font>
    <font>
      <sz val="8"/>
      <name val="Arial"/>
      <family val="2"/>
    </font>
    <font>
      <b/>
      <sz val="8"/>
      <name val="Arial"/>
      <family val="2"/>
    </font>
    <font>
      <b/>
      <sz val="10"/>
      <color indexed="20"/>
      <name val="Arial"/>
      <family val="2"/>
    </font>
    <font>
      <sz val="10"/>
      <color indexed="8"/>
      <name val="Arial"/>
      <family val="2"/>
    </font>
    <font>
      <b/>
      <sz val="11"/>
      <name val="Arial"/>
      <family val="2"/>
    </font>
    <font>
      <i/>
      <sz val="10"/>
      <name val="Arial"/>
      <family val="2"/>
    </font>
    <font>
      <b/>
      <sz val="10"/>
      <color indexed="9"/>
      <name val="Arial"/>
      <family val="2"/>
    </font>
    <font>
      <sz val="9"/>
      <name val="Arial"/>
      <family val="2"/>
    </font>
    <font>
      <sz val="9"/>
      <name val="Arial"/>
      <family val="2"/>
    </font>
    <font>
      <sz val="10"/>
      <color indexed="9"/>
      <name val="Arial"/>
      <family val="2"/>
    </font>
    <font>
      <b/>
      <sz val="10"/>
      <color indexed="10"/>
      <name val="Arial"/>
      <family val="2"/>
    </font>
    <font>
      <sz val="10"/>
      <color indexed="56"/>
      <name val="Arial"/>
      <family val="2"/>
    </font>
    <font>
      <b/>
      <sz val="8"/>
      <color indexed="81"/>
      <name val="Tahoma"/>
      <family val="2"/>
    </font>
    <font>
      <sz val="8"/>
      <color indexed="81"/>
      <name val="Tahoma"/>
      <family val="2"/>
    </font>
    <font>
      <b/>
      <sz val="10"/>
      <color indexed="81"/>
      <name val="Tahoma"/>
      <family val="2"/>
    </font>
    <font>
      <sz val="10"/>
      <color indexed="81"/>
      <name val="Tahoma"/>
      <family val="2"/>
    </font>
    <font>
      <sz val="11"/>
      <color theme="1"/>
      <name val="Calibri"/>
      <family val="2"/>
      <scheme val="minor"/>
    </font>
    <font>
      <sz val="10"/>
      <color theme="1"/>
      <name val="Arial"/>
      <family val="2"/>
    </font>
    <font>
      <b/>
      <sz val="10"/>
      <color theme="1"/>
      <name val="Arial"/>
      <family val="2"/>
    </font>
    <font>
      <sz val="10"/>
      <name val="Calibri"/>
      <family val="2"/>
      <scheme val="minor"/>
    </font>
    <font>
      <u/>
      <sz val="10"/>
      <color theme="10"/>
      <name val="Arial"/>
      <family val="2"/>
    </font>
    <font>
      <sz val="10"/>
      <color rgb="FFFF0000"/>
      <name val="Arial"/>
      <family val="2"/>
    </font>
    <font>
      <sz val="10"/>
      <color rgb="FF0000FF"/>
      <name val="Arial"/>
      <family val="2"/>
    </font>
    <font>
      <sz val="9"/>
      <color indexed="81"/>
      <name val="Tahoma"/>
      <family val="2"/>
    </font>
    <font>
      <b/>
      <sz val="10"/>
      <color rgb="FFFF0000"/>
      <name val="Arial"/>
      <family val="2"/>
    </font>
    <font>
      <b/>
      <sz val="12"/>
      <color theme="4"/>
      <name val="Calibri"/>
      <family val="2"/>
      <scheme val="minor"/>
    </font>
    <font>
      <b/>
      <sz val="9"/>
      <color theme="1"/>
      <name val="Calibri"/>
      <family val="2"/>
      <scheme val="minor"/>
    </font>
    <font>
      <sz val="9"/>
      <color theme="1"/>
      <name val="Calibri"/>
      <family val="2"/>
      <scheme val="minor"/>
    </font>
    <font>
      <sz val="10"/>
      <name val="Arial"/>
      <family val="2"/>
    </font>
    <font>
      <sz val="10"/>
      <name val="Arial"/>
      <family val="2"/>
    </font>
    <font>
      <i/>
      <sz val="10"/>
      <color theme="1"/>
      <name val="Arial"/>
      <family val="2"/>
    </font>
    <font>
      <b/>
      <sz val="10"/>
      <color theme="1"/>
      <name val="Calibri"/>
      <family val="2"/>
      <scheme val="minor"/>
    </font>
    <font>
      <sz val="11"/>
      <color theme="1"/>
      <name val="Arial"/>
      <family val="2"/>
    </font>
    <font>
      <b/>
      <sz val="11"/>
      <color theme="1"/>
      <name val="Arial"/>
      <family val="2"/>
    </font>
    <font>
      <sz val="9"/>
      <color theme="1"/>
      <name val="Arial"/>
      <family val="2"/>
    </font>
    <font>
      <b/>
      <sz val="9"/>
      <color theme="1"/>
      <name val="Arial"/>
      <family val="2"/>
    </font>
    <font>
      <sz val="10"/>
      <color indexed="48"/>
      <name val="Arial"/>
      <family val="2"/>
    </font>
    <font>
      <b/>
      <sz val="9"/>
      <color indexed="81"/>
      <name val="Tahoma"/>
      <family val="2"/>
    </font>
    <font>
      <sz val="10"/>
      <color theme="0"/>
      <name val="Arial"/>
      <family val="2"/>
    </font>
    <font>
      <sz val="10"/>
      <color theme="0" tint="-0.34998626667073579"/>
      <name val="Calibri"/>
      <family val="2"/>
      <scheme val="minor"/>
    </font>
    <font>
      <b/>
      <i/>
      <sz val="10"/>
      <color theme="0" tint="-0.34998626667073579"/>
      <name val="Calibri"/>
      <family val="2"/>
      <scheme val="minor"/>
    </font>
    <font>
      <sz val="10"/>
      <color theme="0" tint="-0.14999847407452621"/>
      <name val="Arial"/>
      <family val="2"/>
    </font>
    <font>
      <sz val="10"/>
      <color theme="0" tint="-0.249977111117893"/>
      <name val="Arial"/>
      <family val="2"/>
    </font>
    <font>
      <sz val="10"/>
      <color theme="0" tint="-0.499984740745262"/>
      <name val="Arial"/>
      <family val="2"/>
    </font>
    <font>
      <i/>
      <sz val="10"/>
      <color theme="0" tint="-0.499984740745262"/>
      <name val="Arial"/>
      <family val="2"/>
    </font>
    <font>
      <sz val="10"/>
      <color theme="3"/>
      <name val="Arial"/>
      <family val="2"/>
    </font>
    <font>
      <sz val="10"/>
      <color theme="9" tint="-0.249977111117893"/>
      <name val="Arial"/>
      <family val="2"/>
    </font>
    <font>
      <sz val="9"/>
      <color theme="0"/>
      <name val="Arial"/>
      <family val="2"/>
    </font>
    <font>
      <b/>
      <sz val="9"/>
      <color theme="0"/>
      <name val="Arial"/>
      <family val="2"/>
    </font>
    <font>
      <sz val="11"/>
      <name val="Arial"/>
      <family val="2"/>
    </font>
    <font>
      <sz val="11"/>
      <color rgb="FF000000"/>
      <name val="Arial"/>
      <family val="2"/>
    </font>
    <font>
      <b/>
      <sz val="11"/>
      <color theme="1"/>
      <name val="Calibri"/>
      <family val="2"/>
      <scheme val="minor"/>
    </font>
    <font>
      <b/>
      <i/>
      <sz val="11"/>
      <color theme="1"/>
      <name val="Calibri"/>
      <family val="2"/>
      <scheme val="minor"/>
    </font>
    <font>
      <i/>
      <sz val="10"/>
      <color theme="0" tint="-0.34998626667073579"/>
      <name val="Arial"/>
      <family val="2"/>
    </font>
    <font>
      <b/>
      <sz val="9"/>
      <color rgb="FF000000"/>
      <name val="Tahoma"/>
      <family val="2"/>
    </font>
    <font>
      <sz val="9"/>
      <color rgb="FF000000"/>
      <name val="Tahoma"/>
      <family val="2"/>
    </font>
    <font>
      <i/>
      <sz val="11"/>
      <color theme="2"/>
      <name val="Calibri"/>
      <family val="2"/>
      <scheme val="minor"/>
    </font>
    <font>
      <i/>
      <sz val="11"/>
      <color theme="0" tint="-0.34998626667073579"/>
      <name val="Calibri"/>
      <family val="2"/>
      <scheme val="minor"/>
    </font>
    <font>
      <b/>
      <sz val="10"/>
      <color theme="9" tint="-0.249977111117893"/>
      <name val="Arial"/>
      <family val="2"/>
    </font>
    <font>
      <b/>
      <i/>
      <sz val="10"/>
      <color theme="0" tint="-0.34998626667073579"/>
      <name val="Arial"/>
      <family val="2"/>
    </font>
    <font>
      <b/>
      <sz val="9"/>
      <name val="Arial"/>
      <family val="2"/>
    </font>
    <font>
      <sz val="9"/>
      <color rgb="FFFF0000"/>
      <name val="Arial"/>
      <family val="2"/>
    </font>
    <font>
      <sz val="12"/>
      <name val="Arial"/>
      <family val="2"/>
    </font>
    <font>
      <sz val="10"/>
      <name val="Arial"/>
      <family val="2"/>
    </font>
    <font>
      <sz val="11"/>
      <color theme="1"/>
      <name val="Arial Narrow"/>
      <family val="2"/>
    </font>
    <font>
      <sz val="11"/>
      <color theme="1"/>
      <name val="Calibri"/>
      <family val="2"/>
    </font>
    <font>
      <sz val="10"/>
      <name val="Courier"/>
      <family val="3"/>
    </font>
    <font>
      <u/>
      <sz val="10"/>
      <color indexed="12"/>
      <name val="Arial"/>
      <family val="2"/>
    </font>
    <font>
      <u/>
      <sz val="11"/>
      <color theme="10"/>
      <name val="Calibri"/>
      <family val="2"/>
    </font>
    <font>
      <sz val="10"/>
      <name val="MS Sans Serif"/>
    </font>
    <font>
      <sz val="9"/>
      <color indexed="8"/>
      <name val="Calibri"/>
      <family val="2"/>
    </font>
    <font>
      <u/>
      <sz val="11"/>
      <color theme="10"/>
      <name val="Calibri"/>
      <family val="2"/>
      <scheme val="minor"/>
    </font>
    <font>
      <b/>
      <sz val="12"/>
      <color rgb="FF000000"/>
      <name val="Helvetica Neue"/>
      <family val="2"/>
    </font>
    <font>
      <sz val="12"/>
      <color rgb="FF000000"/>
      <name val="Calibri"/>
      <family val="2"/>
      <scheme val="minor"/>
    </font>
    <font>
      <sz val="12"/>
      <color rgb="FF000000"/>
      <name val="Helvetica Neue"/>
      <family val="2"/>
    </font>
    <font>
      <sz val="14"/>
      <color rgb="FF000000"/>
      <name val="Courier New"/>
      <family val="1"/>
    </font>
  </fonts>
  <fills count="21">
    <fill>
      <patternFill patternType="none"/>
    </fill>
    <fill>
      <patternFill patternType="gray125"/>
    </fill>
    <fill>
      <patternFill patternType="solid">
        <fgColor indexed="9"/>
        <bgColor indexed="64"/>
      </patternFill>
    </fill>
    <fill>
      <patternFill patternType="solid">
        <fgColor theme="6" tint="0.59999389629810485"/>
        <bgColor indexed="64"/>
      </patternFill>
    </fill>
    <fill>
      <patternFill patternType="solid">
        <fgColor rgb="FFFFC000"/>
        <bgColor indexed="64"/>
      </patternFill>
    </fill>
    <fill>
      <patternFill patternType="solid">
        <fgColor theme="0"/>
        <bgColor indexed="64"/>
      </patternFill>
    </fill>
    <fill>
      <patternFill patternType="solid">
        <fgColor theme="9" tint="0.59999389629810485"/>
        <bgColor indexed="64"/>
      </patternFill>
    </fill>
    <fill>
      <patternFill patternType="solid">
        <fgColor rgb="FFD5A4FA"/>
        <bgColor indexed="64"/>
      </patternFill>
    </fill>
    <fill>
      <patternFill patternType="solid">
        <fgColor theme="0"/>
        <bgColor theme="4" tint="0.79998168889431442"/>
      </patternFill>
    </fill>
    <fill>
      <patternFill patternType="solid">
        <fgColor theme="3" tint="0.59999389629810485"/>
        <bgColor indexed="64"/>
      </patternFill>
    </fill>
    <fill>
      <patternFill patternType="solid">
        <fgColor rgb="FFFFFF00"/>
        <bgColor indexed="64"/>
      </patternFill>
    </fill>
    <fill>
      <patternFill patternType="solid">
        <fgColor theme="9" tint="-0.249977111117893"/>
        <bgColor indexed="64"/>
      </patternFill>
    </fill>
    <fill>
      <patternFill patternType="solid">
        <fgColor rgb="FFFFFF99"/>
        <bgColor indexed="64"/>
      </patternFill>
    </fill>
    <fill>
      <patternFill patternType="solid">
        <fgColor theme="4" tint="0.79998168889431442"/>
        <bgColor indexed="64"/>
      </patternFill>
    </fill>
    <fill>
      <patternFill patternType="solid">
        <fgColor theme="5"/>
        <bgColor indexed="64"/>
      </patternFill>
    </fill>
    <fill>
      <patternFill patternType="solid">
        <fgColor theme="5" tint="0.39997558519241921"/>
        <bgColor indexed="64"/>
      </patternFill>
    </fill>
    <fill>
      <patternFill patternType="solid">
        <fgColor rgb="FFFF0000"/>
        <bgColor indexed="64"/>
      </patternFill>
    </fill>
    <fill>
      <patternFill patternType="solid">
        <fgColor indexed="43"/>
        <bgColor indexed="64"/>
      </patternFill>
    </fill>
    <fill>
      <patternFill patternType="solid">
        <fgColor rgb="FFFFFFCC"/>
        <bgColor indexed="64"/>
      </patternFill>
    </fill>
    <fill>
      <patternFill patternType="solid">
        <fgColor theme="8" tint="0.79998168889431442"/>
        <bgColor indexed="65"/>
      </patternFill>
    </fill>
    <fill>
      <patternFill patternType="solid">
        <fgColor theme="3" tint="0.79998168889431442"/>
        <bgColor indexed="64"/>
      </patternFill>
    </fill>
  </fills>
  <borders count="37">
    <border>
      <left/>
      <right/>
      <top/>
      <bottom/>
      <diagonal/>
    </border>
    <border>
      <left style="hair">
        <color indexed="64"/>
      </left>
      <right style="hair">
        <color indexed="64"/>
      </right>
      <top style="hair">
        <color indexed="64"/>
      </top>
      <bottom style="hair">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style="medium">
        <color indexed="64"/>
      </top>
      <bottom/>
      <diagonal/>
    </border>
    <border>
      <left style="medium">
        <color indexed="64"/>
      </left>
      <right/>
      <top/>
      <bottom/>
      <diagonal/>
    </border>
    <border>
      <left/>
      <right/>
      <top/>
      <bottom style="medium">
        <color indexed="64"/>
      </bottom>
      <diagonal/>
    </border>
    <border>
      <left style="thin">
        <color indexed="64"/>
      </left>
      <right style="thin">
        <color indexed="64"/>
      </right>
      <top/>
      <bottom style="thin">
        <color indexed="64"/>
      </bottom>
      <diagonal/>
    </border>
    <border>
      <left/>
      <right/>
      <top style="thin">
        <color rgb="FF000000"/>
      </top>
      <bottom/>
      <diagonal/>
    </border>
    <border>
      <left/>
      <right/>
      <top/>
      <bottom style="thin">
        <color rgb="FF000000"/>
      </bottom>
      <diagonal/>
    </border>
    <border>
      <left/>
      <right/>
      <top/>
      <bottom style="thick">
        <color theme="4"/>
      </bottom>
      <diagonal/>
    </border>
    <border>
      <left/>
      <right/>
      <top/>
      <bottom style="thin">
        <color theme="0" tint="-0.249977111117893"/>
      </bottom>
      <diagonal/>
    </border>
    <border>
      <left/>
      <right/>
      <top/>
      <bottom style="dashed">
        <color theme="0" tint="-0.24994659260841701"/>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top style="thin">
        <color auto="1"/>
      </top>
      <bottom style="thin">
        <color indexed="64"/>
      </bottom>
      <diagonal/>
    </border>
    <border>
      <left/>
      <right style="thin">
        <color auto="1"/>
      </right>
      <top style="thin">
        <color auto="1"/>
      </top>
      <bottom style="thin">
        <color auto="1"/>
      </bottom>
      <diagonal/>
    </border>
    <border>
      <left style="medium">
        <color indexed="64"/>
      </left>
      <right style="thin">
        <color auto="1"/>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style="thin">
        <color auto="1"/>
      </right>
      <top/>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auto="1"/>
      </right>
      <top/>
      <bottom style="medium">
        <color indexed="64"/>
      </bottom>
      <diagonal/>
    </border>
    <border>
      <left/>
      <right style="thin">
        <color auto="1"/>
      </right>
      <top style="thin">
        <color auto="1"/>
      </top>
      <bottom style="medium">
        <color indexed="64"/>
      </bottom>
      <diagonal/>
    </border>
    <border>
      <left style="thin">
        <color auto="1"/>
      </left>
      <right/>
      <top style="medium">
        <color indexed="64"/>
      </top>
      <bottom/>
      <diagonal/>
    </border>
    <border>
      <left/>
      <right style="thin">
        <color auto="1"/>
      </right>
      <top style="medium">
        <color indexed="64"/>
      </top>
      <bottom/>
      <diagonal/>
    </border>
    <border>
      <left/>
      <right/>
      <top style="thin">
        <color theme="9" tint="0.79998168889431442"/>
      </top>
      <bottom style="thin">
        <color theme="9" tint="0.79998168889431442"/>
      </bottom>
      <diagonal/>
    </border>
    <border>
      <left/>
      <right/>
      <top/>
      <bottom style="dashed">
        <color rgb="FFBFBFBF"/>
      </bottom>
      <diagonal/>
    </border>
  </borders>
  <cellStyleXfs count="109">
    <xf numFmtId="0" fontId="0" fillId="0" borderId="0"/>
    <xf numFmtId="164" fontId="6" fillId="0" borderId="0" applyFont="0" applyFill="0" applyBorder="0" applyAlignment="0" applyProtection="0"/>
    <xf numFmtId="0" fontId="6" fillId="0" borderId="0"/>
    <xf numFmtId="0" fontId="30" fillId="0" borderId="0"/>
    <xf numFmtId="0" fontId="6" fillId="0" borderId="0"/>
    <xf numFmtId="0" fontId="4" fillId="0" borderId="0"/>
    <xf numFmtId="0" fontId="17" fillId="0" borderId="0"/>
    <xf numFmtId="0" fontId="4" fillId="0" borderId="0"/>
    <xf numFmtId="0" fontId="22" fillId="0" borderId="0"/>
    <xf numFmtId="0" fontId="4" fillId="0" borderId="0"/>
    <xf numFmtId="0" fontId="4" fillId="0" borderId="0"/>
    <xf numFmtId="0" fontId="6" fillId="0" borderId="1"/>
    <xf numFmtId="0" fontId="17" fillId="0" borderId="0"/>
    <xf numFmtId="0" fontId="4" fillId="0" borderId="0"/>
    <xf numFmtId="9" fontId="4" fillId="0" borderId="0" applyFont="0" applyFill="0" applyBorder="0" applyAlignment="0" applyProtection="0"/>
    <xf numFmtId="9" fontId="6" fillId="0" borderId="0" applyFont="0" applyFill="0" applyBorder="0" applyAlignment="0" applyProtection="0"/>
    <xf numFmtId="0" fontId="34" fillId="0" borderId="0" applyNumberFormat="0" applyFill="0" applyBorder="0" applyAlignment="0" applyProtection="0">
      <alignment vertical="top"/>
      <protection locked="0"/>
    </xf>
    <xf numFmtId="0" fontId="3" fillId="0" borderId="0"/>
    <xf numFmtId="0" fontId="39" fillId="0" borderId="0" applyNumberFormat="0" applyProtection="0">
      <alignment horizontal="left"/>
    </xf>
    <xf numFmtId="0" fontId="40" fillId="0" borderId="16" applyNumberFormat="0" applyProtection="0">
      <alignment wrapText="1"/>
    </xf>
    <xf numFmtId="0" fontId="40" fillId="0" borderId="17" applyNumberFormat="0" applyProtection="0">
      <alignment wrapText="1"/>
    </xf>
    <xf numFmtId="0" fontId="41" fillId="0" borderId="18" applyNumberFormat="0" applyFont="0" applyProtection="0">
      <alignment wrapText="1"/>
    </xf>
    <xf numFmtId="0" fontId="42" fillId="0" borderId="0"/>
    <xf numFmtId="43" fontId="43" fillId="0" borderId="0" applyFont="0" applyFill="0" applyBorder="0" applyAlignment="0" applyProtection="0"/>
    <xf numFmtId="0" fontId="2" fillId="0" borderId="0"/>
    <xf numFmtId="0" fontId="1" fillId="0" borderId="0"/>
    <xf numFmtId="9" fontId="1" fillId="0" borderId="0" applyFont="0" applyFill="0" applyBorder="0" applyAlignment="0" applyProtection="0"/>
    <xf numFmtId="0" fontId="4" fillId="0" borderId="0"/>
    <xf numFmtId="164" fontId="4" fillId="0" borderId="0" applyFont="0" applyFill="0" applyBorder="0" applyAlignment="0" applyProtection="0"/>
    <xf numFmtId="0" fontId="78" fillId="0" borderId="0"/>
    <xf numFmtId="0" fontId="79" fillId="0" borderId="0"/>
    <xf numFmtId="0" fontId="4" fillId="0" borderId="0"/>
    <xf numFmtId="9" fontId="4" fillId="0" borderId="0" applyFont="0" applyFill="0" applyBorder="0" applyAlignment="0" applyProtection="0"/>
    <xf numFmtId="0" fontId="81" fillId="0" borderId="0" applyNumberFormat="0" applyFill="0" applyBorder="0" applyAlignment="0" applyProtection="0">
      <alignment vertical="top"/>
      <protection locked="0"/>
    </xf>
    <xf numFmtId="0" fontId="4" fillId="0" borderId="0"/>
    <xf numFmtId="0" fontId="1" fillId="0" borderId="0"/>
    <xf numFmtId="0" fontId="82" fillId="0" borderId="0" applyNumberFormat="0" applyFill="0" applyBorder="0" applyAlignment="0" applyProtection="0">
      <alignment vertical="top"/>
      <protection locked="0"/>
    </xf>
    <xf numFmtId="0" fontId="83" fillId="0" borderId="0"/>
    <xf numFmtId="0" fontId="4" fillId="0" borderId="0"/>
    <xf numFmtId="0" fontId="1" fillId="0" borderId="0"/>
    <xf numFmtId="0" fontId="1" fillId="0" borderId="0"/>
    <xf numFmtId="0" fontId="1" fillId="0" borderId="0"/>
    <xf numFmtId="44" fontId="1" fillId="0" borderId="0" applyFont="0" applyFill="0" applyBorder="0" applyAlignment="0" applyProtection="0"/>
    <xf numFmtId="9" fontId="4" fillId="0" borderId="0" applyFont="0" applyFill="0" applyBorder="0" applyAlignment="0" applyProtection="0"/>
    <xf numFmtId="0" fontId="81" fillId="0" borderId="0" applyNumberFormat="0" applyFill="0" applyBorder="0" applyAlignment="0" applyProtection="0">
      <alignment vertical="top"/>
      <protection locked="0"/>
    </xf>
    <xf numFmtId="43" fontId="1" fillId="0" borderId="0" applyFont="0" applyFill="0" applyBorder="0" applyAlignment="0" applyProtection="0"/>
    <xf numFmtId="0" fontId="84" fillId="0" borderId="36" applyNumberFormat="0" applyFont="0" applyProtection="0">
      <alignment wrapText="1"/>
    </xf>
    <xf numFmtId="0" fontId="1" fillId="0" borderId="0"/>
    <xf numFmtId="0" fontId="4" fillId="0" borderId="0"/>
    <xf numFmtId="0" fontId="77" fillId="0" borderId="0"/>
    <xf numFmtId="43" fontId="4" fillId="0" borderId="0" applyFont="0" applyFill="0" applyBorder="0" applyAlignment="0" applyProtection="0"/>
    <xf numFmtId="0" fontId="4" fillId="0" borderId="0"/>
    <xf numFmtId="0" fontId="80" fillId="0" borderId="0"/>
    <xf numFmtId="0" fontId="4" fillId="0" borderId="0"/>
    <xf numFmtId="0" fontId="4" fillId="0" borderId="0"/>
    <xf numFmtId="0" fontId="4" fillId="0" borderId="0"/>
    <xf numFmtId="164"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9" fontId="4" fillId="0" borderId="0" applyFont="0" applyFill="0" applyBorder="0" applyAlignment="0" applyProtection="0"/>
    <xf numFmtId="0" fontId="1" fillId="0" borderId="0"/>
    <xf numFmtId="43" fontId="1"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43" fontId="4"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0" fontId="1" fillId="0" borderId="0"/>
    <xf numFmtId="164" fontId="1" fillId="0" borderId="0" applyFont="0" applyFill="0" applyBorder="0" applyAlignment="0" applyProtection="0"/>
    <xf numFmtId="0" fontId="1" fillId="0" borderId="0"/>
    <xf numFmtId="0" fontId="85" fillId="0" borderId="0" applyNumberFormat="0" applyFill="0" applyBorder="0" applyAlignment="0" applyProtection="0"/>
    <xf numFmtId="0" fontId="31" fillId="0" borderId="0"/>
    <xf numFmtId="0" fontId="81" fillId="0" borderId="0" applyNumberFormat="0" applyFill="0" applyBorder="0" applyAlignment="0" applyProtection="0">
      <alignment vertical="top"/>
      <protection locked="0"/>
    </xf>
    <xf numFmtId="9" fontId="1" fillId="0" borderId="0" applyFont="0" applyFill="0" applyBorder="0" applyAlignment="0" applyProtection="0"/>
    <xf numFmtId="164" fontId="1" fillId="0" borderId="0" applyFont="0" applyFill="0" applyBorder="0" applyAlignment="0" applyProtection="0"/>
    <xf numFmtId="0" fontId="1" fillId="19" borderId="0" applyNumberFormat="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0" fontId="1" fillId="0" borderId="0"/>
    <xf numFmtId="164" fontId="1" fillId="0" borderId="0" applyFont="0" applyFill="0" applyBorder="0" applyAlignment="0" applyProtection="0"/>
    <xf numFmtId="164" fontId="4"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0" fontId="1" fillId="0" borderId="0"/>
    <xf numFmtId="164" fontId="1" fillId="0" borderId="0" applyFont="0" applyFill="0" applyBorder="0" applyAlignment="0" applyProtection="0"/>
    <xf numFmtId="0" fontId="1" fillId="0" borderId="0"/>
    <xf numFmtId="9" fontId="1" fillId="0" borderId="0" applyFont="0" applyFill="0" applyBorder="0" applyAlignment="0" applyProtection="0"/>
    <xf numFmtId="164" fontId="1" fillId="0" borderId="0" applyFont="0" applyFill="0" applyBorder="0" applyAlignment="0" applyProtection="0"/>
    <xf numFmtId="0" fontId="1" fillId="19" borderId="0" applyNumberFormat="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0" fontId="1" fillId="0" borderId="0"/>
    <xf numFmtId="164" fontId="1" fillId="0" borderId="0" applyFont="0" applyFill="0" applyBorder="0" applyAlignment="0" applyProtection="0"/>
    <xf numFmtId="164" fontId="4"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0" fontId="1" fillId="0" borderId="0"/>
    <xf numFmtId="164" fontId="1" fillId="0" borderId="0" applyFont="0" applyFill="0" applyBorder="0" applyAlignment="0" applyProtection="0"/>
  </cellStyleXfs>
  <cellXfs count="705">
    <xf numFmtId="0" fontId="0" fillId="0" borderId="0" xfId="0"/>
    <xf numFmtId="0" fontId="5" fillId="0" borderId="0" xfId="0" applyFont="1"/>
    <xf numFmtId="0" fontId="7" fillId="0" borderId="0" xfId="0" applyFont="1"/>
    <xf numFmtId="0" fontId="8" fillId="0" borderId="0" xfId="0" applyFont="1"/>
    <xf numFmtId="0" fontId="0" fillId="2" borderId="0" xfId="0" applyFill="1"/>
    <xf numFmtId="0" fontId="9" fillId="0" borderId="0" xfId="0" applyFont="1"/>
    <xf numFmtId="49" fontId="7" fillId="0" borderId="0" xfId="0" applyNumberFormat="1" applyFont="1"/>
    <xf numFmtId="11" fontId="7" fillId="0" borderId="0" xfId="0" applyNumberFormat="1" applyFont="1"/>
    <xf numFmtId="0" fontId="10" fillId="0" borderId="0" xfId="0" applyFont="1"/>
    <xf numFmtId="0" fontId="11" fillId="0" borderId="0" xfId="0" applyFont="1"/>
    <xf numFmtId="49" fontId="10" fillId="0" borderId="0" xfId="0" applyNumberFormat="1" applyFont="1"/>
    <xf numFmtId="0" fontId="12" fillId="0" borderId="0" xfId="0" applyFont="1"/>
    <xf numFmtId="0" fontId="4" fillId="0" borderId="0" xfId="0" applyFont="1"/>
    <xf numFmtId="0" fontId="4" fillId="4" borderId="0" xfId="0" applyFont="1" applyFill="1"/>
    <xf numFmtId="0" fontId="0" fillId="4" borderId="0" xfId="0" applyFill="1"/>
    <xf numFmtId="0" fontId="5" fillId="5" borderId="0" xfId="0" applyFont="1" applyFill="1"/>
    <xf numFmtId="0" fontId="4" fillId="5" borderId="0" xfId="0" applyFont="1" applyFill="1"/>
    <xf numFmtId="0" fontId="0" fillId="5" borderId="0" xfId="0" applyFill="1"/>
    <xf numFmtId="0" fontId="10" fillId="5" borderId="0" xfId="0" applyFont="1" applyFill="1"/>
    <xf numFmtId="0" fontId="13" fillId="5" borderId="0" xfId="0" applyFont="1" applyFill="1"/>
    <xf numFmtId="2" fontId="0" fillId="5" borderId="0" xfId="0" applyNumberFormat="1" applyFill="1" applyAlignment="1">
      <alignment horizontal="right"/>
    </xf>
    <xf numFmtId="2" fontId="35" fillId="5" borderId="0" xfId="0" applyNumberFormat="1" applyFont="1" applyFill="1" applyAlignment="1">
      <alignment horizontal="right"/>
    </xf>
    <xf numFmtId="2" fontId="4" fillId="5" borderId="0" xfId="0" applyNumberFormat="1" applyFont="1" applyFill="1"/>
    <xf numFmtId="165" fontId="4" fillId="5" borderId="0" xfId="0" applyNumberFormat="1" applyFont="1" applyFill="1"/>
    <xf numFmtId="2" fontId="0" fillId="4" borderId="0" xfId="0" applyNumberFormat="1" applyFill="1" applyAlignment="1">
      <alignment horizontal="right"/>
    </xf>
    <xf numFmtId="0" fontId="31" fillId="5" borderId="0" xfId="0" applyFont="1" applyFill="1"/>
    <xf numFmtId="0" fontId="31" fillId="5" borderId="0" xfId="0" applyFont="1" applyFill="1" applyAlignment="1">
      <alignment horizontal="center"/>
    </xf>
    <xf numFmtId="0" fontId="0" fillId="5" borderId="0" xfId="0" applyFill="1" applyAlignment="1">
      <alignment horizontal="left"/>
    </xf>
    <xf numFmtId="0" fontId="4" fillId="5" borderId="0" xfId="0" applyFont="1" applyFill="1" applyAlignment="1">
      <alignment vertical="center"/>
    </xf>
    <xf numFmtId="0" fontId="5" fillId="5" borderId="0" xfId="0" applyFont="1" applyFill="1" applyAlignment="1">
      <alignment horizontal="right"/>
    </xf>
    <xf numFmtId="0" fontId="4" fillId="5" borderId="0" xfId="0" applyFont="1" applyFill="1" applyAlignment="1">
      <alignment horizontal="left"/>
    </xf>
    <xf numFmtId="1" fontId="4" fillId="5" borderId="0" xfId="0" applyNumberFormat="1" applyFont="1" applyFill="1"/>
    <xf numFmtId="0" fontId="5" fillId="5" borderId="0" xfId="2" applyFont="1" applyFill="1"/>
    <xf numFmtId="0" fontId="4" fillId="5" borderId="0" xfId="2" applyFont="1" applyFill="1"/>
    <xf numFmtId="2" fontId="31" fillId="5" borderId="0" xfId="0" applyNumberFormat="1" applyFont="1" applyFill="1"/>
    <xf numFmtId="0" fontId="31" fillId="5" borderId="0" xfId="0" applyFont="1" applyFill="1" applyAlignment="1">
      <alignment wrapText="1"/>
    </xf>
    <xf numFmtId="2" fontId="31" fillId="5" borderId="0" xfId="0" applyNumberFormat="1" applyFont="1" applyFill="1" applyAlignment="1">
      <alignment wrapText="1"/>
    </xf>
    <xf numFmtId="0" fontId="32" fillId="5" borderId="0" xfId="0" applyFont="1" applyFill="1" applyAlignment="1">
      <alignment wrapText="1"/>
    </xf>
    <xf numFmtId="2" fontId="32" fillId="5" borderId="0" xfId="0" applyNumberFormat="1" applyFont="1" applyFill="1" applyAlignment="1">
      <alignment wrapText="1"/>
    </xf>
    <xf numFmtId="0" fontId="31" fillId="5" borderId="0" xfId="0" applyFont="1" applyFill="1" applyAlignment="1">
      <alignment horizontal="left"/>
    </xf>
    <xf numFmtId="0" fontId="31" fillId="5" borderId="0" xfId="0" applyFont="1" applyFill="1" applyAlignment="1">
      <alignment horizontal="right"/>
    </xf>
    <xf numFmtId="165" fontId="31" fillId="5" borderId="0" xfId="0" applyNumberFormat="1" applyFont="1" applyFill="1" applyAlignment="1">
      <alignment horizontal="center"/>
    </xf>
    <xf numFmtId="165" fontId="31" fillId="5" borderId="0" xfId="0" applyNumberFormat="1" applyFont="1" applyFill="1"/>
    <xf numFmtId="2" fontId="31" fillId="5" borderId="0" xfId="0" applyNumberFormat="1" applyFont="1" applyFill="1" applyAlignment="1">
      <alignment horizontal="center"/>
    </xf>
    <xf numFmtId="2" fontId="46" fillId="5" borderId="0" xfId="0" applyNumberFormat="1" applyFont="1" applyFill="1"/>
    <xf numFmtId="1" fontId="31" fillId="5" borderId="0" xfId="0" applyNumberFormat="1" applyFont="1" applyFill="1"/>
    <xf numFmtId="0" fontId="31" fillId="5" borderId="0" xfId="0" applyFont="1" applyFill="1" applyAlignment="1">
      <alignment vertical="center"/>
    </xf>
    <xf numFmtId="0" fontId="5" fillId="5" borderId="0" xfId="0" applyFont="1" applyFill="1" applyAlignment="1">
      <alignment horizontal="center"/>
    </xf>
    <xf numFmtId="0" fontId="0" fillId="5" borderId="0" xfId="0" applyFill="1" applyAlignment="1">
      <alignment horizontal="center"/>
    </xf>
    <xf numFmtId="166" fontId="31" fillId="5" borderId="0" xfId="0" applyNumberFormat="1" applyFont="1" applyFill="1"/>
    <xf numFmtId="169" fontId="31" fillId="5" borderId="0" xfId="14" applyNumberFormat="1" applyFont="1" applyFill="1" applyBorder="1"/>
    <xf numFmtId="0" fontId="9" fillId="5" borderId="0" xfId="0" applyFont="1" applyFill="1"/>
    <xf numFmtId="0" fontId="4" fillId="5" borderId="0" xfId="0" applyFont="1" applyFill="1" applyAlignment="1">
      <alignment wrapText="1"/>
    </xf>
    <xf numFmtId="6" fontId="32" fillId="5" borderId="0" xfId="0" applyNumberFormat="1" applyFont="1" applyFill="1" applyAlignment="1">
      <alignment horizontal="center" wrapText="1"/>
    </xf>
    <xf numFmtId="6" fontId="31" fillId="5" borderId="0" xfId="0" applyNumberFormat="1" applyFont="1" applyFill="1" applyAlignment="1">
      <alignment horizontal="center" wrapText="1"/>
    </xf>
    <xf numFmtId="38" fontId="32" fillId="5" borderId="0" xfId="0" applyNumberFormat="1" applyFont="1" applyFill="1" applyAlignment="1">
      <alignment horizontal="right" wrapText="1"/>
    </xf>
    <xf numFmtId="0" fontId="31" fillId="5" borderId="0" xfId="0" applyFont="1" applyFill="1" applyAlignment="1">
      <alignment horizontal="center" wrapText="1"/>
    </xf>
    <xf numFmtId="2" fontId="31" fillId="5" borderId="0" xfId="0" applyNumberFormat="1" applyFont="1" applyFill="1" applyAlignment="1">
      <alignment horizontal="right" wrapText="1"/>
    </xf>
    <xf numFmtId="2" fontId="31" fillId="5" borderId="0" xfId="0" applyNumberFormat="1" applyFont="1" applyFill="1" applyAlignment="1">
      <alignment horizontal="right"/>
    </xf>
    <xf numFmtId="2" fontId="32" fillId="5" borderId="0" xfId="0" applyNumberFormat="1" applyFont="1" applyFill="1"/>
    <xf numFmtId="1" fontId="31" fillId="5" borderId="0" xfId="0" applyNumberFormat="1" applyFont="1" applyFill="1" applyAlignment="1">
      <alignment horizontal="right"/>
    </xf>
    <xf numFmtId="166" fontId="31" fillId="5" borderId="0" xfId="0" applyNumberFormat="1" applyFont="1" applyFill="1" applyAlignment="1">
      <alignment horizontal="center"/>
    </xf>
    <xf numFmtId="167" fontId="31" fillId="5" borderId="0" xfId="0" applyNumberFormat="1" applyFont="1" applyFill="1" applyAlignment="1">
      <alignment horizontal="center"/>
    </xf>
    <xf numFmtId="0" fontId="21" fillId="5" borderId="0" xfId="0" applyFont="1" applyFill="1"/>
    <xf numFmtId="14" fontId="4" fillId="5" borderId="0" xfId="0" applyNumberFormat="1" applyFont="1" applyFill="1"/>
    <xf numFmtId="0" fontId="4" fillId="5" borderId="0" xfId="0" quotePrefix="1" applyFont="1" applyFill="1"/>
    <xf numFmtId="0" fontId="31" fillId="5" borderId="0" xfId="0" applyFont="1" applyFill="1" applyAlignment="1">
      <alignment horizontal="center" vertical="center" wrapText="1"/>
    </xf>
    <xf numFmtId="0" fontId="44" fillId="5" borderId="0" xfId="0" applyFont="1" applyFill="1"/>
    <xf numFmtId="167" fontId="31" fillId="5" borderId="0" xfId="0" applyNumberFormat="1" applyFont="1" applyFill="1"/>
    <xf numFmtId="0" fontId="48" fillId="5" borderId="0" xfId="0" applyFont="1" applyFill="1"/>
    <xf numFmtId="2" fontId="48" fillId="5" borderId="0" xfId="0" applyNumberFormat="1" applyFont="1" applyFill="1"/>
    <xf numFmtId="0" fontId="48" fillId="5" borderId="0" xfId="0" applyFont="1" applyFill="1" applyAlignment="1">
      <alignment horizontal="center"/>
    </xf>
    <xf numFmtId="0" fontId="49" fillId="5" borderId="0" xfId="0" applyFont="1" applyFill="1" applyAlignment="1">
      <alignment horizontal="center" vertical="center" wrapText="1"/>
    </xf>
    <xf numFmtId="167" fontId="48" fillId="5" borderId="0" xfId="0" applyNumberFormat="1" applyFont="1" applyFill="1"/>
    <xf numFmtId="0" fontId="48" fillId="5" borderId="0" xfId="0" applyFont="1" applyFill="1" applyAlignment="1">
      <alignment horizontal="right"/>
    </xf>
    <xf numFmtId="169" fontId="48" fillId="5" borderId="0" xfId="14" applyNumberFormat="1" applyFont="1" applyFill="1" applyBorder="1"/>
    <xf numFmtId="0" fontId="5" fillId="5" borderId="0" xfId="0" applyFont="1" applyFill="1" applyAlignment="1">
      <alignment horizontal="center" vertical="center" wrapText="1"/>
    </xf>
    <xf numFmtId="1" fontId="0" fillId="5" borderId="0" xfId="0" applyNumberFormat="1" applyFill="1"/>
    <xf numFmtId="1" fontId="5" fillId="5" borderId="0" xfId="0" applyNumberFormat="1" applyFont="1" applyFill="1" applyAlignment="1">
      <alignment wrapText="1"/>
    </xf>
    <xf numFmtId="0" fontId="19" fillId="5" borderId="0" xfId="0" applyFont="1" applyFill="1"/>
    <xf numFmtId="2" fontId="5" fillId="5" borderId="0" xfId="0" applyNumberFormat="1" applyFont="1" applyFill="1"/>
    <xf numFmtId="1" fontId="5" fillId="5" borderId="0" xfId="0" applyNumberFormat="1" applyFont="1" applyFill="1"/>
    <xf numFmtId="165" fontId="5" fillId="5" borderId="0" xfId="0" applyNumberFormat="1" applyFont="1" applyFill="1"/>
    <xf numFmtId="1" fontId="9" fillId="5" borderId="0" xfId="0" applyNumberFormat="1" applyFont="1" applyFill="1"/>
    <xf numFmtId="166" fontId="4" fillId="5" borderId="0" xfId="0" applyNumberFormat="1" applyFont="1" applyFill="1"/>
    <xf numFmtId="166" fontId="10" fillId="5" borderId="0" xfId="0" applyNumberFormat="1" applyFont="1" applyFill="1"/>
    <xf numFmtId="166" fontId="9" fillId="5" borderId="0" xfId="0" applyNumberFormat="1" applyFont="1" applyFill="1"/>
    <xf numFmtId="1" fontId="4" fillId="5" borderId="0" xfId="0" applyNumberFormat="1" applyFont="1" applyFill="1" applyAlignment="1">
      <alignment wrapText="1"/>
    </xf>
    <xf numFmtId="167" fontId="4" fillId="5" borderId="0" xfId="0" applyNumberFormat="1" applyFont="1" applyFill="1" applyAlignment="1">
      <alignment wrapText="1"/>
    </xf>
    <xf numFmtId="1" fontId="32" fillId="5" borderId="0" xfId="0" applyNumberFormat="1" applyFont="1" applyFill="1" applyAlignment="1">
      <alignment wrapText="1"/>
    </xf>
    <xf numFmtId="0" fontId="4" fillId="5" borderId="0" xfId="0" applyFont="1" applyFill="1" applyAlignment="1">
      <alignment horizontal="right"/>
    </xf>
    <xf numFmtId="2" fontId="4" fillId="5" borderId="0" xfId="0" applyNumberFormat="1" applyFont="1" applyFill="1" applyAlignment="1">
      <alignment wrapText="1"/>
    </xf>
    <xf numFmtId="171" fontId="4" fillId="5" borderId="0" xfId="0" applyNumberFormat="1" applyFont="1" applyFill="1"/>
    <xf numFmtId="1" fontId="50" fillId="5" borderId="0" xfId="0" applyNumberFormat="1" applyFont="1" applyFill="1"/>
    <xf numFmtId="2" fontId="4" fillId="5" borderId="0" xfId="0" applyNumberFormat="1" applyFont="1" applyFill="1" applyAlignment="1">
      <alignment horizontal="left"/>
    </xf>
    <xf numFmtId="0" fontId="50" fillId="5" borderId="0" xfId="0" applyFont="1" applyFill="1"/>
    <xf numFmtId="173" fontId="4" fillId="5" borderId="0" xfId="0" applyNumberFormat="1" applyFont="1" applyFill="1"/>
    <xf numFmtId="169" fontId="4" fillId="5" borderId="0" xfId="14" applyNumberFormat="1" applyFont="1" applyFill="1" applyBorder="1"/>
    <xf numFmtId="167" fontId="5" fillId="5" borderId="0" xfId="0" applyNumberFormat="1" applyFont="1" applyFill="1"/>
    <xf numFmtId="167" fontId="4" fillId="5" borderId="0" xfId="0" applyNumberFormat="1" applyFont="1" applyFill="1" applyAlignment="1">
      <alignment horizontal="right" indent="1"/>
    </xf>
    <xf numFmtId="171" fontId="35" fillId="5" borderId="0" xfId="0" applyNumberFormat="1" applyFont="1" applyFill="1"/>
    <xf numFmtId="0" fontId="10" fillId="5" borderId="0" xfId="0" applyFont="1" applyFill="1" applyAlignment="1">
      <alignment horizontal="left"/>
    </xf>
    <xf numFmtId="171" fontId="5" fillId="5" borderId="0" xfId="0" applyNumberFormat="1" applyFont="1" applyFill="1"/>
    <xf numFmtId="0" fontId="9" fillId="5" borderId="0" xfId="0" applyFont="1" applyFill="1" applyAlignment="1">
      <alignment horizontal="left"/>
    </xf>
    <xf numFmtId="2" fontId="25" fillId="5" borderId="0" xfId="0" applyNumberFormat="1" applyFont="1" applyFill="1"/>
    <xf numFmtId="0" fontId="32" fillId="5" borderId="0" xfId="13" applyFont="1" applyFill="1" applyProtection="1">
      <protection locked="0"/>
    </xf>
    <xf numFmtId="0" fontId="31" fillId="5" borderId="0" xfId="13" applyFont="1" applyFill="1" applyProtection="1">
      <protection locked="0"/>
    </xf>
    <xf numFmtId="0" fontId="32" fillId="5" borderId="0" xfId="13" applyFont="1" applyFill="1" applyAlignment="1" applyProtection="1">
      <alignment wrapText="1"/>
      <protection locked="0"/>
    </xf>
    <xf numFmtId="0" fontId="32" fillId="5" borderId="0" xfId="13" applyFont="1" applyFill="1" applyAlignment="1" applyProtection="1">
      <alignment horizontal="right"/>
      <protection locked="0"/>
    </xf>
    <xf numFmtId="0" fontId="32" fillId="5" borderId="0" xfId="13" applyFont="1" applyFill="1" applyAlignment="1" applyProtection="1">
      <alignment horizontal="left" indent="1"/>
      <protection locked="0"/>
    </xf>
    <xf numFmtId="3" fontId="32" fillId="5" borderId="0" xfId="13" applyNumberFormat="1" applyFont="1" applyFill="1" applyProtection="1">
      <protection locked="0"/>
    </xf>
    <xf numFmtId="0" fontId="31" fillId="5" borderId="0" xfId="13" applyFont="1" applyFill="1" applyAlignment="1" applyProtection="1">
      <alignment horizontal="left" indent="1"/>
      <protection locked="0"/>
    </xf>
    <xf numFmtId="167" fontId="31" fillId="5" borderId="0" xfId="13" applyNumberFormat="1" applyFont="1" applyFill="1" applyAlignment="1" applyProtection="1">
      <alignment horizontal="right"/>
      <protection locked="0"/>
    </xf>
    <xf numFmtId="0" fontId="32" fillId="5" borderId="0" xfId="0" applyFont="1" applyFill="1" applyAlignment="1">
      <alignment horizontal="right"/>
    </xf>
    <xf numFmtId="171" fontId="31" fillId="5" borderId="0" xfId="0" applyNumberFormat="1" applyFont="1" applyFill="1" applyAlignment="1">
      <alignment wrapText="1"/>
    </xf>
    <xf numFmtId="1" fontId="31" fillId="5" borderId="0" xfId="0" applyNumberFormat="1" applyFont="1" applyFill="1" applyAlignment="1">
      <alignment wrapText="1"/>
    </xf>
    <xf numFmtId="0" fontId="32" fillId="5" borderId="0" xfId="0" applyFont="1" applyFill="1" applyAlignment="1">
      <alignment vertical="center" wrapText="1"/>
    </xf>
    <xf numFmtId="0" fontId="31" fillId="5" borderId="0" xfId="0" applyFont="1" applyFill="1" applyAlignment="1">
      <alignment vertical="center" wrapText="1"/>
    </xf>
    <xf numFmtId="172" fontId="31" fillId="5" borderId="0" xfId="13" applyNumberFormat="1" applyFont="1" applyFill="1" applyAlignment="1" applyProtection="1">
      <alignment horizontal="right" indent="1"/>
      <protection locked="0"/>
    </xf>
    <xf numFmtId="0" fontId="31" fillId="5" borderId="0" xfId="10" applyFont="1" applyFill="1"/>
    <xf numFmtId="171" fontId="31" fillId="5" borderId="0" xfId="0" applyNumberFormat="1" applyFont="1" applyFill="1" applyAlignment="1">
      <alignment horizontal="right" indent="1"/>
    </xf>
    <xf numFmtId="1" fontId="32" fillId="5" borderId="0" xfId="0" applyNumberFormat="1" applyFont="1" applyFill="1" applyAlignment="1">
      <alignment vertical="center" wrapText="1"/>
    </xf>
    <xf numFmtId="3" fontId="32" fillId="5" borderId="0" xfId="0" applyNumberFormat="1" applyFont="1" applyFill="1" applyAlignment="1">
      <alignment vertical="center" wrapText="1"/>
    </xf>
    <xf numFmtId="169" fontId="32" fillId="5" borderId="0" xfId="14" applyNumberFormat="1" applyFont="1" applyFill="1" applyBorder="1" applyAlignment="1">
      <alignment vertical="center" wrapText="1"/>
    </xf>
    <xf numFmtId="165" fontId="31" fillId="5" borderId="0" xfId="0" applyNumberFormat="1" applyFont="1" applyFill="1" applyAlignment="1">
      <alignment vertical="center" wrapText="1"/>
    </xf>
    <xf numFmtId="171" fontId="31" fillId="5" borderId="0" xfId="0" applyNumberFormat="1" applyFont="1" applyFill="1" applyAlignment="1">
      <alignment horizontal="center"/>
    </xf>
    <xf numFmtId="4" fontId="31" fillId="5" borderId="0" xfId="5" applyNumberFormat="1" applyFont="1" applyFill="1" applyAlignment="1">
      <alignment horizontal="right" indent="1"/>
    </xf>
    <xf numFmtId="169" fontId="31" fillId="5" borderId="0" xfId="14" applyNumberFormat="1" applyFont="1" applyFill="1" applyBorder="1" applyAlignment="1">
      <alignment vertical="center" wrapText="1"/>
    </xf>
    <xf numFmtId="173" fontId="32" fillId="5" borderId="0" xfId="0" applyNumberFormat="1" applyFont="1" applyFill="1" applyAlignment="1">
      <alignment horizontal="center"/>
    </xf>
    <xf numFmtId="169" fontId="31" fillId="5" borderId="0" xfId="0" applyNumberFormat="1" applyFont="1" applyFill="1"/>
    <xf numFmtId="171" fontId="31" fillId="5" borderId="0" xfId="0" applyNumberFormat="1" applyFont="1" applyFill="1"/>
    <xf numFmtId="9" fontId="32" fillId="5" borderId="0" xfId="14" applyFont="1" applyFill="1" applyBorder="1"/>
    <xf numFmtId="173" fontId="31" fillId="5" borderId="0" xfId="0" applyNumberFormat="1" applyFont="1" applyFill="1"/>
    <xf numFmtId="1" fontId="32" fillId="5" borderId="0" xfId="0" applyNumberFormat="1" applyFont="1" applyFill="1"/>
    <xf numFmtId="174" fontId="31" fillId="5" borderId="0" xfId="0" applyNumberFormat="1" applyFont="1" applyFill="1"/>
    <xf numFmtId="169" fontId="31" fillId="5" borderId="0" xfId="14" quotePrefix="1" applyNumberFormat="1" applyFont="1" applyFill="1" applyBorder="1" applyAlignment="1">
      <alignment horizontal="center"/>
    </xf>
    <xf numFmtId="169" fontId="32" fillId="5" borderId="0" xfId="0" applyNumberFormat="1" applyFont="1" applyFill="1"/>
    <xf numFmtId="9" fontId="31" fillId="5" borderId="0" xfId="14" applyFont="1" applyFill="1" applyBorder="1" applyAlignment="1">
      <alignment horizontal="center" vertical="center" wrapText="1"/>
    </xf>
    <xf numFmtId="171" fontId="32" fillId="5" borderId="0" xfId="0" applyNumberFormat="1" applyFont="1" applyFill="1"/>
    <xf numFmtId="179" fontId="31" fillId="5" borderId="0" xfId="0" applyNumberFormat="1" applyFont="1" applyFill="1"/>
    <xf numFmtId="179" fontId="31" fillId="5" borderId="0" xfId="0" applyNumberFormat="1" applyFont="1" applyFill="1" applyAlignment="1">
      <alignment wrapText="1"/>
    </xf>
    <xf numFmtId="1" fontId="31" fillId="5" borderId="0" xfId="14" applyNumberFormat="1" applyFont="1" applyFill="1" applyBorder="1" applyAlignment="1">
      <alignment vertical="center" wrapText="1"/>
    </xf>
    <xf numFmtId="165" fontId="31" fillId="5" borderId="0" xfId="14" applyNumberFormat="1" applyFont="1" applyFill="1" applyBorder="1" applyAlignment="1">
      <alignment vertical="center" wrapText="1"/>
    </xf>
    <xf numFmtId="0" fontId="32" fillId="5" borderId="0" xfId="0" applyFont="1" applyFill="1" applyAlignment="1">
      <alignment horizontal="right" vertical="center" wrapText="1"/>
    </xf>
    <xf numFmtId="179" fontId="32" fillId="5" borderId="0" xfId="0" applyNumberFormat="1" applyFont="1" applyFill="1"/>
    <xf numFmtId="2" fontId="31" fillId="5" borderId="0" xfId="0" applyNumberFormat="1" applyFont="1" applyFill="1" applyAlignment="1">
      <alignment vertical="center" wrapText="1"/>
    </xf>
    <xf numFmtId="3" fontId="31" fillId="5" borderId="0" xfId="5" applyNumberFormat="1" applyFont="1" applyFill="1"/>
    <xf numFmtId="0" fontId="31" fillId="5" borderId="0" xfId="8" applyFont="1" applyFill="1" applyAlignment="1">
      <alignment horizontal="center"/>
    </xf>
    <xf numFmtId="3" fontId="31" fillId="5" borderId="0" xfId="0" applyNumberFormat="1" applyFont="1" applyFill="1" applyAlignment="1">
      <alignment vertical="center" wrapText="1"/>
    </xf>
    <xf numFmtId="0" fontId="31" fillId="5" borderId="0" xfId="8" applyFont="1" applyFill="1"/>
    <xf numFmtId="11" fontId="31" fillId="5" borderId="0" xfId="8" applyNumberFormat="1" applyFont="1" applyFill="1"/>
    <xf numFmtId="3" fontId="31" fillId="5" borderId="0" xfId="0" applyNumberFormat="1" applyFont="1" applyFill="1"/>
    <xf numFmtId="169" fontId="31" fillId="5" borderId="0" xfId="14" applyNumberFormat="1" applyFont="1" applyFill="1" applyBorder="1" applyAlignment="1">
      <alignment horizontal="center" vertical="center" wrapText="1"/>
    </xf>
    <xf numFmtId="10" fontId="31" fillId="5" borderId="0" xfId="14" applyNumberFormat="1" applyFont="1" applyFill="1" applyBorder="1" applyAlignment="1">
      <alignment horizontal="center" vertical="center" wrapText="1"/>
    </xf>
    <xf numFmtId="2" fontId="31" fillId="5" borderId="0" xfId="14" applyNumberFormat="1" applyFont="1" applyFill="1" applyBorder="1" applyAlignment="1">
      <alignment vertical="center" wrapText="1"/>
    </xf>
    <xf numFmtId="165" fontId="32" fillId="5" borderId="0" xfId="0" applyNumberFormat="1" applyFont="1" applyFill="1" applyAlignment="1">
      <alignment vertical="center" wrapText="1"/>
    </xf>
    <xf numFmtId="2" fontId="32" fillId="5" borderId="0" xfId="0" applyNumberFormat="1" applyFont="1" applyFill="1" applyAlignment="1">
      <alignment vertical="center" wrapText="1"/>
    </xf>
    <xf numFmtId="0" fontId="31" fillId="5" borderId="7" xfId="0" applyFont="1" applyFill="1" applyBorder="1"/>
    <xf numFmtId="0" fontId="4" fillId="5" borderId="10" xfId="0" applyFont="1" applyFill="1" applyBorder="1"/>
    <xf numFmtId="0" fontId="4" fillId="5" borderId="12" xfId="0" applyFont="1" applyFill="1" applyBorder="1"/>
    <xf numFmtId="168" fontId="13" fillId="5" borderId="0" xfId="0" applyNumberFormat="1" applyFont="1" applyFill="1"/>
    <xf numFmtId="2" fontId="13" fillId="5" borderId="0" xfId="0" applyNumberFormat="1" applyFont="1" applyFill="1" applyAlignment="1">
      <alignment horizontal="left"/>
    </xf>
    <xf numFmtId="11" fontId="13" fillId="5" borderId="0" xfId="0" applyNumberFormat="1" applyFont="1" applyFill="1" applyAlignment="1">
      <alignment horizontal="right"/>
    </xf>
    <xf numFmtId="1" fontId="13" fillId="5" borderId="0" xfId="0" applyNumberFormat="1" applyFont="1" applyFill="1" applyAlignment="1">
      <alignment horizontal="right"/>
    </xf>
    <xf numFmtId="0" fontId="13" fillId="5" borderId="0" xfId="9" applyFont="1" applyFill="1"/>
    <xf numFmtId="165" fontId="13" fillId="5" borderId="0" xfId="9" applyNumberFormat="1" applyFont="1" applyFill="1"/>
    <xf numFmtId="0" fontId="7" fillId="5" borderId="0" xfId="6" applyFont="1" applyFill="1" applyAlignment="1">
      <alignment horizontal="right" wrapText="1"/>
    </xf>
    <xf numFmtId="0" fontId="13" fillId="5" borderId="0" xfId="0" applyFont="1" applyFill="1" applyAlignment="1">
      <alignment horizontal="center"/>
    </xf>
    <xf numFmtId="1" fontId="13" fillId="5" borderId="0" xfId="0" applyNumberFormat="1" applyFont="1" applyFill="1" applyAlignment="1">
      <alignment horizontal="center"/>
    </xf>
    <xf numFmtId="2" fontId="13" fillId="5" borderId="0" xfId="0" applyNumberFormat="1" applyFont="1" applyFill="1" applyAlignment="1">
      <alignment horizontal="center"/>
    </xf>
    <xf numFmtId="0" fontId="15" fillId="5" borderId="0" xfId="9" applyFont="1" applyFill="1"/>
    <xf numFmtId="0" fontId="34" fillId="5" borderId="0" xfId="16" applyFill="1" applyBorder="1" applyAlignment="1" applyProtection="1"/>
    <xf numFmtId="11" fontId="31" fillId="5" borderId="0" xfId="0" applyNumberFormat="1" applyFont="1" applyFill="1"/>
    <xf numFmtId="0" fontId="32" fillId="5" borderId="0" xfId="11" applyFont="1" applyFill="1" applyBorder="1"/>
    <xf numFmtId="0" fontId="32" fillId="5" borderId="0" xfId="11" applyFont="1" applyFill="1" applyBorder="1" applyAlignment="1">
      <alignment horizontal="left"/>
    </xf>
    <xf numFmtId="11" fontId="32" fillId="5" borderId="0" xfId="4" applyNumberFormat="1" applyFont="1" applyFill="1"/>
    <xf numFmtId="0" fontId="32" fillId="5" borderId="0" xfId="4" applyFont="1" applyFill="1"/>
    <xf numFmtId="0" fontId="49" fillId="4" borderId="0" xfId="0" applyFont="1" applyFill="1"/>
    <xf numFmtId="0" fontId="48" fillId="4" borderId="0" xfId="0" applyFont="1" applyFill="1"/>
    <xf numFmtId="0" fontId="49" fillId="4" borderId="0" xfId="0" quotePrefix="1" applyFont="1" applyFill="1"/>
    <xf numFmtId="0" fontId="52" fillId="5" borderId="0" xfId="0" applyFont="1" applyFill="1"/>
    <xf numFmtId="0" fontId="52" fillId="5" borderId="0" xfId="0" applyFont="1" applyFill="1" applyAlignment="1">
      <alignment horizontal="center"/>
    </xf>
    <xf numFmtId="0" fontId="52" fillId="5" borderId="0" xfId="0" applyFont="1" applyFill="1" applyAlignment="1">
      <alignment horizontal="right"/>
    </xf>
    <xf numFmtId="9" fontId="52" fillId="5" borderId="0" xfId="14" applyFont="1" applyFill="1" applyBorder="1" applyAlignment="1">
      <alignment horizontal="center"/>
    </xf>
    <xf numFmtId="0" fontId="5" fillId="4" borderId="0" xfId="0" applyFont="1" applyFill="1" applyAlignment="1">
      <alignment horizontal="right" vertical="center" wrapText="1"/>
    </xf>
    <xf numFmtId="2" fontId="4" fillId="5" borderId="0" xfId="0" applyNumberFormat="1" applyFont="1" applyFill="1" applyAlignment="1">
      <alignment horizontal="right"/>
    </xf>
    <xf numFmtId="2" fontId="50" fillId="5" borderId="0" xfId="0" applyNumberFormat="1" applyFont="1" applyFill="1" applyAlignment="1">
      <alignment horizontal="right"/>
    </xf>
    <xf numFmtId="1" fontId="50" fillId="5" borderId="0" xfId="0" applyNumberFormat="1" applyFont="1" applyFill="1" applyAlignment="1">
      <alignment horizontal="right"/>
    </xf>
    <xf numFmtId="1" fontId="52" fillId="5" borderId="0" xfId="0" applyNumberFormat="1" applyFont="1" applyFill="1"/>
    <xf numFmtId="0" fontId="31" fillId="4" borderId="0" xfId="0" applyFont="1" applyFill="1"/>
    <xf numFmtId="0" fontId="4" fillId="4" borderId="0" xfId="0" applyFont="1" applyFill="1" applyAlignment="1">
      <alignment horizontal="right"/>
    </xf>
    <xf numFmtId="0" fontId="5" fillId="4" borderId="0" xfId="0" applyFont="1" applyFill="1" applyAlignment="1">
      <alignment horizontal="right" wrapText="1"/>
    </xf>
    <xf numFmtId="3" fontId="4" fillId="5" borderId="0" xfId="0" applyNumberFormat="1" applyFont="1" applyFill="1" applyAlignment="1">
      <alignment horizontal="right"/>
    </xf>
    <xf numFmtId="0" fontId="53" fillId="5" borderId="0" xfId="0" applyFont="1" applyFill="1" applyAlignment="1">
      <alignment horizontal="right"/>
    </xf>
    <xf numFmtId="0" fontId="45" fillId="5" borderId="0" xfId="0" applyFont="1" applyFill="1" applyAlignment="1">
      <alignment horizontal="right"/>
    </xf>
    <xf numFmtId="1" fontId="4" fillId="5" borderId="0" xfId="0" applyNumberFormat="1" applyFont="1" applyFill="1" applyAlignment="1">
      <alignment horizontal="right"/>
    </xf>
    <xf numFmtId="2" fontId="54" fillId="5" borderId="0" xfId="0" applyNumberFormat="1" applyFont="1" applyFill="1" applyAlignment="1">
      <alignment horizontal="right"/>
    </xf>
    <xf numFmtId="167" fontId="54" fillId="5" borderId="0" xfId="0" applyNumberFormat="1" applyFont="1" applyFill="1" applyAlignment="1">
      <alignment horizontal="right"/>
    </xf>
    <xf numFmtId="0" fontId="5" fillId="5" borderId="0" xfId="0" applyFont="1" applyFill="1" applyAlignment="1">
      <alignment horizontal="right" vertical="center" wrapText="1"/>
    </xf>
    <xf numFmtId="0" fontId="24" fillId="5" borderId="0" xfId="0" applyFont="1" applyFill="1" applyAlignment="1">
      <alignment horizontal="left" wrapText="1"/>
    </xf>
    <xf numFmtId="0" fontId="5" fillId="5" borderId="0" xfId="0" applyFont="1" applyFill="1" applyAlignment="1">
      <alignment horizontal="left" wrapText="1"/>
    </xf>
    <xf numFmtId="0" fontId="4" fillId="5" borderId="0" xfId="0" applyFont="1" applyFill="1" applyAlignment="1">
      <alignment horizontal="left" wrapText="1"/>
    </xf>
    <xf numFmtId="0" fontId="5" fillId="4" borderId="0" xfId="0" applyFont="1" applyFill="1" applyAlignment="1">
      <alignment horizontal="left" wrapText="1"/>
    </xf>
    <xf numFmtId="0" fontId="4" fillId="5" borderId="0" xfId="10" applyFill="1" applyAlignment="1">
      <alignment horizontal="left"/>
    </xf>
    <xf numFmtId="2" fontId="4" fillId="5" borderId="0" xfId="5" applyNumberFormat="1" applyFill="1" applyAlignment="1">
      <alignment horizontal="left"/>
    </xf>
    <xf numFmtId="0" fontId="4" fillId="5" borderId="0" xfId="8" applyFont="1" applyFill="1" applyAlignment="1">
      <alignment horizontal="left"/>
    </xf>
    <xf numFmtId="0" fontId="55" fillId="5" borderId="0" xfId="10" applyFont="1" applyFill="1" applyAlignment="1">
      <alignment horizontal="left"/>
    </xf>
    <xf numFmtId="2" fontId="55" fillId="5" borderId="0" xfId="0" applyNumberFormat="1" applyFont="1" applyFill="1" applyAlignment="1">
      <alignment horizontal="left" wrapText="1"/>
    </xf>
    <xf numFmtId="11" fontId="4" fillId="5" borderId="0" xfId="8" applyNumberFormat="1" applyFont="1" applyFill="1" applyAlignment="1">
      <alignment horizontal="left"/>
    </xf>
    <xf numFmtId="0" fontId="5" fillId="5" borderId="0" xfId="13" applyFont="1" applyFill="1" applyAlignment="1" applyProtection="1">
      <alignment horizontal="left"/>
      <protection locked="0"/>
    </xf>
    <xf numFmtId="0" fontId="4" fillId="5" borderId="0" xfId="13" applyFill="1" applyAlignment="1" applyProtection="1">
      <alignment horizontal="left"/>
      <protection locked="0"/>
    </xf>
    <xf numFmtId="0" fontId="5" fillId="5" borderId="0" xfId="13" applyFont="1" applyFill="1" applyAlignment="1" applyProtection="1">
      <alignment horizontal="left" wrapText="1"/>
      <protection locked="0"/>
    </xf>
    <xf numFmtId="2" fontId="56" fillId="5" borderId="0" xfId="5" applyNumberFormat="1" applyFont="1" applyFill="1" applyAlignment="1">
      <alignment horizontal="left"/>
    </xf>
    <xf numFmtId="2" fontId="56" fillId="5" borderId="0" xfId="0" applyNumberFormat="1" applyFont="1" applyFill="1" applyAlignment="1">
      <alignment horizontal="left"/>
    </xf>
    <xf numFmtId="0" fontId="20" fillId="5" borderId="0" xfId="13" applyFont="1" applyFill="1" applyAlignment="1" applyProtection="1">
      <alignment horizontal="left"/>
      <protection locked="0"/>
    </xf>
    <xf numFmtId="3" fontId="5" fillId="5" borderId="0" xfId="13" applyNumberFormat="1" applyFont="1" applyFill="1" applyAlignment="1" applyProtection="1">
      <alignment horizontal="left"/>
      <protection locked="0"/>
    </xf>
    <xf numFmtId="0" fontId="10" fillId="5" borderId="0" xfId="10" applyFont="1" applyFill="1" applyAlignment="1">
      <alignment horizontal="left"/>
    </xf>
    <xf numFmtId="3" fontId="10" fillId="5" borderId="0" xfId="5" applyNumberFormat="1" applyFont="1" applyFill="1" applyAlignment="1">
      <alignment horizontal="left"/>
    </xf>
    <xf numFmtId="0" fontId="23" fillId="5" borderId="0" xfId="13" applyFont="1" applyFill="1" applyAlignment="1" applyProtection="1">
      <alignment horizontal="left"/>
      <protection locked="0"/>
    </xf>
    <xf numFmtId="167" fontId="4" fillId="5" borderId="0" xfId="13" applyNumberFormat="1" applyFill="1" applyAlignment="1" applyProtection="1">
      <alignment horizontal="left"/>
      <protection locked="0"/>
    </xf>
    <xf numFmtId="0" fontId="4" fillId="4" borderId="0" xfId="0" applyFont="1" applyFill="1" applyAlignment="1">
      <alignment horizontal="left" wrapText="1"/>
    </xf>
    <xf numFmtId="0" fontId="55" fillId="5" borderId="0" xfId="0" applyFont="1" applyFill="1" applyAlignment="1">
      <alignment horizontal="left" wrapText="1"/>
    </xf>
    <xf numFmtId="2" fontId="4" fillId="5" borderId="0" xfId="0" applyNumberFormat="1" applyFont="1" applyFill="1" applyAlignment="1">
      <alignment horizontal="left" wrapText="1"/>
    </xf>
    <xf numFmtId="10" fontId="4" fillId="5" borderId="0" xfId="14" applyNumberFormat="1" applyFont="1" applyFill="1" applyBorder="1" applyAlignment="1">
      <alignment horizontal="left" wrapText="1"/>
    </xf>
    <xf numFmtId="172" fontId="9" fillId="5" borderId="0" xfId="13" applyNumberFormat="1" applyFont="1" applyFill="1" applyAlignment="1" applyProtection="1">
      <alignment horizontal="left"/>
      <protection locked="0"/>
    </xf>
    <xf numFmtId="171" fontId="10" fillId="5" borderId="0" xfId="0" applyNumberFormat="1" applyFont="1" applyFill="1" applyAlignment="1">
      <alignment horizontal="left"/>
    </xf>
    <xf numFmtId="171" fontId="4" fillId="5" borderId="0" xfId="0" applyNumberFormat="1" applyFont="1" applyFill="1" applyAlignment="1">
      <alignment horizontal="left"/>
    </xf>
    <xf numFmtId="165" fontId="4" fillId="5" borderId="0" xfId="0" applyNumberFormat="1" applyFont="1" applyFill="1" applyAlignment="1">
      <alignment horizontal="left" wrapText="1"/>
    </xf>
    <xf numFmtId="165" fontId="9" fillId="5" borderId="0" xfId="0" applyNumberFormat="1" applyFont="1" applyFill="1" applyAlignment="1">
      <alignment horizontal="left" wrapText="1"/>
    </xf>
    <xf numFmtId="2" fontId="36" fillId="5" borderId="0" xfId="0" applyNumberFormat="1" applyFont="1" applyFill="1" applyAlignment="1">
      <alignment horizontal="left"/>
    </xf>
    <xf numFmtId="3" fontId="4" fillId="5" borderId="0" xfId="5" applyNumberFormat="1" applyFill="1" applyAlignment="1">
      <alignment horizontal="left"/>
    </xf>
    <xf numFmtId="165" fontId="4" fillId="5" borderId="0" xfId="0" applyNumberFormat="1" applyFont="1" applyFill="1" applyAlignment="1">
      <alignment horizontal="left"/>
    </xf>
    <xf numFmtId="0" fontId="4" fillId="4" borderId="0" xfId="0" applyFont="1" applyFill="1" applyAlignment="1">
      <alignment horizontal="left"/>
    </xf>
    <xf numFmtId="169" fontId="4" fillId="5" borderId="0" xfId="14" applyNumberFormat="1" applyFont="1" applyFill="1" applyAlignment="1">
      <alignment horizontal="left" wrapText="1"/>
    </xf>
    <xf numFmtId="173" fontId="5" fillId="5" borderId="0" xfId="0" applyNumberFormat="1" applyFont="1" applyFill="1" applyAlignment="1">
      <alignment horizontal="left"/>
    </xf>
    <xf numFmtId="169" fontId="4" fillId="5" borderId="0" xfId="14" applyNumberFormat="1" applyFont="1" applyFill="1" applyAlignment="1">
      <alignment horizontal="left"/>
    </xf>
    <xf numFmtId="169" fontId="4" fillId="5" borderId="0" xfId="0" applyNumberFormat="1" applyFont="1" applyFill="1" applyAlignment="1">
      <alignment horizontal="left"/>
    </xf>
    <xf numFmtId="9" fontId="4" fillId="5" borderId="0" xfId="14" applyFont="1" applyFill="1" applyAlignment="1">
      <alignment horizontal="left"/>
    </xf>
    <xf numFmtId="2" fontId="5" fillId="5" borderId="0" xfId="0" applyNumberFormat="1" applyFont="1" applyFill="1" applyAlignment="1">
      <alignment horizontal="left"/>
    </xf>
    <xf numFmtId="9" fontId="5" fillId="5" borderId="0" xfId="14" applyFont="1" applyFill="1" applyAlignment="1">
      <alignment horizontal="left"/>
    </xf>
    <xf numFmtId="173" fontId="4" fillId="5" borderId="0" xfId="0" applyNumberFormat="1" applyFont="1" applyFill="1" applyAlignment="1">
      <alignment horizontal="left"/>
    </xf>
    <xf numFmtId="1" fontId="5" fillId="5" borderId="0" xfId="0" applyNumberFormat="1" applyFont="1" applyFill="1" applyAlignment="1">
      <alignment horizontal="left"/>
    </xf>
    <xf numFmtId="174" fontId="4" fillId="5" borderId="0" xfId="0" applyNumberFormat="1" applyFont="1" applyFill="1" applyAlignment="1">
      <alignment horizontal="left"/>
    </xf>
    <xf numFmtId="167" fontId="4" fillId="5" borderId="0" xfId="0" applyNumberFormat="1" applyFont="1" applyFill="1" applyAlignment="1">
      <alignment horizontal="left"/>
    </xf>
    <xf numFmtId="169" fontId="4" fillId="5" borderId="0" xfId="14" quotePrefix="1" applyNumberFormat="1" applyFont="1" applyFill="1" applyAlignment="1">
      <alignment horizontal="left"/>
    </xf>
    <xf numFmtId="2" fontId="5" fillId="5" borderId="0" xfId="0" applyNumberFormat="1" applyFont="1" applyFill="1" applyAlignment="1">
      <alignment wrapText="1"/>
    </xf>
    <xf numFmtId="169" fontId="5" fillId="5" borderId="0" xfId="0" applyNumberFormat="1" applyFont="1" applyFill="1" applyAlignment="1">
      <alignment horizontal="left"/>
    </xf>
    <xf numFmtId="9" fontId="4" fillId="5" borderId="0" xfId="14" applyFont="1" applyFill="1" applyAlignment="1">
      <alignment horizontal="center" vertical="center" wrapText="1"/>
    </xf>
    <xf numFmtId="0" fontId="32" fillId="5" borderId="15" xfId="0" applyFont="1" applyFill="1" applyBorder="1" applyAlignment="1">
      <alignment wrapText="1"/>
    </xf>
    <xf numFmtId="171" fontId="5" fillId="5" borderId="0" xfId="0" applyNumberFormat="1" applyFont="1" applyFill="1" applyAlignment="1">
      <alignment horizontal="left"/>
    </xf>
    <xf numFmtId="0" fontId="9" fillId="5" borderId="0" xfId="0" applyFont="1" applyFill="1" applyAlignment="1">
      <alignment horizontal="left" wrapText="1"/>
    </xf>
    <xf numFmtId="165" fontId="9" fillId="5" borderId="0" xfId="0" applyNumberFormat="1" applyFont="1" applyFill="1" applyAlignment="1">
      <alignment horizontal="left"/>
    </xf>
    <xf numFmtId="179" fontId="4" fillId="5" borderId="0" xfId="0" applyNumberFormat="1" applyFont="1" applyFill="1" applyAlignment="1">
      <alignment wrapText="1"/>
    </xf>
    <xf numFmtId="1" fontId="4" fillId="5" borderId="0" xfId="14" applyNumberFormat="1" applyFont="1" applyFill="1" applyAlignment="1">
      <alignment horizontal="left" wrapText="1"/>
    </xf>
    <xf numFmtId="165" fontId="4" fillId="5" borderId="0" xfId="14" applyNumberFormat="1" applyFont="1" applyFill="1" applyAlignment="1">
      <alignment horizontal="left" wrapText="1"/>
    </xf>
    <xf numFmtId="165" fontId="24" fillId="5" borderId="0" xfId="0" applyNumberFormat="1" applyFont="1" applyFill="1" applyAlignment="1">
      <alignment horizontal="left"/>
    </xf>
    <xf numFmtId="2" fontId="35" fillId="5" borderId="0" xfId="14" applyNumberFormat="1" applyFont="1" applyFill="1" applyAlignment="1">
      <alignment horizontal="left" wrapText="1"/>
    </xf>
    <xf numFmtId="2" fontId="4" fillId="5" borderId="0" xfId="14" applyNumberFormat="1" applyFont="1" applyFill="1" applyAlignment="1">
      <alignment horizontal="left" wrapText="1"/>
    </xf>
    <xf numFmtId="171" fontId="24" fillId="5" borderId="0" xfId="0" applyNumberFormat="1" applyFont="1" applyFill="1" applyAlignment="1">
      <alignment horizontal="left"/>
    </xf>
    <xf numFmtId="2" fontId="4" fillId="5" borderId="0" xfId="14" applyNumberFormat="1" applyFont="1" applyFill="1" applyAlignment="1">
      <alignment horizontal="left"/>
    </xf>
    <xf numFmtId="171" fontId="9" fillId="5" borderId="0" xfId="0" applyNumberFormat="1" applyFont="1" applyFill="1" applyAlignment="1">
      <alignment horizontal="left"/>
    </xf>
    <xf numFmtId="0" fontId="38" fillId="5" borderId="0" xfId="0" applyFont="1" applyFill="1" applyAlignment="1">
      <alignment horizontal="left" wrapText="1"/>
    </xf>
    <xf numFmtId="2" fontId="38" fillId="5" borderId="0" xfId="14" applyNumberFormat="1" applyFont="1" applyFill="1" applyAlignment="1">
      <alignment horizontal="left" wrapText="1"/>
    </xf>
    <xf numFmtId="2" fontId="9" fillId="5" borderId="0" xfId="0" applyNumberFormat="1" applyFont="1" applyFill="1" applyAlignment="1">
      <alignment horizontal="left" wrapText="1"/>
    </xf>
    <xf numFmtId="0" fontId="4" fillId="5" borderId="14" xfId="0" applyFont="1" applyFill="1" applyBorder="1" applyAlignment="1">
      <alignment horizontal="left"/>
    </xf>
    <xf numFmtId="0" fontId="5" fillId="4" borderId="0" xfId="0" applyFont="1" applyFill="1"/>
    <xf numFmtId="165" fontId="5" fillId="7" borderId="0" xfId="0" applyNumberFormat="1" applyFont="1" applyFill="1"/>
    <xf numFmtId="165" fontId="52" fillId="5" borderId="0" xfId="0" applyNumberFormat="1" applyFont="1" applyFill="1"/>
    <xf numFmtId="0" fontId="32" fillId="8" borderId="8" xfId="0" applyFont="1" applyFill="1" applyBorder="1" applyAlignment="1">
      <alignment wrapText="1"/>
    </xf>
    <xf numFmtId="2" fontId="4" fillId="5" borderId="8" xfId="0" applyNumberFormat="1" applyFont="1" applyFill="1" applyBorder="1"/>
    <xf numFmtId="0" fontId="32" fillId="5" borderId="2" xfId="0" applyFont="1" applyFill="1" applyBorder="1"/>
    <xf numFmtId="0" fontId="32" fillId="5" borderId="4" xfId="0" applyFont="1" applyFill="1" applyBorder="1" applyAlignment="1">
      <alignment horizontal="left" wrapText="1"/>
    </xf>
    <xf numFmtId="0" fontId="32" fillId="5" borderId="5" xfId="0" applyFont="1" applyFill="1" applyBorder="1" applyAlignment="1">
      <alignment wrapText="1" readingOrder="1"/>
    </xf>
    <xf numFmtId="0" fontId="32" fillId="5" borderId="6" xfId="0" applyFont="1" applyFill="1" applyBorder="1" applyAlignment="1">
      <alignment wrapText="1" readingOrder="1"/>
    </xf>
    <xf numFmtId="3" fontId="32" fillId="5" borderId="2" xfId="0" applyNumberFormat="1" applyFont="1" applyFill="1" applyBorder="1"/>
    <xf numFmtId="3" fontId="32" fillId="5" borderId="0" xfId="0" applyNumberFormat="1" applyFont="1" applyFill="1"/>
    <xf numFmtId="182" fontId="4" fillId="5" borderId="2" xfId="0" applyNumberFormat="1" applyFont="1" applyFill="1" applyBorder="1" applyAlignment="1">
      <alignment vertical="center"/>
    </xf>
    <xf numFmtId="10" fontId="4" fillId="5" borderId="0" xfId="14" applyNumberFormat="1" applyFont="1" applyFill="1" applyBorder="1" applyAlignment="1">
      <alignment horizontal="right" vertical="center" readingOrder="1"/>
    </xf>
    <xf numFmtId="2" fontId="4" fillId="5" borderId="0" xfId="0" applyNumberFormat="1" applyFont="1" applyFill="1" applyAlignment="1">
      <alignment horizontal="right" vertical="center" readingOrder="1"/>
    </xf>
    <xf numFmtId="183" fontId="4" fillId="5" borderId="2" xfId="0" applyNumberFormat="1" applyFont="1" applyFill="1" applyBorder="1"/>
    <xf numFmtId="183" fontId="4" fillId="5" borderId="0" xfId="0" applyNumberFormat="1" applyFont="1" applyFill="1"/>
    <xf numFmtId="43" fontId="31" fillId="5" borderId="22" xfId="0" applyNumberFormat="1" applyFont="1" applyFill="1" applyBorder="1"/>
    <xf numFmtId="43" fontId="4" fillId="5" borderId="2" xfId="0" applyNumberFormat="1" applyFont="1" applyFill="1" applyBorder="1"/>
    <xf numFmtId="41" fontId="31" fillId="5" borderId="2" xfId="0" applyNumberFormat="1" applyFont="1" applyFill="1" applyBorder="1"/>
    <xf numFmtId="41" fontId="31" fillId="5" borderId="0" xfId="0" applyNumberFormat="1" applyFont="1" applyFill="1"/>
    <xf numFmtId="41" fontId="31" fillId="5" borderId="3" xfId="0" applyNumberFormat="1" applyFont="1" applyFill="1" applyBorder="1"/>
    <xf numFmtId="43" fontId="31" fillId="5" borderId="3" xfId="0" applyNumberFormat="1" applyFont="1" applyFill="1" applyBorder="1"/>
    <xf numFmtId="10" fontId="4" fillId="5" borderId="12" xfId="14" applyNumberFormat="1" applyFont="1" applyFill="1" applyBorder="1" applyAlignment="1">
      <alignment horizontal="right" vertical="center" readingOrder="1"/>
    </xf>
    <xf numFmtId="2" fontId="4" fillId="5" borderId="12" xfId="0" applyNumberFormat="1" applyFont="1" applyFill="1" applyBorder="1" applyAlignment="1">
      <alignment horizontal="right" vertical="center" readingOrder="1"/>
    </xf>
    <xf numFmtId="183" fontId="4" fillId="5" borderId="30" xfId="0" applyNumberFormat="1" applyFont="1" applyFill="1" applyBorder="1"/>
    <xf numFmtId="183" fontId="4" fillId="5" borderId="12" xfId="0" applyNumberFormat="1" applyFont="1" applyFill="1" applyBorder="1"/>
    <xf numFmtId="41" fontId="31" fillId="5" borderId="30" xfId="0" applyNumberFormat="1" applyFont="1" applyFill="1" applyBorder="1"/>
    <xf numFmtId="41" fontId="31" fillId="5" borderId="12" xfId="0" applyNumberFormat="1" applyFont="1" applyFill="1" applyBorder="1"/>
    <xf numFmtId="41" fontId="31" fillId="5" borderId="31" xfId="0" applyNumberFormat="1" applyFont="1" applyFill="1" applyBorder="1"/>
    <xf numFmtId="43" fontId="31" fillId="5" borderId="32" xfId="0" applyNumberFormat="1" applyFont="1" applyFill="1" applyBorder="1"/>
    <xf numFmtId="43" fontId="4" fillId="5" borderId="30" xfId="0" applyNumberFormat="1" applyFont="1" applyFill="1" applyBorder="1"/>
    <xf numFmtId="0" fontId="4" fillId="5" borderId="3" xfId="0" applyFont="1" applyFill="1" applyBorder="1" applyAlignment="1">
      <alignment vertical="center"/>
    </xf>
    <xf numFmtId="183" fontId="4" fillId="5" borderId="3" xfId="0" applyNumberFormat="1" applyFont="1" applyFill="1" applyBorder="1"/>
    <xf numFmtId="0" fontId="4" fillId="5" borderId="10" xfId="0" applyFont="1" applyFill="1" applyBorder="1" applyAlignment="1">
      <alignment vertical="center"/>
    </xf>
    <xf numFmtId="182" fontId="4" fillId="5" borderId="33" xfId="0" applyNumberFormat="1" applyFont="1" applyFill="1" applyBorder="1" applyAlignment="1">
      <alignment vertical="center"/>
    </xf>
    <xf numFmtId="10" fontId="4" fillId="5" borderId="10" xfId="14" applyNumberFormat="1" applyFont="1" applyFill="1" applyBorder="1" applyAlignment="1">
      <alignment horizontal="right" vertical="center" readingOrder="1"/>
    </xf>
    <xf numFmtId="2" fontId="4" fillId="5" borderId="10" xfId="0" applyNumberFormat="1" applyFont="1" applyFill="1" applyBorder="1" applyAlignment="1">
      <alignment horizontal="right" vertical="center" readingOrder="1"/>
    </xf>
    <xf numFmtId="183" fontId="4" fillId="5" borderId="33" xfId="0" applyNumberFormat="1" applyFont="1" applyFill="1" applyBorder="1"/>
    <xf numFmtId="183" fontId="4" fillId="5" borderId="10" xfId="0" applyNumberFormat="1" applyFont="1" applyFill="1" applyBorder="1"/>
    <xf numFmtId="41" fontId="31" fillId="5" borderId="33" xfId="0" applyNumberFormat="1" applyFont="1" applyFill="1" applyBorder="1"/>
    <xf numFmtId="2" fontId="31" fillId="5" borderId="10" xfId="0" applyNumberFormat="1" applyFont="1" applyFill="1" applyBorder="1"/>
    <xf numFmtId="41" fontId="31" fillId="5" borderId="10" xfId="0" applyNumberFormat="1" applyFont="1" applyFill="1" applyBorder="1"/>
    <xf numFmtId="41" fontId="31" fillId="5" borderId="34" xfId="0" applyNumberFormat="1" applyFont="1" applyFill="1" applyBorder="1"/>
    <xf numFmtId="43" fontId="31" fillId="5" borderId="34" xfId="0" applyNumberFormat="1" applyFont="1" applyFill="1" applyBorder="1"/>
    <xf numFmtId="43" fontId="4" fillId="5" borderId="33" xfId="0" applyNumberFormat="1" applyFont="1" applyFill="1" applyBorder="1"/>
    <xf numFmtId="0" fontId="4" fillId="5" borderId="12" xfId="0" applyFont="1" applyFill="1" applyBorder="1" applyAlignment="1">
      <alignment vertical="center"/>
    </xf>
    <xf numFmtId="182" fontId="4" fillId="5" borderId="30" xfId="0" applyNumberFormat="1" applyFont="1" applyFill="1" applyBorder="1" applyAlignment="1">
      <alignment vertical="center"/>
    </xf>
    <xf numFmtId="0" fontId="32" fillId="5" borderId="23" xfId="0" applyFont="1" applyFill="1" applyBorder="1" applyAlignment="1">
      <alignment horizontal="center" vertical="center" textRotation="90"/>
    </xf>
    <xf numFmtId="0" fontId="4" fillId="5" borderId="23" xfId="0" applyFont="1" applyFill="1" applyBorder="1" applyAlignment="1">
      <alignment vertical="center"/>
    </xf>
    <xf numFmtId="164" fontId="4" fillId="5" borderId="7" xfId="0" applyNumberFormat="1" applyFont="1" applyFill="1" applyBorder="1" applyAlignment="1">
      <alignment vertical="center"/>
    </xf>
    <xf numFmtId="10" fontId="4" fillId="5" borderId="23" xfId="14" applyNumberFormat="1" applyFont="1" applyFill="1" applyBorder="1" applyAlignment="1">
      <alignment horizontal="right" vertical="center" readingOrder="1"/>
    </xf>
    <xf numFmtId="2" fontId="4" fillId="5" borderId="23" xfId="0" applyNumberFormat="1" applyFont="1" applyFill="1" applyBorder="1" applyAlignment="1">
      <alignment horizontal="right" vertical="center" readingOrder="1"/>
    </xf>
    <xf numFmtId="10" fontId="4" fillId="5" borderId="7" xfId="0" applyNumberFormat="1" applyFont="1" applyFill="1" applyBorder="1"/>
    <xf numFmtId="10" fontId="4" fillId="5" borderId="23" xfId="0" applyNumberFormat="1" applyFont="1" applyFill="1" applyBorder="1"/>
    <xf numFmtId="0" fontId="31" fillId="5" borderId="23" xfId="0" applyFont="1" applyFill="1" applyBorder="1"/>
    <xf numFmtId="0" fontId="31" fillId="5" borderId="24" xfId="0" applyFont="1" applyFill="1" applyBorder="1"/>
    <xf numFmtId="3" fontId="31" fillId="5" borderId="23" xfId="0" applyNumberFormat="1" applyFont="1" applyFill="1" applyBorder="1"/>
    <xf numFmtId="43" fontId="4" fillId="5" borderId="7" xfId="0" applyNumberFormat="1" applyFont="1" applyFill="1" applyBorder="1"/>
    <xf numFmtId="0" fontId="4" fillId="5" borderId="23" xfId="0" applyFont="1" applyFill="1" applyBorder="1"/>
    <xf numFmtId="183" fontId="4" fillId="5" borderId="2" xfId="23" applyNumberFormat="1" applyFont="1" applyFill="1" applyBorder="1"/>
    <xf numFmtId="9" fontId="4" fillId="5" borderId="0" xfId="14" applyFont="1" applyFill="1" applyBorder="1" applyAlignment="1">
      <alignment vertical="center" readingOrder="1"/>
    </xf>
    <xf numFmtId="0" fontId="4" fillId="5" borderId="0" xfId="0" applyFont="1" applyFill="1" applyAlignment="1">
      <alignment horizontal="center" vertical="center" readingOrder="1"/>
    </xf>
    <xf numFmtId="183" fontId="57" fillId="5" borderId="0" xfId="23" applyNumberFormat="1" applyFont="1" applyFill="1"/>
    <xf numFmtId="2" fontId="57" fillId="5" borderId="0" xfId="23" applyNumberFormat="1" applyFont="1" applyFill="1"/>
    <xf numFmtId="0" fontId="58" fillId="5" borderId="0" xfId="0" applyFont="1" applyFill="1"/>
    <xf numFmtId="183" fontId="31" fillId="5" borderId="0" xfId="0" applyNumberFormat="1" applyFont="1" applyFill="1"/>
    <xf numFmtId="183" fontId="4" fillId="5" borderId="0" xfId="23" applyNumberFormat="1" applyFont="1" applyFill="1"/>
    <xf numFmtId="9" fontId="4" fillId="5" borderId="0" xfId="14" applyFont="1" applyFill="1"/>
    <xf numFmtId="9" fontId="59" fillId="5" borderId="0" xfId="14" applyFont="1" applyFill="1"/>
    <xf numFmtId="3" fontId="4" fillId="5" borderId="0" xfId="0" applyNumberFormat="1" applyFont="1" applyFill="1"/>
    <xf numFmtId="10" fontId="4" fillId="5" borderId="0" xfId="0" applyNumberFormat="1" applyFont="1" applyFill="1"/>
    <xf numFmtId="43" fontId="4" fillId="5" borderId="8" xfId="0" applyNumberFormat="1" applyFont="1" applyFill="1" applyBorder="1"/>
    <xf numFmtId="2" fontId="60" fillId="5" borderId="0" xfId="0" applyNumberFormat="1" applyFont="1" applyFill="1" applyAlignment="1">
      <alignment horizontal="right"/>
    </xf>
    <xf numFmtId="0" fontId="31" fillId="5" borderId="0" xfId="0" applyFont="1" applyFill="1" applyAlignment="1">
      <alignment horizontal="right" wrapText="1"/>
    </xf>
    <xf numFmtId="10" fontId="31" fillId="5" borderId="0" xfId="0" applyNumberFormat="1" applyFont="1" applyFill="1" applyAlignment="1">
      <alignment horizontal="right" wrapText="1"/>
    </xf>
    <xf numFmtId="2" fontId="4" fillId="5" borderId="0" xfId="0" applyNumberFormat="1" applyFont="1" applyFill="1" applyAlignment="1">
      <alignment horizontal="right" wrapText="1"/>
    </xf>
    <xf numFmtId="166" fontId="4" fillId="5" borderId="0" xfId="0" applyNumberFormat="1" applyFont="1" applyFill="1" applyAlignment="1">
      <alignment horizontal="right"/>
    </xf>
    <xf numFmtId="2" fontId="4" fillId="4" borderId="0" xfId="0" applyNumberFormat="1" applyFont="1" applyFill="1" applyAlignment="1">
      <alignment horizontal="right"/>
    </xf>
    <xf numFmtId="2" fontId="60" fillId="4" borderId="0" xfId="0" applyNumberFormat="1" applyFont="1" applyFill="1" applyAlignment="1">
      <alignment horizontal="right"/>
    </xf>
    <xf numFmtId="2" fontId="31" fillId="4" borderId="0" xfId="0" applyNumberFormat="1" applyFont="1" applyFill="1" applyAlignment="1">
      <alignment horizontal="right" wrapText="1"/>
    </xf>
    <xf numFmtId="10" fontId="31" fillId="4" borderId="0" xfId="0" applyNumberFormat="1" applyFont="1" applyFill="1" applyAlignment="1">
      <alignment horizontal="right"/>
    </xf>
    <xf numFmtId="10" fontId="4" fillId="5" borderId="0" xfId="0" applyNumberFormat="1" applyFont="1" applyFill="1" applyAlignment="1">
      <alignment horizontal="right"/>
    </xf>
    <xf numFmtId="2" fontId="4" fillId="3" borderId="0" xfId="0" applyNumberFormat="1" applyFont="1" applyFill="1" applyAlignment="1">
      <alignment horizontal="right"/>
    </xf>
    <xf numFmtId="10" fontId="4" fillId="4" borderId="0" xfId="0" applyNumberFormat="1" applyFont="1" applyFill="1" applyAlignment="1">
      <alignment horizontal="right"/>
    </xf>
    <xf numFmtId="2" fontId="35" fillId="4" borderId="0" xfId="0" applyNumberFormat="1" applyFont="1" applyFill="1" applyAlignment="1">
      <alignment horizontal="right"/>
    </xf>
    <xf numFmtId="10" fontId="35" fillId="4" borderId="0" xfId="0" applyNumberFormat="1" applyFont="1" applyFill="1" applyAlignment="1">
      <alignment horizontal="right"/>
    </xf>
    <xf numFmtId="165" fontId="4" fillId="5" borderId="0" xfId="0" applyNumberFormat="1" applyFont="1" applyFill="1" applyAlignment="1">
      <alignment horizontal="right"/>
    </xf>
    <xf numFmtId="0" fontId="4" fillId="9" borderId="0" xfId="0" applyFont="1" applyFill="1" applyAlignment="1">
      <alignment horizontal="right"/>
    </xf>
    <xf numFmtId="2" fontId="4" fillId="9" borderId="0" xfId="0" applyNumberFormat="1" applyFont="1" applyFill="1" applyAlignment="1">
      <alignment horizontal="right"/>
    </xf>
    <xf numFmtId="2" fontId="60" fillId="9" borderId="0" xfId="0" applyNumberFormat="1" applyFont="1" applyFill="1" applyAlignment="1">
      <alignment horizontal="right"/>
    </xf>
    <xf numFmtId="10" fontId="4" fillId="9" borderId="0" xfId="0" applyNumberFormat="1" applyFont="1" applyFill="1" applyAlignment="1">
      <alignment horizontal="right"/>
    </xf>
    <xf numFmtId="0" fontId="61" fillId="5" borderId="0" xfId="0" applyFont="1" applyFill="1"/>
    <xf numFmtId="167" fontId="61" fillId="5" borderId="0" xfId="0" applyNumberFormat="1" applyFont="1" applyFill="1"/>
    <xf numFmtId="167" fontId="48" fillId="6" borderId="0" xfId="0" applyNumberFormat="1" applyFont="1" applyFill="1"/>
    <xf numFmtId="2" fontId="61" fillId="5" borderId="0" xfId="0" applyNumberFormat="1" applyFont="1" applyFill="1"/>
    <xf numFmtId="0" fontId="61" fillId="5" borderId="0" xfId="0" applyFont="1" applyFill="1" applyAlignment="1">
      <alignment horizontal="right"/>
    </xf>
    <xf numFmtId="0" fontId="62" fillId="5" borderId="0" xfId="0" applyFont="1" applyFill="1"/>
    <xf numFmtId="0" fontId="62" fillId="5" borderId="0" xfId="0" quotePrefix="1" applyFont="1" applyFill="1"/>
    <xf numFmtId="0" fontId="35" fillId="5" borderId="0" xfId="0" applyFont="1" applyFill="1" applyAlignment="1">
      <alignment horizontal="right"/>
    </xf>
    <xf numFmtId="165" fontId="31" fillId="4" borderId="0" xfId="0" applyNumberFormat="1" applyFont="1" applyFill="1"/>
    <xf numFmtId="184" fontId="31" fillId="4" borderId="0" xfId="0" applyNumberFormat="1" applyFont="1" applyFill="1"/>
    <xf numFmtId="2" fontId="46" fillId="5" borderId="0" xfId="0" applyNumberFormat="1" applyFont="1" applyFill="1" applyAlignment="1">
      <alignment horizontal="left"/>
    </xf>
    <xf numFmtId="2" fontId="47" fillId="5" borderId="0" xfId="0" applyNumberFormat="1" applyFont="1" applyFill="1" applyAlignment="1">
      <alignment horizontal="left" vertical="center"/>
    </xf>
    <xf numFmtId="2" fontId="47" fillId="5" borderId="0" xfId="0" applyNumberFormat="1" applyFont="1" applyFill="1" applyAlignment="1">
      <alignment horizontal="left"/>
    </xf>
    <xf numFmtId="2" fontId="46" fillId="5" borderId="0" xfId="0" applyNumberFormat="1" applyFont="1" applyFill="1" applyAlignment="1">
      <alignment horizontal="left" vertical="center"/>
    </xf>
    <xf numFmtId="2" fontId="34" fillId="5" borderId="0" xfId="16" applyNumberFormat="1" applyFill="1" applyBorder="1" applyAlignment="1" applyProtection="1">
      <alignment horizontal="left"/>
    </xf>
    <xf numFmtId="2" fontId="46" fillId="5" borderId="0" xfId="0" applyNumberFormat="1" applyFont="1" applyFill="1" applyAlignment="1">
      <alignment horizontal="right"/>
    </xf>
    <xf numFmtId="2" fontId="46" fillId="4" borderId="0" xfId="0" applyNumberFormat="1" applyFont="1" applyFill="1" applyAlignment="1">
      <alignment horizontal="right"/>
    </xf>
    <xf numFmtId="166" fontId="46" fillId="5" borderId="0" xfId="0" applyNumberFormat="1" applyFont="1" applyFill="1" applyAlignment="1">
      <alignment horizontal="left"/>
    </xf>
    <xf numFmtId="166" fontId="46" fillId="5" borderId="0" xfId="0" applyNumberFormat="1" applyFont="1" applyFill="1" applyAlignment="1">
      <alignment horizontal="right"/>
    </xf>
    <xf numFmtId="166" fontId="46" fillId="4" borderId="0" xfId="0" applyNumberFormat="1" applyFont="1" applyFill="1" applyAlignment="1">
      <alignment horizontal="right"/>
    </xf>
    <xf numFmtId="166" fontId="46" fillId="10" borderId="0" xfId="0" applyNumberFormat="1" applyFont="1" applyFill="1" applyAlignment="1">
      <alignment horizontal="right"/>
    </xf>
    <xf numFmtId="1" fontId="46" fillId="4" borderId="0" xfId="0" applyNumberFormat="1" applyFont="1" applyFill="1" applyAlignment="1">
      <alignment horizontal="left"/>
    </xf>
    <xf numFmtId="9" fontId="46" fillId="5" borderId="0" xfId="0" applyNumberFormat="1" applyFont="1" applyFill="1" applyAlignment="1">
      <alignment horizontal="left"/>
    </xf>
    <xf numFmtId="2" fontId="46" fillId="5" borderId="0" xfId="0" pivotButton="1" applyNumberFormat="1" applyFont="1" applyFill="1" applyAlignment="1">
      <alignment horizontal="left"/>
    </xf>
    <xf numFmtId="2" fontId="46" fillId="4" borderId="0" xfId="0" applyNumberFormat="1" applyFont="1" applyFill="1" applyAlignment="1">
      <alignment horizontal="left"/>
    </xf>
    <xf numFmtId="10" fontId="31" fillId="5" borderId="0" xfId="0" applyNumberFormat="1" applyFont="1" applyFill="1" applyAlignment="1">
      <alignment vertical="center" wrapText="1"/>
    </xf>
    <xf numFmtId="41" fontId="4" fillId="5" borderId="8" xfId="0" applyNumberFormat="1" applyFont="1" applyFill="1" applyBorder="1"/>
    <xf numFmtId="0" fontId="18" fillId="5" borderId="0" xfId="0" applyFont="1" applyFill="1" applyAlignment="1">
      <alignment horizontal="right"/>
    </xf>
    <xf numFmtId="0" fontId="63" fillId="5" borderId="0" xfId="0" applyFont="1" applyFill="1" applyAlignment="1">
      <alignment horizontal="right"/>
    </xf>
    <xf numFmtId="0" fontId="18" fillId="4" borderId="0" xfId="0" applyFont="1" applyFill="1" applyAlignment="1">
      <alignment horizontal="right" vertical="top" wrapText="1"/>
    </xf>
    <xf numFmtId="0" fontId="63" fillId="4" borderId="0" xfId="0" applyFont="1" applyFill="1" applyAlignment="1">
      <alignment horizontal="right"/>
    </xf>
    <xf numFmtId="167" fontId="63" fillId="5" borderId="0" xfId="0" applyNumberFormat="1" applyFont="1" applyFill="1" applyAlignment="1">
      <alignment horizontal="right"/>
    </xf>
    <xf numFmtId="1" fontId="64" fillId="5" borderId="0" xfId="0" applyNumberFormat="1" applyFont="1" applyFill="1" applyAlignment="1">
      <alignment horizontal="right" vertical="top" wrapText="1"/>
    </xf>
    <xf numFmtId="167" fontId="63" fillId="4" borderId="0" xfId="0" applyNumberFormat="1" applyFont="1" applyFill="1" applyAlignment="1">
      <alignment horizontal="right"/>
    </xf>
    <xf numFmtId="0" fontId="18" fillId="4" borderId="0" xfId="0" applyFont="1" applyFill="1" applyAlignment="1">
      <alignment vertical="top" wrapText="1"/>
    </xf>
    <xf numFmtId="0" fontId="63" fillId="5" borderId="0" xfId="0" applyFont="1" applyFill="1" applyAlignment="1">
      <alignment horizontal="right" vertical="top" wrapText="1" indent="1"/>
    </xf>
    <xf numFmtId="165" fontId="59" fillId="5" borderId="0" xfId="14" applyNumberFormat="1" applyFont="1" applyFill="1"/>
    <xf numFmtId="2" fontId="5" fillId="4" borderId="0" xfId="0" applyNumberFormat="1" applyFont="1" applyFill="1" applyAlignment="1">
      <alignment horizontal="right" vertical="center"/>
    </xf>
    <xf numFmtId="2" fontId="31" fillId="11" borderId="0" xfId="0" applyNumberFormat="1" applyFont="1" applyFill="1"/>
    <xf numFmtId="0" fontId="0" fillId="5" borderId="0" xfId="0" applyFill="1" applyAlignment="1">
      <alignment horizontal="right"/>
    </xf>
    <xf numFmtId="0" fontId="0" fillId="4" borderId="0" xfId="0" applyFill="1" applyAlignment="1">
      <alignment horizontal="right"/>
    </xf>
    <xf numFmtId="2" fontId="31" fillId="4" borderId="0" xfId="0" applyNumberFormat="1" applyFont="1" applyFill="1"/>
    <xf numFmtId="10" fontId="5" fillId="4" borderId="0" xfId="14" applyNumberFormat="1" applyFont="1" applyFill="1" applyBorder="1" applyAlignment="1">
      <alignment horizontal="center" vertical="center"/>
    </xf>
    <xf numFmtId="165" fontId="5" fillId="4" borderId="0" xfId="0" applyNumberFormat="1" applyFont="1" applyFill="1" applyAlignment="1">
      <alignment horizontal="center" vertical="center"/>
    </xf>
    <xf numFmtId="2" fontId="31" fillId="12" borderId="0" xfId="0" applyNumberFormat="1" applyFont="1" applyFill="1"/>
    <xf numFmtId="0" fontId="0" fillId="5" borderId="8" xfId="0" applyFill="1" applyBorder="1"/>
    <xf numFmtId="9" fontId="44" fillId="5" borderId="0" xfId="14" applyFont="1" applyFill="1"/>
    <xf numFmtId="183" fontId="44" fillId="5" borderId="0" xfId="14" applyNumberFormat="1" applyFont="1" applyFill="1"/>
    <xf numFmtId="2" fontId="44" fillId="5" borderId="0" xfId="14" applyNumberFormat="1" applyFont="1" applyFill="1"/>
    <xf numFmtId="183" fontId="44" fillId="5" borderId="0" xfId="0" applyNumberFormat="1" applyFont="1" applyFill="1"/>
    <xf numFmtId="41" fontId="59" fillId="5" borderId="0" xfId="14" applyNumberFormat="1" applyFont="1" applyFill="1"/>
    <xf numFmtId="43" fontId="59" fillId="5" borderId="0" xfId="14" applyNumberFormat="1" applyFont="1" applyFill="1"/>
    <xf numFmtId="0" fontId="59" fillId="5" borderId="0" xfId="14" applyNumberFormat="1" applyFont="1" applyFill="1"/>
    <xf numFmtId="0" fontId="32" fillId="8" borderId="0" xfId="0" applyFont="1" applyFill="1" applyAlignment="1">
      <alignment wrapText="1"/>
    </xf>
    <xf numFmtId="0" fontId="32" fillId="8" borderId="2" xfId="0" applyFont="1" applyFill="1" applyBorder="1" applyAlignment="1">
      <alignment wrapText="1"/>
    </xf>
    <xf numFmtId="0" fontId="32" fillId="8" borderId="3" xfId="0" applyFont="1" applyFill="1" applyBorder="1" applyAlignment="1">
      <alignment wrapText="1"/>
    </xf>
    <xf numFmtId="0" fontId="32" fillId="8" borderId="7" xfId="0" applyFont="1" applyFill="1" applyBorder="1" applyAlignment="1">
      <alignment wrapText="1"/>
    </xf>
    <xf numFmtId="0" fontId="32" fillId="8" borderId="23" xfId="0" applyFont="1" applyFill="1" applyBorder="1" applyAlignment="1">
      <alignment wrapText="1"/>
    </xf>
    <xf numFmtId="0" fontId="32" fillId="8" borderId="24" xfId="0" applyFont="1" applyFill="1" applyBorder="1" applyAlignment="1">
      <alignment wrapText="1"/>
    </xf>
    <xf numFmtId="43" fontId="4" fillId="5" borderId="0" xfId="0" applyNumberFormat="1" applyFont="1" applyFill="1"/>
    <xf numFmtId="41" fontId="4" fillId="5" borderId="0" xfId="0" applyNumberFormat="1" applyFont="1" applyFill="1"/>
    <xf numFmtId="0" fontId="0" fillId="5" borderId="35" xfId="0" applyFill="1" applyBorder="1" applyAlignment="1">
      <alignment horizontal="left"/>
    </xf>
    <xf numFmtId="0" fontId="0" fillId="5" borderId="35" xfId="0" applyFill="1" applyBorder="1"/>
    <xf numFmtId="10" fontId="0" fillId="5" borderId="0" xfId="0" applyNumberFormat="1" applyFill="1"/>
    <xf numFmtId="0" fontId="65" fillId="5" borderId="0" xfId="0" applyFont="1" applyFill="1"/>
    <xf numFmtId="0" fontId="66" fillId="5" borderId="0" xfId="0" applyFont="1" applyFill="1"/>
    <xf numFmtId="0" fontId="65" fillId="4" borderId="0" xfId="0" applyFont="1" applyFill="1"/>
    <xf numFmtId="0" fontId="65" fillId="4" borderId="0" xfId="0" applyFont="1" applyFill="1" applyAlignment="1">
      <alignment horizontal="right"/>
    </xf>
    <xf numFmtId="10" fontId="0" fillId="5" borderId="35" xfId="0" applyNumberFormat="1" applyFill="1" applyBorder="1"/>
    <xf numFmtId="1" fontId="0" fillId="5" borderId="35" xfId="0" applyNumberFormat="1" applyFill="1" applyBorder="1"/>
    <xf numFmtId="0" fontId="45" fillId="8" borderId="0" xfId="0" applyFont="1" applyFill="1" applyAlignment="1">
      <alignment wrapText="1"/>
    </xf>
    <xf numFmtId="0" fontId="67" fillId="5" borderId="0" xfId="0" applyFont="1" applyFill="1"/>
    <xf numFmtId="10" fontId="67" fillId="5" borderId="0" xfId="0" applyNumberFormat="1" applyFont="1" applyFill="1"/>
    <xf numFmtId="0" fontId="4" fillId="5" borderId="8" xfId="0" applyFont="1" applyFill="1" applyBorder="1" applyAlignment="1">
      <alignment horizontal="center" wrapText="1"/>
    </xf>
    <xf numFmtId="0" fontId="45" fillId="8" borderId="8" xfId="0" applyFont="1" applyFill="1" applyBorder="1" applyAlignment="1">
      <alignment wrapText="1"/>
    </xf>
    <xf numFmtId="0" fontId="65" fillId="5" borderId="8" xfId="0" applyFont="1" applyFill="1" applyBorder="1"/>
    <xf numFmtId="41" fontId="0" fillId="5" borderId="8" xfId="0" applyNumberFormat="1" applyFill="1" applyBorder="1"/>
    <xf numFmtId="1" fontId="4" fillId="5" borderId="8" xfId="0" applyNumberFormat="1" applyFont="1" applyFill="1" applyBorder="1"/>
    <xf numFmtId="41" fontId="0" fillId="5" borderId="0" xfId="0" applyNumberFormat="1" applyFill="1" applyAlignment="1">
      <alignment horizontal="right" vertical="top"/>
    </xf>
    <xf numFmtId="41" fontId="0" fillId="5" borderId="0" xfId="0" applyNumberFormat="1" applyFill="1" applyAlignment="1">
      <alignment horizontal="right"/>
    </xf>
    <xf numFmtId="0" fontId="0" fillId="5" borderId="35" xfId="0" applyFill="1" applyBorder="1" applyAlignment="1">
      <alignment horizontal="right"/>
    </xf>
    <xf numFmtId="1" fontId="0" fillId="5" borderId="35" xfId="0" applyNumberFormat="1" applyFill="1" applyBorder="1" applyAlignment="1">
      <alignment horizontal="right"/>
    </xf>
    <xf numFmtId="2" fontId="0" fillId="5" borderId="35" xfId="0" applyNumberFormat="1" applyFill="1" applyBorder="1" applyAlignment="1">
      <alignment horizontal="right"/>
    </xf>
    <xf numFmtId="1" fontId="0" fillId="5" borderId="0" xfId="0" applyNumberFormat="1" applyFill="1" applyAlignment="1">
      <alignment horizontal="right"/>
    </xf>
    <xf numFmtId="0" fontId="70" fillId="5" borderId="0" xfId="0" applyFont="1" applyFill="1" applyAlignment="1">
      <alignment horizontal="right"/>
    </xf>
    <xf numFmtId="0" fontId="71" fillId="5" borderId="0" xfId="0" applyFont="1" applyFill="1" applyAlignment="1">
      <alignment horizontal="right"/>
    </xf>
    <xf numFmtId="10" fontId="0" fillId="5" borderId="0" xfId="0" applyNumberFormat="1" applyFill="1" applyAlignment="1">
      <alignment horizontal="right"/>
    </xf>
    <xf numFmtId="2" fontId="70" fillId="5" borderId="0" xfId="0" applyNumberFormat="1" applyFont="1" applyFill="1" applyAlignment="1">
      <alignment horizontal="right"/>
    </xf>
    <xf numFmtId="2" fontId="71" fillId="5" borderId="0" xfId="0" applyNumberFormat="1" applyFont="1" applyFill="1" applyAlignment="1">
      <alignment horizontal="right"/>
    </xf>
    <xf numFmtId="0" fontId="0" fillId="4" borderId="0" xfId="0" applyFill="1" applyAlignment="1">
      <alignment horizontal="right" wrapText="1"/>
    </xf>
    <xf numFmtId="2" fontId="0" fillId="5" borderId="0" xfId="0" applyNumberFormat="1" applyFill="1" applyAlignment="1">
      <alignment horizontal="right" wrapText="1"/>
    </xf>
    <xf numFmtId="2" fontId="65" fillId="5" borderId="0" xfId="0" applyNumberFormat="1" applyFont="1" applyFill="1" applyAlignment="1">
      <alignment horizontal="right"/>
    </xf>
    <xf numFmtId="2" fontId="0" fillId="4" borderId="0" xfId="0" applyNumberFormat="1" applyFill="1" applyAlignment="1">
      <alignment horizontal="right" wrapText="1"/>
    </xf>
    <xf numFmtId="0" fontId="0" fillId="5" borderId="0" xfId="0" applyFill="1" applyAlignment="1">
      <alignment horizontal="right" wrapText="1"/>
    </xf>
    <xf numFmtId="43" fontId="0" fillId="5" borderId="0" xfId="0" applyNumberFormat="1" applyFill="1" applyAlignment="1">
      <alignment horizontal="right"/>
    </xf>
    <xf numFmtId="0" fontId="5" fillId="4" borderId="0" xfId="0" applyFont="1" applyFill="1" applyAlignment="1">
      <alignment horizontal="right"/>
    </xf>
    <xf numFmtId="2" fontId="5" fillId="4" borderId="0" xfId="0" applyNumberFormat="1" applyFont="1" applyFill="1" applyAlignment="1">
      <alignment horizontal="right"/>
    </xf>
    <xf numFmtId="0" fontId="65" fillId="5" borderId="0" xfId="0" applyFont="1" applyFill="1" applyAlignment="1">
      <alignment horizontal="right"/>
    </xf>
    <xf numFmtId="2" fontId="48" fillId="10" borderId="0" xfId="0" applyNumberFormat="1" applyFont="1" applyFill="1"/>
    <xf numFmtId="2" fontId="5" fillId="5" borderId="0" xfId="0" applyNumberFormat="1" applyFont="1" applyFill="1" applyAlignment="1">
      <alignment horizontal="right" vertical="center"/>
    </xf>
    <xf numFmtId="165" fontId="60" fillId="5" borderId="0" xfId="0" applyNumberFormat="1" applyFont="1" applyFill="1" applyAlignment="1">
      <alignment horizontal="right"/>
    </xf>
    <xf numFmtId="2" fontId="31" fillId="9" borderId="0" xfId="0" applyNumberFormat="1" applyFont="1" applyFill="1" applyAlignment="1">
      <alignment horizontal="right"/>
    </xf>
    <xf numFmtId="2" fontId="5" fillId="5" borderId="0" xfId="0" applyNumberFormat="1" applyFont="1" applyFill="1" applyAlignment="1">
      <alignment horizontal="center" vertical="center"/>
    </xf>
    <xf numFmtId="2" fontId="4" fillId="6" borderId="0" xfId="0" applyNumberFormat="1" applyFont="1" applyFill="1" applyAlignment="1">
      <alignment horizontal="right"/>
    </xf>
    <xf numFmtId="0" fontId="5" fillId="9" borderId="0" xfId="0" applyFont="1" applyFill="1" applyAlignment="1">
      <alignment horizontal="right"/>
    </xf>
    <xf numFmtId="10" fontId="31" fillId="9" borderId="0" xfId="0" applyNumberFormat="1" applyFont="1" applyFill="1" applyAlignment="1">
      <alignment horizontal="right"/>
    </xf>
    <xf numFmtId="167" fontId="48" fillId="10" borderId="0" xfId="0" applyNumberFormat="1" applyFont="1" applyFill="1"/>
    <xf numFmtId="2" fontId="5" fillId="5" borderId="0" xfId="0" applyNumberFormat="1" applyFont="1" applyFill="1" applyAlignment="1">
      <alignment horizontal="center" vertical="center" wrapText="1"/>
    </xf>
    <xf numFmtId="2" fontId="72" fillId="4" borderId="0" xfId="0" applyNumberFormat="1" applyFont="1" applyFill="1" applyAlignment="1">
      <alignment horizontal="right"/>
    </xf>
    <xf numFmtId="2" fontId="32" fillId="4" borderId="0" xfId="0" applyNumberFormat="1" applyFont="1" applyFill="1" applyAlignment="1">
      <alignment horizontal="right" wrapText="1"/>
    </xf>
    <xf numFmtId="10" fontId="32" fillId="4" borderId="0" xfId="0" applyNumberFormat="1" applyFont="1" applyFill="1" applyAlignment="1">
      <alignment horizontal="right"/>
    </xf>
    <xf numFmtId="2" fontId="5" fillId="5" borderId="0" xfId="0" applyNumberFormat="1" applyFont="1" applyFill="1" applyAlignment="1">
      <alignment horizontal="right"/>
    </xf>
    <xf numFmtId="2" fontId="73" fillId="5" borderId="0" xfId="0" applyNumberFormat="1" applyFont="1" applyFill="1" applyAlignment="1">
      <alignment horizontal="right"/>
    </xf>
    <xf numFmtId="0" fontId="18" fillId="13" borderId="0" xfId="2" applyFont="1" applyFill="1"/>
    <xf numFmtId="0" fontId="21" fillId="13" borderId="0" xfId="2" applyFont="1" applyFill="1"/>
    <xf numFmtId="0" fontId="74" fillId="13" borderId="0" xfId="2" applyFont="1" applyFill="1"/>
    <xf numFmtId="0" fontId="13" fillId="13" borderId="0" xfId="2" applyFont="1" applyFill="1"/>
    <xf numFmtId="177" fontId="21" fillId="13" borderId="0" xfId="2" applyNumberFormat="1" applyFont="1" applyFill="1"/>
    <xf numFmtId="0" fontId="75" fillId="13" borderId="0" xfId="2" applyFont="1" applyFill="1"/>
    <xf numFmtId="166" fontId="75" fillId="13" borderId="0" xfId="2" applyNumberFormat="1" applyFont="1" applyFill="1"/>
    <xf numFmtId="166" fontId="21" fillId="13" borderId="0" xfId="2" applyNumberFormat="1" applyFont="1" applyFill="1"/>
    <xf numFmtId="171" fontId="4" fillId="6" borderId="0" xfId="0" applyNumberFormat="1" applyFont="1" applyFill="1" applyAlignment="1">
      <alignment horizontal="left"/>
    </xf>
    <xf numFmtId="166" fontId="5" fillId="4" borderId="0" xfId="0" applyNumberFormat="1" applyFont="1" applyFill="1" applyAlignment="1">
      <alignment horizontal="right" vertical="center"/>
    </xf>
    <xf numFmtId="166" fontId="4" fillId="9" borderId="0" xfId="0" applyNumberFormat="1" applyFont="1" applyFill="1" applyAlignment="1">
      <alignment horizontal="right"/>
    </xf>
    <xf numFmtId="165" fontId="5" fillId="4" borderId="0" xfId="0" applyNumberFormat="1" applyFont="1" applyFill="1" applyAlignment="1">
      <alignment horizontal="right"/>
    </xf>
    <xf numFmtId="165" fontId="4" fillId="9" borderId="0" xfId="0" applyNumberFormat="1" applyFont="1" applyFill="1" applyAlignment="1">
      <alignment horizontal="right"/>
    </xf>
    <xf numFmtId="170" fontId="4" fillId="5" borderId="0" xfId="0" applyNumberFormat="1" applyFont="1" applyFill="1"/>
    <xf numFmtId="170" fontId="4" fillId="5" borderId="0" xfId="0" applyNumberFormat="1" applyFont="1" applyFill="1" applyAlignment="1">
      <alignment horizontal="right"/>
    </xf>
    <xf numFmtId="0" fontId="4" fillId="5" borderId="20" xfId="0" applyFont="1" applyFill="1" applyBorder="1" applyAlignment="1">
      <alignment vertical="center"/>
    </xf>
    <xf numFmtId="183" fontId="4" fillId="5" borderId="20" xfId="0" applyNumberFormat="1" applyFont="1" applyFill="1" applyBorder="1"/>
    <xf numFmtId="183" fontId="4" fillId="5" borderId="21" xfId="0" applyNumberFormat="1" applyFont="1" applyFill="1" applyBorder="1"/>
    <xf numFmtId="183" fontId="4" fillId="5" borderId="22" xfId="0" applyNumberFormat="1" applyFont="1" applyFill="1" applyBorder="1"/>
    <xf numFmtId="41" fontId="31" fillId="5" borderId="20" xfId="0" applyNumberFormat="1" applyFont="1" applyFill="1" applyBorder="1"/>
    <xf numFmtId="41" fontId="31" fillId="5" borderId="21" xfId="0" applyNumberFormat="1" applyFont="1" applyFill="1" applyBorder="1"/>
    <xf numFmtId="41" fontId="31" fillId="5" borderId="22" xfId="0" applyNumberFormat="1" applyFont="1" applyFill="1" applyBorder="1"/>
    <xf numFmtId="0" fontId="4" fillId="5" borderId="21" xfId="0" applyFont="1" applyFill="1" applyBorder="1"/>
    <xf numFmtId="43" fontId="4" fillId="5" borderId="20" xfId="0" applyNumberFormat="1" applyFont="1" applyFill="1" applyBorder="1"/>
    <xf numFmtId="0" fontId="4" fillId="5" borderId="22" xfId="0" applyFont="1" applyFill="1" applyBorder="1"/>
    <xf numFmtId="0" fontId="4" fillId="5" borderId="2" xfId="0" applyFont="1" applyFill="1" applyBorder="1" applyAlignment="1">
      <alignment vertical="center"/>
    </xf>
    <xf numFmtId="183" fontId="4" fillId="5" borderId="4" xfId="0" applyNumberFormat="1" applyFont="1" applyFill="1" applyBorder="1"/>
    <xf numFmtId="183" fontId="4" fillId="5" borderId="5" xfId="0" applyNumberFormat="1" applyFont="1" applyFill="1" applyBorder="1"/>
    <xf numFmtId="183" fontId="4" fillId="5" borderId="6" xfId="0" applyNumberFormat="1" applyFont="1" applyFill="1" applyBorder="1"/>
    <xf numFmtId="41" fontId="31" fillId="5" borderId="4" xfId="0" applyNumberFormat="1" applyFont="1" applyFill="1" applyBorder="1"/>
    <xf numFmtId="41" fontId="31" fillId="5" borderId="5" xfId="0" applyNumberFormat="1" applyFont="1" applyFill="1" applyBorder="1"/>
    <xf numFmtId="41" fontId="31" fillId="5" borderId="6" xfId="0" applyNumberFormat="1" applyFont="1" applyFill="1" applyBorder="1"/>
    <xf numFmtId="43" fontId="31" fillId="5" borderId="24" xfId="0" applyNumberFormat="1" applyFont="1" applyFill="1" applyBorder="1"/>
    <xf numFmtId="43" fontId="4" fillId="5" borderId="4" xfId="0" applyNumberFormat="1" applyFont="1" applyFill="1" applyBorder="1"/>
    <xf numFmtId="0" fontId="4" fillId="5" borderId="5" xfId="0" applyFont="1" applyFill="1" applyBorder="1"/>
    <xf numFmtId="0" fontId="4" fillId="5" borderId="6" xfId="0" applyFont="1" applyFill="1" applyBorder="1"/>
    <xf numFmtId="0" fontId="4" fillId="5" borderId="26" xfId="0" applyFont="1" applyFill="1" applyBorder="1" applyAlignment="1">
      <alignment vertical="center"/>
    </xf>
    <xf numFmtId="183" fontId="4" fillId="5" borderId="27" xfId="23" applyNumberFormat="1" applyFont="1" applyFill="1" applyBorder="1" applyAlignment="1">
      <alignment horizontal="right" vertical="center" readingOrder="1"/>
    </xf>
    <xf numFmtId="10" fontId="4" fillId="5" borderId="27" xfId="14" applyNumberFormat="1" applyFont="1" applyFill="1" applyBorder="1" applyAlignment="1">
      <alignment horizontal="right" vertical="center" readingOrder="1"/>
    </xf>
    <xf numFmtId="2" fontId="4" fillId="5" borderId="27" xfId="0" applyNumberFormat="1" applyFont="1" applyFill="1" applyBorder="1" applyAlignment="1">
      <alignment horizontal="right" vertical="center" readingOrder="1"/>
    </xf>
    <xf numFmtId="43" fontId="31" fillId="5" borderId="6" xfId="0" applyNumberFormat="1" applyFont="1" applyFill="1" applyBorder="1"/>
    <xf numFmtId="0" fontId="4" fillId="5" borderId="27" xfId="0" applyFont="1" applyFill="1" applyBorder="1"/>
    <xf numFmtId="183" fontId="4" fillId="5" borderId="0" xfId="23" applyNumberFormat="1" applyFont="1" applyFill="1" applyBorder="1" applyAlignment="1">
      <alignment horizontal="right" vertical="center" readingOrder="1"/>
    </xf>
    <xf numFmtId="41" fontId="4" fillId="5" borderId="2" xfId="0" applyNumberFormat="1" applyFont="1" applyFill="1" applyBorder="1"/>
    <xf numFmtId="0" fontId="4" fillId="5" borderId="30" xfId="0" applyFont="1" applyFill="1" applyBorder="1" applyAlignment="1">
      <alignment vertical="center"/>
    </xf>
    <xf numFmtId="183" fontId="4" fillId="5" borderId="12" xfId="23" applyNumberFormat="1" applyFont="1" applyFill="1" applyBorder="1" applyAlignment="1">
      <alignment horizontal="right" vertical="center" readingOrder="1"/>
    </xf>
    <xf numFmtId="2" fontId="4" fillId="14" borderId="0" xfId="0" applyNumberFormat="1" applyFont="1" applyFill="1" applyAlignment="1">
      <alignment horizontal="left" wrapText="1"/>
    </xf>
    <xf numFmtId="2" fontId="0" fillId="15" borderId="0" xfId="0" applyNumberFormat="1" applyFill="1" applyAlignment="1">
      <alignment horizontal="right"/>
    </xf>
    <xf numFmtId="2" fontId="4" fillId="10" borderId="0" xfId="0" applyNumberFormat="1" applyFont="1" applyFill="1" applyAlignment="1">
      <alignment horizontal="right"/>
    </xf>
    <xf numFmtId="10" fontId="4" fillId="10" borderId="0" xfId="0" applyNumberFormat="1" applyFont="1" applyFill="1" applyAlignment="1">
      <alignment horizontal="right"/>
    </xf>
    <xf numFmtId="0" fontId="4" fillId="10" borderId="0" xfId="0" applyFont="1" applyFill="1" applyAlignment="1">
      <alignment horizontal="right"/>
    </xf>
    <xf numFmtId="0" fontId="18" fillId="5" borderId="0" xfId="0" applyFont="1" applyFill="1" applyAlignment="1">
      <alignment vertical="top" wrapText="1"/>
    </xf>
    <xf numFmtId="167" fontId="63" fillId="10" borderId="0" xfId="0" applyNumberFormat="1" applyFont="1" applyFill="1" applyAlignment="1">
      <alignment horizontal="right"/>
    </xf>
    <xf numFmtId="0" fontId="76" fillId="5" borderId="0" xfId="0" applyFont="1" applyFill="1" applyAlignment="1">
      <alignment vertical="top" wrapText="1"/>
    </xf>
    <xf numFmtId="0" fontId="4" fillId="0" borderId="0" xfId="22" applyFont="1" applyAlignment="1">
      <alignment vertical="center"/>
    </xf>
    <xf numFmtId="0" fontId="16" fillId="0" borderId="0" xfId="0" applyFont="1"/>
    <xf numFmtId="0" fontId="4" fillId="0" borderId="0" xfId="0" applyFont="1" applyAlignment="1">
      <alignment vertical="center"/>
    </xf>
    <xf numFmtId="0" fontId="4" fillId="0" borderId="0" xfId="0" applyFont="1" applyAlignment="1">
      <alignment horizontal="center" vertical="center"/>
    </xf>
    <xf numFmtId="185" fontId="11" fillId="0" borderId="0" xfId="0" applyNumberFormat="1" applyFont="1"/>
    <xf numFmtId="185" fontId="5" fillId="12" borderId="21" xfId="0" applyNumberFormat="1" applyFont="1" applyFill="1" applyBorder="1" applyAlignment="1">
      <alignment horizontal="left"/>
    </xf>
    <xf numFmtId="185" fontId="5" fillId="17" borderId="23" xfId="0" applyNumberFormat="1" applyFont="1" applyFill="1" applyBorder="1"/>
    <xf numFmtId="0" fontId="5" fillId="18" borderId="0" xfId="0" applyFont="1" applyFill="1"/>
    <xf numFmtId="0" fontId="4" fillId="18" borderId="0" xfId="0" applyFont="1" applyFill="1"/>
    <xf numFmtId="0" fontId="4" fillId="12" borderId="0" xfId="0" applyFont="1" applyFill="1"/>
    <xf numFmtId="0" fontId="5" fillId="12" borderId="0" xfId="0" applyFont="1" applyFill="1"/>
    <xf numFmtId="0" fontId="0" fillId="18" borderId="0" xfId="0" applyFill="1"/>
    <xf numFmtId="0" fontId="0" fillId="12" borderId="0" xfId="0" applyFill="1"/>
    <xf numFmtId="0" fontId="11" fillId="0" borderId="0" xfId="24" applyFont="1" applyAlignment="1">
      <alignment horizontal="left"/>
    </xf>
    <xf numFmtId="0" fontId="13" fillId="0" borderId="0" xfId="0" applyFont="1" applyAlignment="1">
      <alignment horizontal="left"/>
    </xf>
    <xf numFmtId="0" fontId="13" fillId="0" borderId="0" xfId="0" applyFont="1"/>
    <xf numFmtId="0" fontId="13" fillId="0" borderId="0" xfId="0" applyFont="1" applyAlignment="1">
      <alignment horizontal="right"/>
    </xf>
    <xf numFmtId="2" fontId="13" fillId="0" borderId="0" xfId="0" applyNumberFormat="1" applyFont="1"/>
    <xf numFmtId="0" fontId="4" fillId="0" borderId="0" xfId="0" applyFont="1" applyAlignment="1">
      <alignment horizontal="right"/>
    </xf>
    <xf numFmtId="0" fontId="15" fillId="0" borderId="0" xfId="0" applyFont="1"/>
    <xf numFmtId="0" fontId="4" fillId="0" borderId="0" xfId="0" applyFont="1" applyAlignment="1">
      <alignment horizontal="left"/>
    </xf>
    <xf numFmtId="0" fontId="13" fillId="16" borderId="0" xfId="0" applyFont="1" applyFill="1" applyAlignment="1">
      <alignment horizontal="right"/>
    </xf>
    <xf numFmtId="0" fontId="13" fillId="18" borderId="0" xfId="0" applyFont="1" applyFill="1"/>
    <xf numFmtId="0" fontId="4" fillId="18" borderId="0" xfId="0" applyFont="1" applyFill="1" applyAlignment="1">
      <alignment horizontal="right"/>
    </xf>
    <xf numFmtId="0" fontId="4" fillId="18" borderId="0" xfId="0" applyFont="1" applyFill="1" applyAlignment="1">
      <alignment horizontal="left"/>
    </xf>
    <xf numFmtId="2" fontId="4" fillId="18" borderId="0" xfId="0" applyNumberFormat="1" applyFont="1" applyFill="1"/>
    <xf numFmtId="2" fontId="4" fillId="18" borderId="0" xfId="0" applyNumberFormat="1" applyFont="1" applyFill="1" applyAlignment="1">
      <alignment horizontal="right"/>
    </xf>
    <xf numFmtId="4" fontId="4" fillId="18" borderId="0" xfId="0" applyNumberFormat="1" applyFont="1" applyFill="1" applyAlignment="1">
      <alignment horizontal="right"/>
    </xf>
    <xf numFmtId="2" fontId="13" fillId="18" borderId="0" xfId="0" applyNumberFormat="1" applyFont="1" applyFill="1"/>
    <xf numFmtId="169" fontId="4" fillId="18" borderId="0" xfId="14" applyNumberFormat="1" applyFont="1" applyFill="1" applyAlignment="1">
      <alignment horizontal="right"/>
    </xf>
    <xf numFmtId="1" fontId="4" fillId="18" borderId="0" xfId="0" applyNumberFormat="1" applyFont="1" applyFill="1" applyAlignment="1">
      <alignment horizontal="right"/>
    </xf>
    <xf numFmtId="0" fontId="13" fillId="12" borderId="0" xfId="0" applyFont="1" applyFill="1" applyAlignment="1">
      <alignment horizontal="left"/>
    </xf>
    <xf numFmtId="0" fontId="13" fillId="12" borderId="0" xfId="0" applyFont="1" applyFill="1"/>
    <xf numFmtId="0" fontId="15" fillId="12" borderId="0" xfId="0" applyFont="1" applyFill="1"/>
    <xf numFmtId="0" fontId="13" fillId="12" borderId="0" xfId="0" applyFont="1" applyFill="1" applyAlignment="1">
      <alignment horizontal="right"/>
    </xf>
    <xf numFmtId="0" fontId="4" fillId="12" borderId="0" xfId="0" applyFont="1" applyFill="1" applyAlignment="1">
      <alignment horizontal="right"/>
    </xf>
    <xf numFmtId="0" fontId="33" fillId="0" borderId="0" xfId="0" applyFont="1"/>
    <xf numFmtId="0" fontId="33" fillId="18" borderId="0" xfId="0" applyFont="1" applyFill="1"/>
    <xf numFmtId="0" fontId="33" fillId="18" borderId="0" xfId="0" applyFont="1" applyFill="1" applyAlignment="1">
      <alignment horizontal="left"/>
    </xf>
    <xf numFmtId="0" fontId="33" fillId="18" borderId="0" xfId="12" applyFont="1" applyFill="1" applyAlignment="1">
      <alignment wrapText="1"/>
    </xf>
    <xf numFmtId="1" fontId="33" fillId="18" borderId="0" xfId="0" applyNumberFormat="1" applyFont="1" applyFill="1"/>
    <xf numFmtId="177" fontId="33" fillId="18" borderId="0" xfId="0" applyNumberFormat="1" applyFont="1" applyFill="1"/>
    <xf numFmtId="177" fontId="33" fillId="18" borderId="0" xfId="1" applyNumberFormat="1" applyFont="1" applyFill="1" applyBorder="1" applyAlignment="1">
      <alignment wrapText="1"/>
    </xf>
    <xf numFmtId="177" fontId="33" fillId="18" borderId="0" xfId="12" applyNumberFormat="1" applyFont="1" applyFill="1" applyAlignment="1">
      <alignment wrapText="1"/>
    </xf>
    <xf numFmtId="0" fontId="33" fillId="12" borderId="0" xfId="0" applyFont="1" applyFill="1"/>
    <xf numFmtId="0" fontId="33" fillId="12" borderId="0" xfId="0" applyFont="1" applyFill="1" applyAlignment="1">
      <alignment horizontal="left"/>
    </xf>
    <xf numFmtId="0" fontId="33" fillId="12" borderId="0" xfId="12" applyFont="1" applyFill="1" applyAlignment="1">
      <alignment wrapText="1"/>
    </xf>
    <xf numFmtId="1" fontId="33" fillId="12" borderId="0" xfId="0" applyNumberFormat="1" applyFont="1" applyFill="1"/>
    <xf numFmtId="177" fontId="33" fillId="12" borderId="0" xfId="0" applyNumberFormat="1" applyFont="1" applyFill="1"/>
    <xf numFmtId="0" fontId="16" fillId="0" borderId="0" xfId="22" applyFont="1" applyAlignment="1">
      <alignment horizontal="center" vertical="center"/>
    </xf>
    <xf numFmtId="0" fontId="5" fillId="0" borderId="11" xfId="22" applyFont="1" applyBorder="1" applyAlignment="1">
      <alignment vertical="center"/>
    </xf>
    <xf numFmtId="0" fontId="42" fillId="0" borderId="0" xfId="22" applyAlignment="1">
      <alignment vertical="center"/>
    </xf>
    <xf numFmtId="0" fontId="16" fillId="18" borderId="0" xfId="22" applyFont="1" applyFill="1" applyAlignment="1">
      <alignment horizontal="center" vertical="center"/>
    </xf>
    <xf numFmtId="1" fontId="13" fillId="18" borderId="0" xfId="0" applyNumberFormat="1" applyFont="1" applyFill="1"/>
    <xf numFmtId="0" fontId="42" fillId="18" borderId="0" xfId="22" applyFill="1" applyAlignment="1">
      <alignment vertical="center"/>
    </xf>
    <xf numFmtId="181" fontId="16" fillId="18" borderId="0" xfId="22" applyNumberFormat="1" applyFont="1" applyFill="1" applyAlignment="1">
      <alignment horizontal="center" vertical="center"/>
    </xf>
    <xf numFmtId="0" fontId="4" fillId="18" borderId="11" xfId="22" applyFont="1" applyFill="1" applyBorder="1" applyAlignment="1">
      <alignment vertical="center"/>
    </xf>
    <xf numFmtId="0" fontId="18" fillId="12" borderId="0" xfId="0" applyFont="1" applyFill="1"/>
    <xf numFmtId="0" fontId="16" fillId="12" borderId="0" xfId="22" applyFont="1" applyFill="1" applyAlignment="1">
      <alignment horizontal="center" vertical="center"/>
    </xf>
    <xf numFmtId="0" fontId="5" fillId="12" borderId="11" xfId="22" applyFont="1" applyFill="1" applyBorder="1" applyAlignment="1">
      <alignment vertical="center"/>
    </xf>
    <xf numFmtId="0" fontId="42" fillId="12" borderId="0" xfId="22" applyFill="1" applyAlignment="1">
      <alignment vertical="center"/>
    </xf>
    <xf numFmtId="181" fontId="16" fillId="12" borderId="0" xfId="22" applyNumberFormat="1" applyFont="1" applyFill="1" applyAlignment="1">
      <alignment horizontal="center" vertical="center"/>
    </xf>
    <xf numFmtId="4" fontId="4" fillId="18" borderId="0" xfId="0" applyNumberFormat="1" applyFont="1" applyFill="1"/>
    <xf numFmtId="0" fontId="4" fillId="12" borderId="0" xfId="0" applyFont="1" applyFill="1" applyAlignment="1">
      <alignment horizontal="left"/>
    </xf>
    <xf numFmtId="1" fontId="4" fillId="18" borderId="0" xfId="0" applyNumberFormat="1" applyFont="1" applyFill="1"/>
    <xf numFmtId="1" fontId="4" fillId="12" borderId="0" xfId="0" applyNumberFormat="1" applyFont="1" applyFill="1"/>
    <xf numFmtId="43" fontId="4" fillId="18" borderId="0" xfId="23" applyFont="1" applyFill="1"/>
    <xf numFmtId="185" fontId="5" fillId="12" borderId="0" xfId="0" applyNumberFormat="1" applyFont="1" applyFill="1" applyAlignment="1">
      <alignment horizontal="left"/>
    </xf>
    <xf numFmtId="185" fontId="5" fillId="17" borderId="0" xfId="0" applyNumberFormat="1" applyFont="1" applyFill="1"/>
    <xf numFmtId="185" fontId="5" fillId="17" borderId="23" xfId="25" applyNumberFormat="1" applyFont="1" applyFill="1" applyBorder="1"/>
    <xf numFmtId="185" fontId="4" fillId="18" borderId="0" xfId="55" applyNumberFormat="1" applyFill="1"/>
    <xf numFmtId="1" fontId="0" fillId="0" borderId="0" xfId="0" applyNumberFormat="1"/>
    <xf numFmtId="2" fontId="0" fillId="0" borderId="0" xfId="0" applyNumberFormat="1"/>
    <xf numFmtId="167" fontId="0" fillId="0" borderId="0" xfId="0" applyNumberFormat="1"/>
    <xf numFmtId="0" fontId="13" fillId="18" borderId="0" xfId="0" applyFont="1" applyFill="1" applyAlignment="1">
      <alignment horizontal="right"/>
    </xf>
    <xf numFmtId="2" fontId="4" fillId="12" borderId="0" xfId="0" applyNumberFormat="1" applyFont="1" applyFill="1"/>
    <xf numFmtId="0" fontId="5" fillId="12" borderId="0" xfId="0" applyFont="1" applyFill="1" applyAlignment="1">
      <alignment horizontal="left"/>
    </xf>
    <xf numFmtId="1" fontId="5" fillId="12" borderId="0" xfId="0" applyNumberFormat="1" applyFont="1" applyFill="1"/>
    <xf numFmtId="2" fontId="5" fillId="12" borderId="0" xfId="0" applyNumberFormat="1" applyFont="1" applyFill="1"/>
    <xf numFmtId="0" fontId="5" fillId="12" borderId="0" xfId="0" applyFont="1" applyFill="1" applyAlignment="1">
      <alignment horizontal="right"/>
    </xf>
    <xf numFmtId="2" fontId="5" fillId="12" borderId="0" xfId="0" applyNumberFormat="1" applyFont="1" applyFill="1" applyAlignment="1">
      <alignment horizontal="right"/>
    </xf>
    <xf numFmtId="0" fontId="15" fillId="12" borderId="0" xfId="0" applyFont="1" applyFill="1" applyAlignment="1">
      <alignment horizontal="right"/>
    </xf>
    <xf numFmtId="2" fontId="4" fillId="12" borderId="0" xfId="0" applyNumberFormat="1" applyFont="1" applyFill="1" applyAlignment="1">
      <alignment horizontal="right"/>
    </xf>
    <xf numFmtId="2" fontId="60" fillId="12" borderId="0" xfId="0" applyNumberFormat="1" applyFont="1" applyFill="1" applyAlignment="1">
      <alignment horizontal="right"/>
    </xf>
    <xf numFmtId="10" fontId="4" fillId="12" borderId="0" xfId="0" applyNumberFormat="1" applyFont="1" applyFill="1" applyAlignment="1">
      <alignment horizontal="right"/>
    </xf>
    <xf numFmtId="166" fontId="4" fillId="12" borderId="0" xfId="0" applyNumberFormat="1" applyFont="1" applyFill="1" applyAlignment="1">
      <alignment horizontal="right"/>
    </xf>
    <xf numFmtId="2" fontId="60" fillId="18" borderId="0" xfId="0" applyNumberFormat="1" applyFont="1" applyFill="1" applyAlignment="1">
      <alignment horizontal="right"/>
    </xf>
    <xf numFmtId="10" fontId="4" fillId="18" borderId="0" xfId="0" applyNumberFormat="1" applyFont="1" applyFill="1" applyAlignment="1">
      <alignment horizontal="right"/>
    </xf>
    <xf numFmtId="185" fontId="5" fillId="0" borderId="0" xfId="0" applyNumberFormat="1" applyFont="1" applyAlignment="1">
      <alignment horizontal="left"/>
    </xf>
    <xf numFmtId="2" fontId="4" fillId="0" borderId="0" xfId="0" applyNumberFormat="1" applyFont="1" applyAlignment="1">
      <alignment horizontal="right"/>
    </xf>
    <xf numFmtId="0" fontId="5" fillId="0" borderId="0" xfId="0" applyFont="1" applyAlignment="1">
      <alignment horizontal="right"/>
    </xf>
    <xf numFmtId="185" fontId="4" fillId="0" borderId="0" xfId="0" applyNumberFormat="1" applyFont="1" applyAlignment="1">
      <alignment horizontal="left"/>
    </xf>
    <xf numFmtId="185" fontId="4" fillId="12" borderId="21" xfId="0" applyNumberFormat="1" applyFont="1" applyFill="1" applyBorder="1" applyAlignment="1">
      <alignment horizontal="left"/>
    </xf>
    <xf numFmtId="185" fontId="4" fillId="12" borderId="0" xfId="0" applyNumberFormat="1" applyFont="1" applyFill="1" applyAlignment="1">
      <alignment horizontal="left"/>
    </xf>
    <xf numFmtId="0" fontId="0" fillId="20" borderId="0" xfId="0" applyFill="1"/>
    <xf numFmtId="1" fontId="0" fillId="20" borderId="0" xfId="0" applyNumberFormat="1" applyFill="1"/>
    <xf numFmtId="2" fontId="0" fillId="20" borderId="0" xfId="0" applyNumberFormat="1" applyFill="1"/>
    <xf numFmtId="167" fontId="4" fillId="18" borderId="0" xfId="0" applyNumberFormat="1" applyFont="1" applyFill="1"/>
    <xf numFmtId="0" fontId="5" fillId="12" borderId="0" xfId="38" applyFont="1" applyFill="1"/>
    <xf numFmtId="0" fontId="4" fillId="12" borderId="0" xfId="38" applyFill="1"/>
    <xf numFmtId="0" fontId="4" fillId="12" borderId="0" xfId="38" applyFill="1" applyAlignment="1">
      <alignment horizontal="right"/>
    </xf>
    <xf numFmtId="2" fontId="4" fillId="12" borderId="0" xfId="38" applyNumberFormat="1" applyFill="1" applyAlignment="1">
      <alignment horizontal="right"/>
    </xf>
    <xf numFmtId="1" fontId="4" fillId="12" borderId="0" xfId="38" applyNumberFormat="1" applyFill="1" applyAlignment="1">
      <alignment horizontal="right"/>
    </xf>
    <xf numFmtId="0" fontId="4" fillId="0" borderId="0" xfId="38"/>
    <xf numFmtId="0" fontId="4" fillId="18" borderId="0" xfId="38" applyFill="1"/>
    <xf numFmtId="0" fontId="4" fillId="18" borderId="0" xfId="38" applyFill="1" applyAlignment="1">
      <alignment horizontal="left"/>
    </xf>
    <xf numFmtId="0" fontId="4" fillId="18" borderId="0" xfId="38" applyFill="1" applyAlignment="1">
      <alignment horizontal="right"/>
    </xf>
    <xf numFmtId="2" fontId="4" fillId="18" borderId="0" xfId="38" applyNumberFormat="1" applyFill="1" applyAlignment="1">
      <alignment horizontal="right"/>
    </xf>
    <xf numFmtId="1" fontId="4" fillId="18" borderId="0" xfId="38" applyNumberFormat="1" applyFill="1" applyAlignment="1">
      <alignment horizontal="right"/>
    </xf>
    <xf numFmtId="0" fontId="86" fillId="0" borderId="0" xfId="55" applyFont="1"/>
    <xf numFmtId="0" fontId="87" fillId="0" borderId="0" xfId="55" applyFont="1"/>
    <xf numFmtId="0" fontId="4" fillId="0" borderId="0" xfId="55"/>
    <xf numFmtId="0" fontId="88" fillId="0" borderId="0" xfId="55" applyFont="1"/>
    <xf numFmtId="9" fontId="87" fillId="0" borderId="0" xfId="55" applyNumberFormat="1" applyFont="1"/>
    <xf numFmtId="8" fontId="87" fillId="0" borderId="0" xfId="55" applyNumberFormat="1" applyFont="1"/>
    <xf numFmtId="0" fontId="89" fillId="0" borderId="0" xfId="55" applyFont="1"/>
    <xf numFmtId="0" fontId="65" fillId="0" borderId="0" xfId="55" applyFont="1"/>
    <xf numFmtId="1" fontId="4" fillId="0" borderId="0" xfId="55" applyNumberFormat="1"/>
    <xf numFmtId="169" fontId="4" fillId="0" borderId="0" xfId="55" applyNumberFormat="1"/>
    <xf numFmtId="6" fontId="4" fillId="0" borderId="0" xfId="55" applyNumberFormat="1"/>
    <xf numFmtId="167" fontId="4" fillId="0" borderId="0" xfId="55" applyNumberFormat="1"/>
    <xf numFmtId="0" fontId="5" fillId="0" borderId="0" xfId="55" applyFont="1"/>
    <xf numFmtId="0" fontId="4" fillId="5" borderId="0" xfId="0" applyFont="1" applyFill="1" applyAlignment="1">
      <alignment horizontal="center"/>
    </xf>
    <xf numFmtId="0" fontId="4" fillId="5" borderId="0" xfId="0" applyFont="1" applyFill="1" applyAlignment="1">
      <alignment horizontal="left" wrapText="1"/>
    </xf>
    <xf numFmtId="0" fontId="5" fillId="5" borderId="0" xfId="0" applyFont="1" applyFill="1" applyAlignment="1">
      <alignment horizontal="left"/>
    </xf>
    <xf numFmtId="0" fontId="32" fillId="5" borderId="0" xfId="0" applyFont="1" applyFill="1" applyAlignment="1">
      <alignment horizontal="left" wrapText="1"/>
    </xf>
    <xf numFmtId="0" fontId="5" fillId="5" borderId="0" xfId="0" applyFont="1" applyFill="1" applyAlignment="1">
      <alignment horizontal="left" wrapText="1"/>
    </xf>
    <xf numFmtId="0" fontId="32" fillId="5" borderId="0" xfId="0" applyFont="1" applyFill="1" applyAlignment="1">
      <alignment horizontal="center" wrapText="1"/>
    </xf>
    <xf numFmtId="0" fontId="4" fillId="5" borderId="0" xfId="0" applyFont="1" applyFill="1" applyAlignment="1">
      <alignment horizontal="right"/>
    </xf>
    <xf numFmtId="0" fontId="32" fillId="5" borderId="0" xfId="0" applyFont="1" applyFill="1"/>
    <xf numFmtId="0" fontId="32" fillId="5" borderId="9" xfId="0" applyFont="1" applyFill="1" applyBorder="1" applyAlignment="1">
      <alignment horizontal="center" vertical="center" textRotation="90"/>
    </xf>
    <xf numFmtId="0" fontId="32" fillId="5" borderId="0" xfId="0" applyFont="1" applyFill="1" applyAlignment="1">
      <alignment horizontal="center" vertical="center" wrapText="1"/>
    </xf>
    <xf numFmtId="0" fontId="32" fillId="5" borderId="0" xfId="0" applyFont="1" applyFill="1" applyAlignment="1">
      <alignment horizontal="left" vertical="center" wrapText="1"/>
    </xf>
    <xf numFmtId="0" fontId="31" fillId="5" borderId="0" xfId="0" applyFont="1" applyFill="1" applyAlignment="1">
      <alignment horizontal="center"/>
    </xf>
    <xf numFmtId="0" fontId="18" fillId="5" borderId="0" xfId="0" applyFont="1" applyFill="1" applyAlignment="1">
      <alignment horizontal="right" vertical="top" wrapText="1"/>
    </xf>
    <xf numFmtId="0" fontId="63" fillId="5" borderId="0" xfId="0" applyFont="1" applyFill="1" applyAlignment="1">
      <alignment horizontal="right" vertical="top" wrapText="1"/>
    </xf>
    <xf numFmtId="0" fontId="4" fillId="5" borderId="0" xfId="0" applyFont="1" applyFill="1" applyAlignment="1">
      <alignment horizontal="right" vertical="top" wrapText="1"/>
    </xf>
    <xf numFmtId="0" fontId="31" fillId="5" borderId="0" xfId="0" applyFont="1" applyFill="1"/>
    <xf numFmtId="2" fontId="46" fillId="5" borderId="0" xfId="0" applyNumberFormat="1" applyFont="1" applyFill="1" applyAlignment="1">
      <alignment horizontal="left"/>
    </xf>
    <xf numFmtId="0" fontId="31" fillId="5" borderId="0" xfId="0" applyFont="1" applyFill="1" applyAlignment="1">
      <alignment wrapText="1"/>
    </xf>
    <xf numFmtId="0" fontId="32" fillId="5" borderId="0" xfId="0" applyFont="1" applyFill="1" applyAlignment="1">
      <alignment horizontal="left"/>
    </xf>
    <xf numFmtId="0" fontId="32" fillId="5" borderId="0" xfId="0" applyFont="1" applyFill="1" applyAlignment="1">
      <alignment horizontal="center"/>
    </xf>
    <xf numFmtId="0" fontId="15" fillId="5" borderId="0" xfId="0" applyFont="1" applyFill="1"/>
    <xf numFmtId="0" fontId="4" fillId="5" borderId="0" xfId="7" applyFont="1" applyFill="1"/>
    <xf numFmtId="2" fontId="5" fillId="3" borderId="0" xfId="0" applyNumberFormat="1" applyFont="1" applyFill="1" applyAlignment="1">
      <alignment horizontal="center" vertical="center"/>
    </xf>
    <xf numFmtId="2" fontId="5" fillId="6" borderId="0" xfId="0" applyNumberFormat="1" applyFont="1" applyFill="1" applyAlignment="1">
      <alignment horizontal="center" vertical="center"/>
    </xf>
    <xf numFmtId="0" fontId="4" fillId="5" borderId="0" xfId="0" applyFont="1" applyFill="1" applyAlignment="1">
      <alignment horizontal="center"/>
    </xf>
    <xf numFmtId="0" fontId="4" fillId="5" borderId="0" xfId="0" applyFont="1" applyFill="1" applyAlignment="1">
      <alignment horizontal="left" wrapText="1"/>
    </xf>
    <xf numFmtId="0" fontId="5" fillId="5" borderId="0" xfId="0" applyFont="1" applyFill="1" applyAlignment="1">
      <alignment horizontal="left"/>
    </xf>
    <xf numFmtId="0" fontId="32" fillId="5" borderId="0" xfId="0" applyFont="1" applyFill="1" applyAlignment="1">
      <alignment horizontal="left" wrapText="1"/>
    </xf>
    <xf numFmtId="0" fontId="5" fillId="5" borderId="0" xfId="0" applyFont="1" applyFill="1" applyAlignment="1">
      <alignment horizontal="left" wrapText="1"/>
    </xf>
    <xf numFmtId="0" fontId="32" fillId="5" borderId="0" xfId="0" applyFont="1" applyFill="1" applyAlignment="1">
      <alignment horizontal="center" wrapText="1"/>
    </xf>
    <xf numFmtId="0" fontId="4" fillId="5" borderId="14" xfId="0" applyFont="1" applyFill="1" applyBorder="1" applyAlignment="1">
      <alignment horizontal="left" wrapText="1"/>
    </xf>
    <xf numFmtId="169" fontId="5" fillId="5" borderId="0" xfId="14" applyNumberFormat="1" applyFont="1" applyFill="1" applyAlignment="1">
      <alignment horizontal="left" wrapText="1"/>
    </xf>
    <xf numFmtId="0" fontId="32" fillId="5" borderId="0" xfId="0" applyFont="1" applyFill="1" applyAlignment="1"/>
    <xf numFmtId="0" fontId="32" fillId="5" borderId="19" xfId="0" applyFont="1" applyFill="1" applyBorder="1" applyAlignment="1">
      <alignment horizontal="center" vertical="center" textRotation="90"/>
    </xf>
    <xf numFmtId="0" fontId="32" fillId="5" borderId="13" xfId="0" applyFont="1" applyFill="1" applyBorder="1" applyAlignment="1">
      <alignment horizontal="center" vertical="center" textRotation="90"/>
    </xf>
    <xf numFmtId="0" fontId="32" fillId="5" borderId="25" xfId="0" applyFont="1" applyFill="1" applyBorder="1" applyAlignment="1">
      <alignment horizontal="center" vertical="center" textRotation="90"/>
    </xf>
    <xf numFmtId="0" fontId="32" fillId="5" borderId="28" xfId="0" applyFont="1" applyFill="1" applyBorder="1" applyAlignment="1">
      <alignment horizontal="center" vertical="center" textRotation="90"/>
    </xf>
    <xf numFmtId="0" fontId="32" fillId="5" borderId="29" xfId="0" applyFont="1" applyFill="1" applyBorder="1" applyAlignment="1">
      <alignment horizontal="center" vertical="center" textRotation="90"/>
    </xf>
    <xf numFmtId="0" fontId="32" fillId="5" borderId="9" xfId="0" applyFont="1" applyFill="1" applyBorder="1" applyAlignment="1">
      <alignment horizontal="center" vertical="center" textRotation="90"/>
    </xf>
    <xf numFmtId="0" fontId="32" fillId="5" borderId="7" xfId="0" applyFont="1" applyFill="1" applyBorder="1" applyAlignment="1">
      <alignment wrapText="1"/>
    </xf>
    <xf numFmtId="0" fontId="32" fillId="5" borderId="23" xfId="0" applyFont="1" applyFill="1" applyBorder="1" applyAlignment="1">
      <alignment wrapText="1"/>
    </xf>
    <xf numFmtId="0" fontId="32" fillId="5" borderId="24" xfId="0" applyFont="1" applyFill="1" applyBorder="1" applyAlignment="1">
      <alignment wrapText="1"/>
    </xf>
    <xf numFmtId="0" fontId="32" fillId="5" borderId="20" xfId="0" applyFont="1" applyFill="1" applyBorder="1" applyAlignment="1">
      <alignment horizontal="left"/>
    </xf>
    <xf numFmtId="0" fontId="32" fillId="5" borderId="21" xfId="0" applyFont="1" applyFill="1" applyBorder="1" applyAlignment="1">
      <alignment horizontal="left"/>
    </xf>
    <xf numFmtId="0" fontId="32" fillId="5" borderId="22" xfId="0" applyFont="1" applyFill="1" applyBorder="1" applyAlignment="1">
      <alignment horizontal="left"/>
    </xf>
    <xf numFmtId="0" fontId="32" fillId="5" borderId="4" xfId="0" applyFont="1" applyFill="1" applyBorder="1" applyAlignment="1"/>
    <xf numFmtId="0" fontId="32" fillId="5" borderId="5" xfId="0" applyFont="1" applyFill="1" applyBorder="1" applyAlignment="1"/>
    <xf numFmtId="169" fontId="32" fillId="5" borderId="0" xfId="14" applyNumberFormat="1" applyFont="1" applyFill="1" applyBorder="1" applyAlignment="1">
      <alignment horizontal="center" vertical="center" wrapText="1"/>
    </xf>
    <xf numFmtId="0" fontId="32" fillId="5" borderId="0" xfId="0" applyFont="1" applyFill="1" applyAlignment="1">
      <alignment horizontal="center" vertical="center" wrapText="1"/>
    </xf>
    <xf numFmtId="0" fontId="32" fillId="5" borderId="0" xfId="0" applyFont="1" applyFill="1" applyAlignment="1">
      <alignment vertical="center"/>
    </xf>
    <xf numFmtId="0" fontId="32" fillId="5" borderId="0" xfId="0" applyFont="1" applyFill="1" applyAlignment="1">
      <alignment horizontal="left" vertical="center" wrapText="1"/>
    </xf>
    <xf numFmtId="0" fontId="31" fillId="5" borderId="0" xfId="0" applyFont="1" applyFill="1" applyAlignment="1">
      <alignment horizontal="center"/>
    </xf>
    <xf numFmtId="0" fontId="31" fillId="4" borderId="0" xfId="0" applyFont="1" applyFill="1" applyAlignment="1">
      <alignment horizontal="center"/>
    </xf>
    <xf numFmtId="0" fontId="18" fillId="5" borderId="0" xfId="0" applyFont="1" applyFill="1" applyAlignment="1">
      <alignment horizontal="right" vertical="top" wrapText="1"/>
    </xf>
    <xf numFmtId="0" fontId="63" fillId="5" borderId="0" xfId="0" applyFont="1" applyFill="1" applyAlignment="1">
      <alignment horizontal="right" vertical="top" wrapText="1"/>
    </xf>
    <xf numFmtId="0" fontId="4" fillId="5" borderId="0" xfId="0" applyFont="1" applyFill="1" applyAlignment="1">
      <alignment horizontal="right" vertical="top" wrapText="1"/>
    </xf>
    <xf numFmtId="0" fontId="18" fillId="5" borderId="0" xfId="0" applyFont="1" applyFill="1" applyAlignment="1">
      <alignment horizontal="right" vertical="top" wrapText="1" indent="4"/>
    </xf>
    <xf numFmtId="2" fontId="46" fillId="5" borderId="0" xfId="0" applyNumberFormat="1" applyFont="1" applyFill="1" applyAlignment="1">
      <alignment horizontal="left"/>
    </xf>
    <xf numFmtId="2" fontId="46" fillId="5" borderId="0" xfId="0" applyNumberFormat="1" applyFont="1" applyFill="1" applyAlignment="1">
      <alignment horizontal="left" vertical="top" wrapText="1"/>
    </xf>
    <xf numFmtId="0" fontId="32" fillId="5" borderId="0" xfId="0" applyFont="1" applyFill="1" applyAlignment="1">
      <alignment horizontal="center"/>
    </xf>
  </cellXfs>
  <cellStyles count="109">
    <cellStyle name="20% - Accent5 2" xfId="76" xr:uid="{D700A938-F49D-42EF-90C6-17338D41E0E6}"/>
    <cellStyle name="20% - Accent5 3" xfId="94" xr:uid="{68CE796E-F3F7-4E41-AD3F-BD6AACFBE8A5}"/>
    <cellStyle name="Body: normal cell" xfId="21" xr:uid="{00000000-0005-0000-0000-000000000000}"/>
    <cellStyle name="Body: normal cell 2" xfId="46" xr:uid="{1044695E-5DC3-434F-9208-7A1C36E8D89D}"/>
    <cellStyle name="Comma" xfId="23" builtinId="3"/>
    <cellStyle name="Comma 10 2" xfId="57" xr:uid="{81A620F1-C339-4157-946F-403CCB95E8FD}"/>
    <cellStyle name="Comma 10 2 2" xfId="81" xr:uid="{C1AB188E-EDEF-43C8-AE39-0B474A6584DC}"/>
    <cellStyle name="Comma 10 2 3" xfId="99" xr:uid="{2311FC11-61BB-4C5D-8A07-9D76ABD2AB6C}"/>
    <cellStyle name="Comma 2" xfId="50" xr:uid="{942464C1-E0E4-438A-B2DB-4A0DFE6A1F0A}"/>
    <cellStyle name="Comma 2 2" xfId="56" xr:uid="{CBE6C300-3390-48DB-ADE1-752A7F490D3B}"/>
    <cellStyle name="Comma 2 2 2" xfId="64" xr:uid="{EACDADE0-51B6-4BF9-8A20-C9DC421BB5A1}"/>
    <cellStyle name="Comma 2 2 2 2" xfId="85" xr:uid="{0D2C2642-CE73-4E09-8DEC-84786541EBDD}"/>
    <cellStyle name="Comma 2 2 2 3" xfId="103" xr:uid="{EC6F558C-C52B-48F0-B31F-C24E8D24E007}"/>
    <cellStyle name="Comma 2 2 3" xfId="80" xr:uid="{F1AC70EE-39FE-4675-827C-CE06CE82C219}"/>
    <cellStyle name="Comma 2 2 4" xfId="98" xr:uid="{D6FF629F-E704-40FD-95A0-D8B4DEF32B40}"/>
    <cellStyle name="Comma 2 3" xfId="58" xr:uid="{348CF848-AD9B-42AC-B222-D8142D0D9ED7}"/>
    <cellStyle name="Comma 2 3 2" xfId="82" xr:uid="{D2606A43-954E-4EC0-ABE2-775883C921D0}"/>
    <cellStyle name="Comma 2 3 3" xfId="100" xr:uid="{05C2C48B-70AB-4C52-B059-71F12F3061E1}"/>
    <cellStyle name="Comma 2 4" xfId="77" xr:uid="{D096C4FF-F84C-4E8B-AEBD-61C0FB8D9071}"/>
    <cellStyle name="Comma 2 5" xfId="95" xr:uid="{54CF88A6-8BE8-42BB-AC09-4C91A93C2516}"/>
    <cellStyle name="Comma 26" xfId="63" xr:uid="{7ACC4AE1-3943-4526-8C78-BC208654AAF0}"/>
    <cellStyle name="Comma 3" xfId="1" xr:uid="{00000000-0005-0000-0000-000002000000}"/>
    <cellStyle name="Comma 3 2" xfId="79" xr:uid="{2425E352-B2C8-42D3-B9AD-F99B24FC6EFD}"/>
    <cellStyle name="Comma 3 3" xfId="97" xr:uid="{4276C272-FBB5-4857-9C94-61624902FE01}"/>
    <cellStyle name="Comma 3 4" xfId="28" xr:uid="{31C4278B-1B76-415D-B990-903879D18C6C}"/>
    <cellStyle name="Comma 3 7" xfId="62" xr:uid="{F7367EF0-073C-4472-ADDD-AB80E93BB2D3}"/>
    <cellStyle name="Comma 4" xfId="61" xr:uid="{D244C3BA-EE5D-4E5F-B832-C98B38F6CB59}"/>
    <cellStyle name="Comma 4 2" xfId="69" xr:uid="{79258446-B7C4-4CFD-9922-A1DC3D2A013F}"/>
    <cellStyle name="Comma 4 2 2" xfId="90" xr:uid="{EF9A2CB0-E1D7-4BA9-87FD-A902175471D3}"/>
    <cellStyle name="Comma 4 2 3" xfId="108" xr:uid="{B3FFB71E-486F-478A-A408-AC0E2199CFD2}"/>
    <cellStyle name="Comma 4 3" xfId="84" xr:uid="{4663830B-9E64-4C80-A7B6-FFA01D80B53A}"/>
    <cellStyle name="Comma 4 4" xfId="102" xr:uid="{A50E7DE0-4F7D-48CE-9253-1042A84238AF}"/>
    <cellStyle name="Comma 5" xfId="66" xr:uid="{455CB6F1-7853-49A3-ACF2-803AB5077B0F}"/>
    <cellStyle name="Comma 5 2" xfId="87" xr:uid="{6C752004-ABED-47D2-828F-C3F2FC9D7CCE}"/>
    <cellStyle name="Comma 5 3" xfId="105" xr:uid="{9C8D1986-A6D6-4A21-9356-F5FF2F04556D}"/>
    <cellStyle name="Comma 6" xfId="78" xr:uid="{609E0A71-6F54-4ED2-9D45-2A889CBAEB6C}"/>
    <cellStyle name="Comma 6 2" xfId="96" xr:uid="{971E48AB-D28D-4F54-BD4B-A919B6480BBD}"/>
    <cellStyle name="Comma 7" xfId="75" xr:uid="{B6B75B2D-6ACE-4D99-9311-A253ED1B3A68}"/>
    <cellStyle name="Comma 8" xfId="93" xr:uid="{0B28E223-0536-445C-A4B6-F5132A586382}"/>
    <cellStyle name="Comma 9" xfId="45" xr:uid="{8638FCA9-FD48-4F7E-AD14-F7FEE4146F02}"/>
    <cellStyle name="Currency 2" xfId="42" xr:uid="{0CD866F7-E680-4A11-90EF-A75DD84ED87D}"/>
    <cellStyle name="Header: bottom row" xfId="19" xr:uid="{00000000-0005-0000-0000-000003000000}"/>
    <cellStyle name="Hyperlink" xfId="16" builtinId="8"/>
    <cellStyle name="Hyperlink 2" xfId="73" xr:uid="{F9B7E11D-D5BE-4F33-9D57-2DEA7F038134}"/>
    <cellStyle name="Hyperlink 2 3" xfId="44" xr:uid="{9571BC65-7274-4358-9FC0-8C99F39AD122}"/>
    <cellStyle name="Hyperlink 3" xfId="71" xr:uid="{1DCC8442-89B2-4F02-A7A1-D71C4045BAB1}"/>
    <cellStyle name="Hyperlink 4" xfId="36" xr:uid="{FC6F146B-9BBA-4946-A6AC-E95A7DA480DC}"/>
    <cellStyle name="Hyperlink 5" xfId="33" xr:uid="{C60DBED2-7596-4903-B453-2CDA59EE90E8}"/>
    <cellStyle name="Normal" xfId="0" builtinId="0"/>
    <cellStyle name="Normal 10" xfId="24" xr:uid="{E5BEE50C-66AA-4342-A984-DB45D9F1BB46}"/>
    <cellStyle name="Normal 10 2" xfId="55" xr:uid="{9E6F632E-F5DE-4DB2-BE37-C4DE3BF765EA}"/>
    <cellStyle name="Normal 10 3" xfId="51" xr:uid="{2E640EA5-C70C-4A3A-BEB7-A388BFC74108}"/>
    <cellStyle name="Normal 10 4" xfId="47" xr:uid="{5DF7E3C2-C327-4833-8172-A18767496D53}"/>
    <cellStyle name="Normal 14 2" xfId="37" xr:uid="{5057C1FC-6848-499E-92B3-8D907CA117B7}"/>
    <cellStyle name="Normal 2" xfId="2" xr:uid="{00000000-0005-0000-0000-000006000000}"/>
    <cellStyle name="Normal 2 2" xfId="22" xr:uid="{00000000-0005-0000-0000-000007000000}"/>
    <cellStyle name="Normal 2 2 2" xfId="38" xr:uid="{83682F00-7BBF-4EC0-8655-53046F99D603}"/>
    <cellStyle name="Normal 2 3" xfId="60" xr:uid="{016BB8DB-C533-4C73-8AF9-CC0CF7D50D2B}"/>
    <cellStyle name="Normal 2 3 2" xfId="68" xr:uid="{391E95FD-9597-4D0E-A2D6-858AC18E068C}"/>
    <cellStyle name="Normal 2 3 2 2" xfId="89" xr:uid="{EF9A8C06-ADCF-405F-9D35-9A8283315B1B}"/>
    <cellStyle name="Normal 2 3 2 3" xfId="107" xr:uid="{850F0F34-4DE0-4894-9840-0DEE01D6BEB5}"/>
    <cellStyle name="Normal 2 3 3" xfId="83" xr:uid="{312DCD44-9435-44C3-8722-B5D28C07760D}"/>
    <cellStyle name="Normal 2 3 4" xfId="101" xr:uid="{8880F5E5-BA4E-4FFF-8578-51CB7613B4B6}"/>
    <cellStyle name="Normal 2 4" xfId="27" xr:uid="{9DEA495F-DDF7-4F42-BB63-548835EE20AA}"/>
    <cellStyle name="Normal 2 5" xfId="40" xr:uid="{A51F4CCB-B260-44E3-A132-1CCA9387A196}"/>
    <cellStyle name="Normal 22" xfId="39" xr:uid="{C976D74B-596A-46A7-A4A4-2DA431B3CC3D}"/>
    <cellStyle name="Normal 23 2" xfId="41" xr:uid="{34165F7D-A436-4E9C-B735-8CA1ADFBD65E}"/>
    <cellStyle name="Normal 25" xfId="35" xr:uid="{64C67E02-37DF-4987-8044-C47D2DEC3639}"/>
    <cellStyle name="Normal 3" xfId="3" xr:uid="{00000000-0005-0000-0000-000008000000}"/>
    <cellStyle name="Normal 3 2" xfId="30" xr:uid="{FC51386E-D3AE-4C74-81FF-1264082A555A}"/>
    <cellStyle name="Normal 3 2 2" xfId="104" xr:uid="{ADBA2385-0937-4EA3-BF51-40574BB0919E}"/>
    <cellStyle name="Normal 3 2 3" xfId="86" xr:uid="{6C43CB5D-1C71-4870-A045-F0A42B33067B}"/>
    <cellStyle name="Normal 3 3" xfId="72" xr:uid="{355CB303-F3DB-4EB2-A02F-B008DC35C7A1}"/>
    <cellStyle name="Normal 3 4" xfId="65" xr:uid="{2FBDCD1B-D343-4C50-A7F4-897B583B2DEA}"/>
    <cellStyle name="Normal 3 5" xfId="29" xr:uid="{85EA95DE-52E4-460E-88E6-646AB0177697}"/>
    <cellStyle name="Normal 4" xfId="17" xr:uid="{00000000-0005-0000-0000-000009000000}"/>
    <cellStyle name="Normal 4 2" xfId="54" xr:uid="{83648AF2-C270-4E20-BE58-E0ED1F78F3B4}"/>
    <cellStyle name="Normal 4 3" xfId="53" xr:uid="{74558C28-2E6E-47F0-AEC9-F6EE84EACAF6}"/>
    <cellStyle name="Normal 4 4" xfId="48" xr:uid="{27C80A21-8634-452B-AEDC-86B86A08F2E4}"/>
    <cellStyle name="Normal 4 5" xfId="34" xr:uid="{94B65E42-948F-457F-9311-4F89A6226AC4}"/>
    <cellStyle name="Normal 5" xfId="70" xr:uid="{61FD82EE-D501-4A1C-BC18-2FEEF62C3553}"/>
    <cellStyle name="Normal 6" xfId="67" xr:uid="{3C90D52B-BB09-4AA7-B3D4-80E16C74842D}"/>
    <cellStyle name="Normal 6 2" xfId="88" xr:uid="{C7197BB2-6510-4DA7-AC3C-8E0B51B582C0}"/>
    <cellStyle name="Normal 6 3" xfId="106" xr:uid="{1F368221-8B1B-48A3-A639-0150296DE064}"/>
    <cellStyle name="Normal 7" xfId="4" xr:uid="{00000000-0005-0000-0000-00000A000000}"/>
    <cellStyle name="Normal 7 2" xfId="91" xr:uid="{C96C53B3-5184-415A-ABE2-64EFC5F74012}"/>
    <cellStyle name="Normal 7 3" xfId="31" xr:uid="{04181286-590E-4196-A131-FAF701A1A8B7}"/>
    <cellStyle name="Normal 8" xfId="49" xr:uid="{53282AD3-E390-451F-88DC-9137504D5EB5}"/>
    <cellStyle name="Normal 9" xfId="25" xr:uid="{F4FA7E35-C55E-43F2-B487-CE7F2C19CBAB}"/>
    <cellStyle name="Normal_Commercial" xfId="5" xr:uid="{00000000-0005-0000-0000-00000B000000}"/>
    <cellStyle name="Normal_Conv" xfId="6" xr:uid="{00000000-0005-0000-0000-00000C000000}"/>
    <cellStyle name="Normal_conversion factors" xfId="7" xr:uid="{00000000-0005-0000-0000-00000D000000}"/>
    <cellStyle name="Normal_Conversion Tech Data Update-Rev4" xfId="8" xr:uid="{00000000-0005-0000-0000-00000E000000}"/>
    <cellStyle name="Normal_EPAUS9r_08_SRC_Coal_v0.1a" xfId="9" xr:uid="{00000000-0005-0000-0000-00000F000000}"/>
    <cellStyle name="Normal_Residential" xfId="10" xr:uid="{00000000-0005-0000-0000-000010000000}"/>
    <cellStyle name="Normal_RTI-BC" xfId="11" xr:uid="{00000000-0005-0000-0000-000011000000}"/>
    <cellStyle name="Normal_Sheet1" xfId="12" xr:uid="{00000000-0005-0000-0000-000012000000}"/>
    <cellStyle name="Normal_USCensusB Pop projection" xfId="13" xr:uid="{00000000-0005-0000-0000-000013000000}"/>
    <cellStyle name="Normale_B2020" xfId="52" xr:uid="{95185E70-8990-4CDC-AA49-2236F7A31BE0}"/>
    <cellStyle name="Parent row" xfId="20" xr:uid="{00000000-0005-0000-0000-000014000000}"/>
    <cellStyle name="Percent" xfId="14" builtinId="5"/>
    <cellStyle name="Percent 11" xfId="43" xr:uid="{FA742E6C-A436-4311-AF8E-2434B7E7A3B0}"/>
    <cellStyle name="Percent 2" xfId="15" xr:uid="{00000000-0005-0000-0000-000016000000}"/>
    <cellStyle name="Percent 2 2" xfId="32" xr:uid="{C7F775B9-D09F-4146-AF91-9790F210EAD3}"/>
    <cellStyle name="Percent 3" xfId="74" xr:uid="{B22CFDD5-382D-47D1-9858-37D0C4389CE7}"/>
    <cellStyle name="Percent 4" xfId="92" xr:uid="{2A65E7ED-7DC9-47FA-BC42-76A6899BF32B}"/>
    <cellStyle name="Percent 5" xfId="26" xr:uid="{0A33C0DA-9CB8-4405-94E8-28D3D2F4E690}"/>
    <cellStyle name="Pourcentage 2" xfId="59" xr:uid="{BC7A80C2-0298-4669-8CCB-7D78388836D1}"/>
    <cellStyle name="Table title" xfId="18" xr:uid="{00000000-0005-0000-0000-000017000000}"/>
  </cellStyles>
  <dxfs count="72">
    <dxf>
      <font>
        <b/>
        <i val="0"/>
        <condense val="0"/>
        <extend val="0"/>
      </font>
      <fill>
        <patternFill>
          <bgColor indexed="10"/>
        </patternFill>
      </fill>
    </dxf>
    <dxf>
      <font>
        <b/>
        <i val="0"/>
        <condense val="0"/>
        <extend val="0"/>
      </font>
      <fill>
        <patternFill>
          <bgColor indexed="10"/>
        </patternFill>
      </fil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FFFF99"/>
      <color rgb="FFFFFFCC"/>
      <color rgb="FFF9A5A5"/>
      <color rgb="FFDFA5F9"/>
      <color rgb="FF0000FF"/>
      <color rgb="FFD5A4FA"/>
      <color rgb="FFDDDD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47"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pivotCacheDefinition" Target="pivotCache/pivotCacheDefinition1.xml"/><Relationship Id="rId45"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 Id="rId48" Type="http://schemas.openxmlformats.org/officeDocument/2006/relationships/customXml" Target="../customXml/item4.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ustomXml" Target="../customXml/item2.xml"/><Relationship Id="rId20" Type="http://schemas.openxmlformats.org/officeDocument/2006/relationships/worksheet" Target="worksheets/sheet20.xml"/><Relationship Id="rId41" Type="http://schemas.openxmlformats.org/officeDocument/2006/relationships/theme" Target="theme/theme1.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_rels/activeX8.xml.rels><?xml version="1.0" encoding="UTF-8" standalone="yes"?>
<Relationships xmlns="http://schemas.openxmlformats.org/package/2006/relationships"><Relationship Id="rId1" Type="http://schemas.microsoft.com/office/2006/relationships/activeXControlBinary" Target="activeX8.bin"/></Relationships>
</file>

<file path=xl/activeX/_rels/activeX9.xml.rels><?xml version="1.0" encoding="UTF-8" standalone="yes"?>
<Relationships xmlns="http://schemas.openxmlformats.org/package/2006/relationships"><Relationship Id="rId1" Type="http://schemas.microsoft.com/office/2006/relationships/activeXControlBinary" Target="activeX9.bin"/></Relationships>
</file>

<file path=xl/activeX/_rels/activeX10.xml.rels><?xml version="1.0" encoding="UTF-8" standalone="yes"?>
<Relationships xmlns="http://schemas.openxmlformats.org/package/2006/relationships"><Relationship Id="rId1" Type="http://schemas.microsoft.com/office/2006/relationships/activeXControlBinary" Target="activeX10.bin"/></Relationships>
</file>

<file path=xl/activeX/_rels/activeX11.xml.rels><?xml version="1.0" encoding="UTF-8" standalone="yes"?>
<Relationships xmlns="http://schemas.openxmlformats.org/package/2006/relationships"><Relationship Id="rId1" Type="http://schemas.microsoft.com/office/2006/relationships/activeXControlBinary" Target="activeX11.bin"/></Relationships>
</file>

<file path=xl/activeX/_rels/activeX12.xml.rels><?xml version="1.0" encoding="UTF-8" standalone="yes"?>
<Relationships xmlns="http://schemas.openxmlformats.org/package/2006/relationships"><Relationship Id="rId1" Type="http://schemas.microsoft.com/office/2006/relationships/activeXControlBinary" Target="activeX12.bin"/></Relationships>
</file>

<file path=xl/activeX/_rels/activeX13.xml.rels><?xml version="1.0" encoding="UTF-8" standalone="yes"?>
<Relationships xmlns="http://schemas.openxmlformats.org/package/2006/relationships"><Relationship Id="rId1" Type="http://schemas.microsoft.com/office/2006/relationships/activeXControlBinary" Target="activeX13.bin"/></Relationships>
</file>

<file path=xl/activeX/_rels/activeX14.xml.rels><?xml version="1.0" encoding="UTF-8" standalone="yes"?>
<Relationships xmlns="http://schemas.openxmlformats.org/package/2006/relationships"><Relationship Id="rId1" Type="http://schemas.microsoft.com/office/2006/relationships/activeXControlBinary" Target="activeX14.bin"/></Relationships>
</file>

<file path=xl/activeX/_rels/activeX15.xml.rels><?xml version="1.0" encoding="UTF-8" standalone="yes"?>
<Relationships xmlns="http://schemas.openxmlformats.org/package/2006/relationships"><Relationship Id="rId1" Type="http://schemas.microsoft.com/office/2006/relationships/activeXControlBinary" Target="activeX15.bin"/></Relationships>
</file>

<file path=xl/activeX/_rels/activeX16.xml.rels><?xml version="1.0" encoding="UTF-8" standalone="yes"?>
<Relationships xmlns="http://schemas.openxmlformats.org/package/2006/relationships"><Relationship Id="rId1" Type="http://schemas.microsoft.com/office/2006/relationships/activeXControlBinary" Target="activeX16.bin"/></Relationships>
</file>

<file path=xl/activeX/_rels/activeX17.xml.rels><?xml version="1.0" encoding="UTF-8" standalone="yes"?>
<Relationships xmlns="http://schemas.openxmlformats.org/package/2006/relationships"><Relationship Id="rId1" Type="http://schemas.microsoft.com/office/2006/relationships/activeXControlBinary" Target="activeX17.bin"/></Relationships>
</file>

<file path=xl/activeX/_rels/activeX18.xml.rels><?xml version="1.0" encoding="UTF-8" standalone="yes"?>
<Relationships xmlns="http://schemas.openxmlformats.org/package/2006/relationships"><Relationship Id="rId1" Type="http://schemas.microsoft.com/office/2006/relationships/activeXControlBinary" Target="activeX18.bin"/></Relationships>
</file>

<file path=xl/activeX/_rels/activeX19.xml.rels><?xml version="1.0" encoding="UTF-8" standalone="yes"?>
<Relationships xmlns="http://schemas.openxmlformats.org/package/2006/relationships"><Relationship Id="rId1" Type="http://schemas.microsoft.com/office/2006/relationships/activeXControlBinary" Target="activeX19.bin"/></Relationships>
</file>

<file path=xl/activeX/_rels/activeX20.xml.rels><?xml version="1.0" encoding="UTF-8" standalone="yes"?>
<Relationships xmlns="http://schemas.openxmlformats.org/package/2006/relationships"><Relationship Id="rId1" Type="http://schemas.microsoft.com/office/2006/relationships/activeXControlBinary" Target="activeX20.bin"/></Relationships>
</file>

<file path=xl/activeX/_rels/activeX21.xml.rels><?xml version="1.0" encoding="UTF-8" standalone="yes"?>
<Relationships xmlns="http://schemas.openxmlformats.org/package/2006/relationships"><Relationship Id="rId1" Type="http://schemas.microsoft.com/office/2006/relationships/activeXControlBinary" Target="activeX21.bin"/></Relationships>
</file>

<file path=xl/activeX/_rels/activeX22.xml.rels><?xml version="1.0" encoding="UTF-8" standalone="yes"?>
<Relationships xmlns="http://schemas.openxmlformats.org/package/2006/relationships"><Relationship Id="rId1" Type="http://schemas.microsoft.com/office/2006/relationships/activeXControlBinary" Target="activeX22.bin"/></Relationships>
</file>

<file path=xl/activeX/_rels/activeX23.xml.rels><?xml version="1.0" encoding="UTF-8" standalone="yes"?>
<Relationships xmlns="http://schemas.openxmlformats.org/package/2006/relationships"><Relationship Id="rId1" Type="http://schemas.microsoft.com/office/2006/relationships/activeXControlBinary" Target="activeX23.bin"/></Relationships>
</file>

<file path=xl/activeX/_rels/activeX24.xml.rels><?xml version="1.0" encoding="UTF-8" standalone="yes"?>
<Relationships xmlns="http://schemas.openxmlformats.org/package/2006/relationships"><Relationship Id="rId1" Type="http://schemas.microsoft.com/office/2006/relationships/activeXControlBinary" Target="activeX24.bin"/></Relationships>
</file>

<file path=xl/activeX/_rels/activeX25.xml.rels><?xml version="1.0" encoding="UTF-8" standalone="yes"?>
<Relationships xmlns="http://schemas.openxmlformats.org/package/2006/relationships"><Relationship Id="rId1" Type="http://schemas.microsoft.com/office/2006/relationships/activeXControlBinary" Target="activeX25.bin"/></Relationships>
</file>

<file path=xl/activeX/_rels/activeX26.xml.rels><?xml version="1.0" encoding="UTF-8" standalone="yes"?>
<Relationships xmlns="http://schemas.openxmlformats.org/package/2006/relationships"><Relationship Id="rId1" Type="http://schemas.microsoft.com/office/2006/relationships/activeXControlBinary" Target="activeX26.bin"/></Relationships>
</file>

<file path=xl/activeX/_rels/activeX27.xml.rels><?xml version="1.0" encoding="UTF-8" standalone="yes"?>
<Relationships xmlns="http://schemas.openxmlformats.org/package/2006/relationships"><Relationship Id="rId1" Type="http://schemas.microsoft.com/office/2006/relationships/activeXControlBinary" Target="activeX27.bin"/></Relationships>
</file>

<file path=xl/activeX/_rels/activeX28.xml.rels><?xml version="1.0" encoding="UTF-8" standalone="yes"?>
<Relationships xmlns="http://schemas.openxmlformats.org/package/2006/relationships"><Relationship Id="rId1" Type="http://schemas.microsoft.com/office/2006/relationships/activeXControlBinary" Target="activeX28.bin"/></Relationships>
</file>

<file path=xl/activeX/_rels/activeX29.xml.rels><?xml version="1.0" encoding="UTF-8" standalone="yes"?>
<Relationships xmlns="http://schemas.openxmlformats.org/package/2006/relationships"><Relationship Id="rId1" Type="http://schemas.microsoft.com/office/2006/relationships/activeXControlBinary" Target="activeX29.bin"/></Relationships>
</file>

<file path=xl/activeX/_rels/activeX30.xml.rels><?xml version="1.0" encoding="UTF-8" standalone="yes"?>
<Relationships xmlns="http://schemas.openxmlformats.org/package/2006/relationships"><Relationship Id="rId1" Type="http://schemas.microsoft.com/office/2006/relationships/activeXControlBinary" Target="activeX30.bin"/></Relationships>
</file>

<file path=xl/activeX/_rels/activeX31.xml.rels><?xml version="1.0" encoding="UTF-8" standalone="yes"?>
<Relationships xmlns="http://schemas.openxmlformats.org/package/2006/relationships"><Relationship Id="rId1" Type="http://schemas.microsoft.com/office/2006/relationships/activeXControlBinary" Target="activeX31.bin"/></Relationships>
</file>

<file path=xl/activeX/_rels/activeX32.xml.rels><?xml version="1.0" encoding="UTF-8" standalone="yes"?>
<Relationships xmlns="http://schemas.openxmlformats.org/package/2006/relationships"><Relationship Id="rId1" Type="http://schemas.microsoft.com/office/2006/relationships/activeXControlBinary" Target="activeX32.bin"/></Relationships>
</file>

<file path=xl/activeX/_rels/activeX33.xml.rels><?xml version="1.0" encoding="UTF-8" standalone="yes"?>
<Relationships xmlns="http://schemas.openxmlformats.org/package/2006/relationships"><Relationship Id="rId1" Type="http://schemas.microsoft.com/office/2006/relationships/activeXControlBinary" Target="activeX33.bin"/></Relationships>
</file>

<file path=xl/activeX/_rels/activeX34.xml.rels><?xml version="1.0" encoding="UTF-8" standalone="yes"?>
<Relationships xmlns="http://schemas.openxmlformats.org/package/2006/relationships"><Relationship Id="rId1" Type="http://schemas.microsoft.com/office/2006/relationships/activeXControlBinary" Target="activeX34.bin"/></Relationships>
</file>

<file path=xl/activeX/_rels/activeX35.xml.rels><?xml version="1.0" encoding="UTF-8" standalone="yes"?>
<Relationships xmlns="http://schemas.openxmlformats.org/package/2006/relationships"><Relationship Id="rId1" Type="http://schemas.microsoft.com/office/2006/relationships/activeXControlBinary" Target="activeX35.bin"/></Relationships>
</file>

<file path=xl/activeX/_rels/activeX36.xml.rels><?xml version="1.0" encoding="UTF-8" standalone="yes"?>
<Relationships xmlns="http://schemas.openxmlformats.org/package/2006/relationships"><Relationship Id="rId1" Type="http://schemas.microsoft.com/office/2006/relationships/activeXControlBinary" Target="activeX36.bin"/></Relationships>
</file>

<file path=xl/activeX/_rels/activeX37.xml.rels><?xml version="1.0" encoding="UTF-8" standalone="yes"?>
<Relationships xmlns="http://schemas.openxmlformats.org/package/2006/relationships"><Relationship Id="rId1" Type="http://schemas.microsoft.com/office/2006/relationships/activeXControlBinary" Target="activeX37.bin"/></Relationships>
</file>

<file path=xl/activeX/_rels/activeX38.xml.rels><?xml version="1.0" encoding="UTF-8" standalone="yes"?>
<Relationships xmlns="http://schemas.openxmlformats.org/package/2006/relationships"><Relationship Id="rId1" Type="http://schemas.microsoft.com/office/2006/relationships/activeXControlBinary" Target="activeX38.bin"/></Relationships>
</file>

<file path=xl/activeX/_rels/activeX39.xml.rels><?xml version="1.0" encoding="UTF-8" standalone="yes"?>
<Relationships xmlns="http://schemas.openxmlformats.org/package/2006/relationships"><Relationship Id="rId1" Type="http://schemas.microsoft.com/office/2006/relationships/activeXControlBinary" Target="activeX39.bin"/></Relationships>
</file>

<file path=xl/activeX/_rels/activeX40.xml.rels><?xml version="1.0" encoding="UTF-8" standalone="yes"?>
<Relationships xmlns="http://schemas.openxmlformats.org/package/2006/relationships"><Relationship Id="rId1" Type="http://schemas.microsoft.com/office/2006/relationships/activeXControlBinary" Target="activeX40.bin"/></Relationships>
</file>

<file path=xl/activeX/_rels/activeX41.xml.rels><?xml version="1.0" encoding="UTF-8" standalone="yes"?>
<Relationships xmlns="http://schemas.openxmlformats.org/package/2006/relationships"><Relationship Id="rId1" Type="http://schemas.microsoft.com/office/2006/relationships/activeXControlBinary" Target="activeX41.bin"/></Relationships>
</file>

<file path=xl/activeX/_rels/activeX42.xml.rels><?xml version="1.0" encoding="UTF-8" standalone="yes"?>
<Relationships xmlns="http://schemas.openxmlformats.org/package/2006/relationships"><Relationship Id="rId1" Type="http://schemas.microsoft.com/office/2006/relationships/activeXControlBinary" Target="activeX42.bin"/></Relationships>
</file>

<file path=xl/activeX/_rels/activeX43.xml.rels><?xml version="1.0" encoding="UTF-8" standalone="yes"?>
<Relationships xmlns="http://schemas.openxmlformats.org/package/2006/relationships"><Relationship Id="rId1" Type="http://schemas.microsoft.com/office/2006/relationships/activeXControlBinary" Target="activeX43.bin"/></Relationships>
</file>

<file path=xl/activeX/_rels/activeX44.xml.rels><?xml version="1.0" encoding="UTF-8" standalone="yes"?>
<Relationships xmlns="http://schemas.openxmlformats.org/package/2006/relationships"><Relationship Id="rId1" Type="http://schemas.microsoft.com/office/2006/relationships/activeXControlBinary" Target="activeX44.bin"/></Relationships>
</file>

<file path=xl/activeX/_rels/activeX45.xml.rels><?xml version="1.0" encoding="UTF-8" standalone="yes"?>
<Relationships xmlns="http://schemas.openxmlformats.org/package/2006/relationships"><Relationship Id="rId1" Type="http://schemas.microsoft.com/office/2006/relationships/activeXControlBinary" Target="activeX45.bin"/></Relationships>
</file>

<file path=xl/activeX/_rels/activeX46.xml.rels><?xml version="1.0" encoding="UTF-8" standalone="yes"?>
<Relationships xmlns="http://schemas.openxmlformats.org/package/2006/relationships"><Relationship Id="rId1" Type="http://schemas.microsoft.com/office/2006/relationships/activeXControlBinary" Target="activeX46.bin"/></Relationships>
</file>

<file path=xl/activeX/_rels/activeX47.xml.rels><?xml version="1.0" encoding="UTF-8" standalone="yes"?>
<Relationships xmlns="http://schemas.openxmlformats.org/package/2006/relationships"><Relationship Id="rId1" Type="http://schemas.microsoft.com/office/2006/relationships/activeXControlBinary" Target="activeX47.bin"/></Relationships>
</file>

<file path=xl/activeX/_rels/activeX48.xml.rels><?xml version="1.0" encoding="UTF-8" standalone="yes"?>
<Relationships xmlns="http://schemas.openxmlformats.org/package/2006/relationships"><Relationship Id="rId1" Type="http://schemas.microsoft.com/office/2006/relationships/activeXControlBinary" Target="activeX48.bin"/></Relationships>
</file>

<file path=xl/activeX/_rels/activeX49.xml.rels><?xml version="1.0" encoding="UTF-8" standalone="yes"?>
<Relationships xmlns="http://schemas.openxmlformats.org/package/2006/relationships"><Relationship Id="rId1" Type="http://schemas.microsoft.com/office/2006/relationships/activeXControlBinary" Target="activeX49.bin"/></Relationships>
</file>

<file path=xl/activeX/_rels/activeX50.xml.rels><?xml version="1.0" encoding="UTF-8" standalone="yes"?>
<Relationships xmlns="http://schemas.openxmlformats.org/package/2006/relationships"><Relationship Id="rId1" Type="http://schemas.microsoft.com/office/2006/relationships/activeXControlBinary" Target="activeX50.bin"/></Relationships>
</file>

<file path=xl/activeX/_rels/activeX51.xml.rels><?xml version="1.0" encoding="UTF-8" standalone="yes"?>
<Relationships xmlns="http://schemas.openxmlformats.org/package/2006/relationships"><Relationship Id="rId1" Type="http://schemas.microsoft.com/office/2006/relationships/activeXControlBinary" Target="activeX51.bin"/></Relationships>
</file>

<file path=xl/activeX/_rels/activeX52.xml.rels><?xml version="1.0" encoding="UTF-8" standalone="yes"?>
<Relationships xmlns="http://schemas.openxmlformats.org/package/2006/relationships"><Relationship Id="rId1" Type="http://schemas.microsoft.com/office/2006/relationships/activeXControlBinary" Target="activeX52.bin"/></Relationships>
</file>

<file path=xl/activeX/_rels/activeX53.xml.rels><?xml version="1.0" encoding="UTF-8" standalone="yes"?>
<Relationships xmlns="http://schemas.openxmlformats.org/package/2006/relationships"><Relationship Id="rId1" Type="http://schemas.microsoft.com/office/2006/relationships/activeXControlBinary" Target="activeX53.bin"/></Relationships>
</file>

<file path=xl/activeX/_rels/activeX54.xml.rels><?xml version="1.0" encoding="UTF-8" standalone="yes"?>
<Relationships xmlns="http://schemas.openxmlformats.org/package/2006/relationships"><Relationship Id="rId1" Type="http://schemas.microsoft.com/office/2006/relationships/activeXControlBinary" Target="activeX54.bin"/></Relationships>
</file>

<file path=xl/activeX/_rels/activeX55.xml.rels><?xml version="1.0" encoding="UTF-8" standalone="yes"?>
<Relationships xmlns="http://schemas.openxmlformats.org/package/2006/relationships"><Relationship Id="rId1" Type="http://schemas.microsoft.com/office/2006/relationships/activeXControlBinary" Target="activeX55.bin"/></Relationships>
</file>

<file path=xl/activeX/_rels/activeX56.xml.rels><?xml version="1.0" encoding="UTF-8" standalone="yes"?>
<Relationships xmlns="http://schemas.openxmlformats.org/package/2006/relationships"><Relationship Id="rId1" Type="http://schemas.microsoft.com/office/2006/relationships/activeXControlBinary" Target="activeX56.bin"/></Relationships>
</file>

<file path=xl/activeX/_rels/activeX57.xml.rels><?xml version="1.0" encoding="UTF-8" standalone="yes"?>
<Relationships xmlns="http://schemas.openxmlformats.org/package/2006/relationships"><Relationship Id="rId1" Type="http://schemas.microsoft.com/office/2006/relationships/activeXControlBinary" Target="activeX57.bin"/></Relationships>
</file>

<file path=xl/activeX/_rels/activeX58.xml.rels><?xml version="1.0" encoding="UTF-8" standalone="yes"?>
<Relationships xmlns="http://schemas.openxmlformats.org/package/2006/relationships"><Relationship Id="rId1" Type="http://schemas.microsoft.com/office/2006/relationships/activeXControlBinary" Target="activeX58.bin"/></Relationships>
</file>

<file path=xl/activeX/_rels/activeX59.xml.rels><?xml version="1.0" encoding="UTF-8" standalone="yes"?>
<Relationships xmlns="http://schemas.openxmlformats.org/package/2006/relationships"><Relationship Id="rId1" Type="http://schemas.microsoft.com/office/2006/relationships/activeXControlBinary" Target="activeX59.bin"/></Relationships>
</file>

<file path=xl/activeX/_rels/activeX60.xml.rels><?xml version="1.0" encoding="UTF-8" standalone="yes"?>
<Relationships xmlns="http://schemas.openxmlformats.org/package/2006/relationships"><Relationship Id="rId1" Type="http://schemas.microsoft.com/office/2006/relationships/activeXControlBinary" Target="activeX60.bin"/></Relationships>
</file>

<file path=xl/activeX/_rels/activeX61.xml.rels><?xml version="1.0" encoding="UTF-8" standalone="yes"?>
<Relationships xmlns="http://schemas.openxmlformats.org/package/2006/relationships"><Relationship Id="rId1" Type="http://schemas.microsoft.com/office/2006/relationships/activeXControlBinary" Target="activeX61.bin"/></Relationships>
</file>

<file path=xl/activeX/_rels/activeX62.xml.rels><?xml version="1.0" encoding="UTF-8" standalone="yes"?>
<Relationships xmlns="http://schemas.openxmlformats.org/package/2006/relationships"><Relationship Id="rId1" Type="http://schemas.microsoft.com/office/2006/relationships/activeXControlBinary" Target="activeX62.bin"/></Relationships>
</file>

<file path=xl/activeX/_rels/activeX63.xml.rels><?xml version="1.0" encoding="UTF-8" standalone="yes"?>
<Relationships xmlns="http://schemas.openxmlformats.org/package/2006/relationships"><Relationship Id="rId1" Type="http://schemas.microsoft.com/office/2006/relationships/activeXControlBinary" Target="activeX63.bin"/></Relationships>
</file>

<file path=xl/activeX/_rels/activeX64.xml.rels><?xml version="1.0" encoding="UTF-8" standalone="yes"?>
<Relationships xmlns="http://schemas.openxmlformats.org/package/2006/relationships"><Relationship Id="rId1" Type="http://schemas.microsoft.com/office/2006/relationships/activeXControlBinary" Target="activeX64.bin"/></Relationships>
</file>

<file path=xl/activeX/_rels/activeX65.xml.rels><?xml version="1.0" encoding="UTF-8" standalone="yes"?>
<Relationships xmlns="http://schemas.openxmlformats.org/package/2006/relationships"><Relationship Id="rId1" Type="http://schemas.microsoft.com/office/2006/relationships/activeXControlBinary" Target="activeX65.bin"/></Relationships>
</file>

<file path=xl/activeX/_rels/activeX66.xml.rels><?xml version="1.0" encoding="UTF-8" standalone="yes"?>
<Relationships xmlns="http://schemas.openxmlformats.org/package/2006/relationships"><Relationship Id="rId1" Type="http://schemas.microsoft.com/office/2006/relationships/activeXControlBinary" Target="activeX66.bin"/></Relationships>
</file>

<file path=xl/activeX/_rels/activeX67.xml.rels><?xml version="1.0" encoding="UTF-8" standalone="yes"?>
<Relationships xmlns="http://schemas.openxmlformats.org/package/2006/relationships"><Relationship Id="rId1" Type="http://schemas.microsoft.com/office/2006/relationships/activeXControlBinary" Target="activeX67.bin"/></Relationships>
</file>

<file path=xl/activeX/_rels/activeX68.xml.rels><?xml version="1.0" encoding="UTF-8" standalone="yes"?>
<Relationships xmlns="http://schemas.openxmlformats.org/package/2006/relationships"><Relationship Id="rId1" Type="http://schemas.microsoft.com/office/2006/relationships/activeXControlBinary" Target="activeX68.bin"/></Relationships>
</file>

<file path=xl/activeX/_rels/activeX69.xml.rels><?xml version="1.0" encoding="UTF-8" standalone="yes"?>
<Relationships xmlns="http://schemas.openxmlformats.org/package/2006/relationships"><Relationship Id="rId1" Type="http://schemas.microsoft.com/office/2006/relationships/activeXControlBinary" Target="activeX69.bin"/></Relationships>
</file>

<file path=xl/activeX/activeX1.xml><?xml version="1.0" encoding="utf-8"?>
<ax:ocx xmlns:ax="http://schemas.microsoft.com/office/2006/activeX" xmlns:r="http://schemas.openxmlformats.org/officeDocument/2006/relationships" ax:classid="{D7053240-CE69-11CD-A777-00DD01143C57}" ax:persistence="persistStreamInit" r:id="rId1"/>
</file>

<file path=xl/activeX/activeX2.xml><?xml version="1.0" encoding="utf-8"?>
<ax:ocx xmlns:ax="http://schemas.microsoft.com/office/2006/activeX" xmlns:r="http://schemas.openxmlformats.org/officeDocument/2006/relationships" ax:classid="{D7053240-CE69-11CD-A777-00DD01143C57}" ax:persistence="persistStreamInit" r:id="rId1"/>
</file>

<file path=xl/activeX/activeX3.xml><?xml version="1.0" encoding="utf-8"?>
<ax:ocx xmlns:ax="http://schemas.microsoft.com/office/2006/activeX" xmlns:r="http://schemas.openxmlformats.org/officeDocument/2006/relationships" ax:classid="{D7053240-CE69-11CD-A777-00DD01143C57}" ax:persistence="persistStreamInit" r:id="rId1"/>
</file>

<file path=xl/activeX/activeX4.xml><?xml version="1.0" encoding="utf-8"?>
<ax:ocx xmlns:ax="http://schemas.microsoft.com/office/2006/activeX" xmlns:r="http://schemas.openxmlformats.org/officeDocument/2006/relationships" ax:classid="{D7053240-CE69-11CD-A777-00DD01143C57}" ax:persistence="persistStreamInit" r:id="rId1"/>
</file>

<file path=xl/activeX/activeX5.xml><?xml version="1.0" encoding="utf-8"?>
<ax:ocx xmlns:ax="http://schemas.microsoft.com/office/2006/activeX" xmlns:r="http://schemas.openxmlformats.org/officeDocument/2006/relationships" ax:classid="{D7053240-CE69-11CD-A777-00DD01143C57}" ax:persistence="persistStreamInit" r:id="rId1"/>
</file>

<file path=xl/activeX/activeX6.xml><?xml version="1.0" encoding="utf-8"?>
<ax:ocx xmlns:ax="http://schemas.microsoft.com/office/2006/activeX" xmlns:r="http://schemas.openxmlformats.org/officeDocument/2006/relationships" ax:classid="{D7053240-CE69-11CD-A777-00DD01143C57}" ax:persistence="persistStreamInit" r:id="rId1"/>
</file>

<file path=xl/activeX/activeX7.xml><?xml version="1.0" encoding="utf-8"?>
<ax:ocx xmlns:ax="http://schemas.microsoft.com/office/2006/activeX" xmlns:r="http://schemas.openxmlformats.org/officeDocument/2006/relationships" ax:classid="{D7053240-CE69-11CD-A777-00DD01143C57}" ax:persistence="persistStreamInit" r:id="rId1"/>
</file>

<file path=xl/activeX/activeX8.xml><?xml version="1.0" encoding="utf-8"?>
<ax:ocx xmlns:ax="http://schemas.microsoft.com/office/2006/activeX" xmlns:r="http://schemas.openxmlformats.org/officeDocument/2006/relationships" ax:classid="{D7053240-CE69-11CD-A777-00DD01143C57}" ax:persistence="persistStreamInit" r:id="rId1"/>
</file>

<file path=xl/activeX/activeX9.xml><?xml version="1.0" encoding="utf-8"?>
<ax:ocx xmlns:ax="http://schemas.microsoft.com/office/2006/activeX" xmlns:r="http://schemas.openxmlformats.org/officeDocument/2006/relationships" ax:classid="{D7053240-CE69-11CD-A777-00DD01143C57}" ax:persistence="persistStreamInit" r:id="rId1"/>
</file>

<file path=xl/activeX/activeX10.xml><?xml version="1.0" encoding="utf-8"?>
<ax:ocx xmlns:ax="http://schemas.microsoft.com/office/2006/activeX" xmlns:r="http://schemas.openxmlformats.org/officeDocument/2006/relationships" ax:classid="{D7053240-CE69-11CD-A777-00DD01143C57}" ax:persistence="persistStreamInit" r:id="rId1"/>
</file>

<file path=xl/activeX/activeX11.xml><?xml version="1.0" encoding="utf-8"?>
<ax:ocx xmlns:ax="http://schemas.microsoft.com/office/2006/activeX" xmlns:r="http://schemas.openxmlformats.org/officeDocument/2006/relationships" ax:classid="{D7053240-CE69-11CD-A777-00DD01143C57}" ax:persistence="persistStreamInit" r:id="rId1"/>
</file>

<file path=xl/activeX/activeX12.xml><?xml version="1.0" encoding="utf-8"?>
<ax:ocx xmlns:ax="http://schemas.microsoft.com/office/2006/activeX" xmlns:r="http://schemas.openxmlformats.org/officeDocument/2006/relationships" ax:classid="{D7053240-CE69-11CD-A777-00DD01143C57}" ax:persistence="persistStreamInit" r:id="rId1"/>
</file>

<file path=xl/activeX/activeX13.xml><?xml version="1.0" encoding="utf-8"?>
<ax:ocx xmlns:ax="http://schemas.microsoft.com/office/2006/activeX" xmlns:r="http://schemas.openxmlformats.org/officeDocument/2006/relationships" ax:classid="{D7053240-CE69-11CD-A777-00DD01143C57}" ax:persistence="persistStreamInit" r:id="rId1"/>
</file>

<file path=xl/activeX/activeX14.xml><?xml version="1.0" encoding="utf-8"?>
<ax:ocx xmlns:ax="http://schemas.microsoft.com/office/2006/activeX" xmlns:r="http://schemas.openxmlformats.org/officeDocument/2006/relationships" ax:classid="{D7053240-CE69-11CD-A777-00DD01143C57}" ax:persistence="persistStreamInit" r:id="rId1"/>
</file>

<file path=xl/activeX/activeX15.xml><?xml version="1.0" encoding="utf-8"?>
<ax:ocx xmlns:ax="http://schemas.microsoft.com/office/2006/activeX" xmlns:r="http://schemas.openxmlformats.org/officeDocument/2006/relationships" ax:classid="{D7053240-CE69-11CD-A777-00DD01143C57}" ax:persistence="persistStreamInit" r:id="rId1"/>
</file>

<file path=xl/activeX/activeX16.xml><?xml version="1.0" encoding="utf-8"?>
<ax:ocx xmlns:ax="http://schemas.microsoft.com/office/2006/activeX" xmlns:r="http://schemas.openxmlformats.org/officeDocument/2006/relationships" ax:classid="{D7053240-CE69-11CD-A777-00DD01143C57}" ax:persistence="persistStreamInit" r:id="rId1"/>
</file>

<file path=xl/activeX/activeX17.xml><?xml version="1.0" encoding="utf-8"?>
<ax:ocx xmlns:ax="http://schemas.microsoft.com/office/2006/activeX" xmlns:r="http://schemas.openxmlformats.org/officeDocument/2006/relationships" ax:classid="{D7053240-CE69-11CD-A777-00DD01143C57}" ax:persistence="persistStreamInit" r:id="rId1"/>
</file>

<file path=xl/activeX/activeX18.xml><?xml version="1.0" encoding="utf-8"?>
<ax:ocx xmlns:ax="http://schemas.microsoft.com/office/2006/activeX" xmlns:r="http://schemas.openxmlformats.org/officeDocument/2006/relationships" ax:classid="{D7053240-CE69-11CD-A777-00DD01143C57}" ax:persistence="persistStreamInit" r:id="rId1"/>
</file>

<file path=xl/activeX/activeX19.xml><?xml version="1.0" encoding="utf-8"?>
<ax:ocx xmlns:ax="http://schemas.microsoft.com/office/2006/activeX" xmlns:r="http://schemas.openxmlformats.org/officeDocument/2006/relationships" ax:classid="{D7053240-CE69-11CD-A777-00DD01143C57}" ax:persistence="persistStreamInit" r:id="rId1"/>
</file>

<file path=xl/activeX/activeX20.xml><?xml version="1.0" encoding="utf-8"?>
<ax:ocx xmlns:ax="http://schemas.microsoft.com/office/2006/activeX" xmlns:r="http://schemas.openxmlformats.org/officeDocument/2006/relationships" ax:classid="{D7053240-CE69-11CD-A777-00DD01143C57}" ax:persistence="persistStreamInit" r:id="rId1"/>
</file>

<file path=xl/activeX/activeX21.xml><?xml version="1.0" encoding="utf-8"?>
<ax:ocx xmlns:ax="http://schemas.microsoft.com/office/2006/activeX" xmlns:r="http://schemas.openxmlformats.org/officeDocument/2006/relationships" ax:classid="{D7053240-CE69-11CD-A777-00DD01143C57}" ax:persistence="persistStreamInit" r:id="rId1"/>
</file>

<file path=xl/activeX/activeX22.xml><?xml version="1.0" encoding="utf-8"?>
<ax:ocx xmlns:ax="http://schemas.microsoft.com/office/2006/activeX" xmlns:r="http://schemas.openxmlformats.org/officeDocument/2006/relationships" ax:classid="{D7053240-CE69-11CD-A777-00DD01143C57}" ax:persistence="persistStreamInit" r:id="rId1"/>
</file>

<file path=xl/activeX/activeX23.xml><?xml version="1.0" encoding="utf-8"?>
<ax:ocx xmlns:ax="http://schemas.microsoft.com/office/2006/activeX" xmlns:r="http://schemas.openxmlformats.org/officeDocument/2006/relationships" ax:classid="{D7053240-CE69-11CD-A777-00DD01143C57}" ax:persistence="persistStreamInit" r:id="rId1"/>
</file>

<file path=xl/activeX/activeX24.xml><?xml version="1.0" encoding="utf-8"?>
<ax:ocx xmlns:ax="http://schemas.microsoft.com/office/2006/activeX" xmlns:r="http://schemas.openxmlformats.org/officeDocument/2006/relationships" ax:classid="{D7053240-CE69-11CD-A777-00DD01143C57}" ax:persistence="persistStreamInit" r:id="rId1"/>
</file>

<file path=xl/activeX/activeX25.xml><?xml version="1.0" encoding="utf-8"?>
<ax:ocx xmlns:ax="http://schemas.microsoft.com/office/2006/activeX" xmlns:r="http://schemas.openxmlformats.org/officeDocument/2006/relationships" ax:classid="{D7053240-CE69-11CD-A777-00DD01143C57}" ax:persistence="persistStreamInit" r:id="rId1"/>
</file>

<file path=xl/activeX/activeX26.xml><?xml version="1.0" encoding="utf-8"?>
<ax:ocx xmlns:ax="http://schemas.microsoft.com/office/2006/activeX" xmlns:r="http://schemas.openxmlformats.org/officeDocument/2006/relationships" ax:classid="{D7053240-CE69-11CD-A777-00DD01143C57}" ax:persistence="persistStreamInit" r:id="rId1"/>
</file>

<file path=xl/activeX/activeX27.xml><?xml version="1.0" encoding="utf-8"?>
<ax:ocx xmlns:ax="http://schemas.microsoft.com/office/2006/activeX" xmlns:r="http://schemas.openxmlformats.org/officeDocument/2006/relationships" ax:classid="{D7053240-CE69-11CD-A777-00DD01143C57}" ax:persistence="persistStreamInit" r:id="rId1"/>
</file>

<file path=xl/activeX/activeX28.xml><?xml version="1.0" encoding="utf-8"?>
<ax:ocx xmlns:ax="http://schemas.microsoft.com/office/2006/activeX" xmlns:r="http://schemas.openxmlformats.org/officeDocument/2006/relationships" ax:classid="{D7053240-CE69-11CD-A777-00DD01143C57}" ax:persistence="persistStreamInit" r:id="rId1"/>
</file>

<file path=xl/activeX/activeX29.xml><?xml version="1.0" encoding="utf-8"?>
<ax:ocx xmlns:ax="http://schemas.microsoft.com/office/2006/activeX" xmlns:r="http://schemas.openxmlformats.org/officeDocument/2006/relationships" ax:classid="{D7053240-CE69-11CD-A777-00DD01143C57}" ax:persistence="persistStreamInit" r:id="rId1"/>
</file>

<file path=xl/activeX/activeX30.xml><?xml version="1.0" encoding="utf-8"?>
<ax:ocx xmlns:ax="http://schemas.microsoft.com/office/2006/activeX" xmlns:r="http://schemas.openxmlformats.org/officeDocument/2006/relationships" ax:classid="{D7053240-CE69-11CD-A777-00DD01143C57}" ax:persistence="persistStreamInit" r:id="rId1"/>
</file>

<file path=xl/activeX/activeX31.xml><?xml version="1.0" encoding="utf-8"?>
<ax:ocx xmlns:ax="http://schemas.microsoft.com/office/2006/activeX" xmlns:r="http://schemas.openxmlformats.org/officeDocument/2006/relationships" ax:classid="{D7053240-CE69-11CD-A777-00DD01143C57}" ax:persistence="persistStreamInit" r:id="rId1"/>
</file>

<file path=xl/activeX/activeX32.xml><?xml version="1.0" encoding="utf-8"?>
<ax:ocx xmlns:ax="http://schemas.microsoft.com/office/2006/activeX" xmlns:r="http://schemas.openxmlformats.org/officeDocument/2006/relationships" ax:classid="{D7053240-CE69-11CD-A777-00DD01143C57}" ax:persistence="persistStreamInit" r:id="rId1"/>
</file>

<file path=xl/activeX/activeX33.xml><?xml version="1.0" encoding="utf-8"?>
<ax:ocx xmlns:ax="http://schemas.microsoft.com/office/2006/activeX" xmlns:r="http://schemas.openxmlformats.org/officeDocument/2006/relationships" ax:classid="{D7053240-CE69-11CD-A777-00DD01143C57}" ax:persistence="persistStreamInit" r:id="rId1"/>
</file>

<file path=xl/activeX/activeX34.xml><?xml version="1.0" encoding="utf-8"?>
<ax:ocx xmlns:ax="http://schemas.microsoft.com/office/2006/activeX" xmlns:r="http://schemas.openxmlformats.org/officeDocument/2006/relationships" ax:classid="{D7053240-CE69-11CD-A777-00DD01143C57}" ax:persistence="persistStreamInit" r:id="rId1"/>
</file>

<file path=xl/activeX/activeX35.xml><?xml version="1.0" encoding="utf-8"?>
<ax:ocx xmlns:ax="http://schemas.microsoft.com/office/2006/activeX" xmlns:r="http://schemas.openxmlformats.org/officeDocument/2006/relationships" ax:classid="{D7053240-CE69-11CD-A777-00DD01143C57}" ax:persistence="persistStreamInit" r:id="rId1"/>
</file>

<file path=xl/activeX/activeX36.xml><?xml version="1.0" encoding="utf-8"?>
<ax:ocx xmlns:ax="http://schemas.microsoft.com/office/2006/activeX" xmlns:r="http://schemas.openxmlformats.org/officeDocument/2006/relationships" ax:classid="{D7053240-CE69-11CD-A777-00DD01143C57}" ax:persistence="persistStreamInit" r:id="rId1"/>
</file>

<file path=xl/activeX/activeX37.xml><?xml version="1.0" encoding="utf-8"?>
<ax:ocx xmlns:ax="http://schemas.microsoft.com/office/2006/activeX" xmlns:r="http://schemas.openxmlformats.org/officeDocument/2006/relationships" ax:classid="{D7053240-CE69-11CD-A777-00DD01143C57}" ax:persistence="persistStreamInit" r:id="rId1"/>
</file>

<file path=xl/activeX/activeX38.xml><?xml version="1.0" encoding="utf-8"?>
<ax:ocx xmlns:ax="http://schemas.microsoft.com/office/2006/activeX" xmlns:r="http://schemas.openxmlformats.org/officeDocument/2006/relationships" ax:classid="{D7053240-CE69-11CD-A777-00DD01143C57}" ax:persistence="persistStreamInit" r:id="rId1"/>
</file>

<file path=xl/activeX/activeX39.xml><?xml version="1.0" encoding="utf-8"?>
<ax:ocx xmlns:ax="http://schemas.microsoft.com/office/2006/activeX" xmlns:r="http://schemas.openxmlformats.org/officeDocument/2006/relationships" ax:classid="{D7053240-CE69-11CD-A777-00DD01143C57}" ax:persistence="persistStreamInit" r:id="rId1"/>
</file>

<file path=xl/activeX/activeX40.xml><?xml version="1.0" encoding="utf-8"?>
<ax:ocx xmlns:ax="http://schemas.microsoft.com/office/2006/activeX" xmlns:r="http://schemas.openxmlformats.org/officeDocument/2006/relationships" ax:classid="{D7053240-CE69-11CD-A777-00DD01143C57}" ax:persistence="persistStreamInit" r:id="rId1"/>
</file>

<file path=xl/activeX/activeX41.xml><?xml version="1.0" encoding="utf-8"?>
<ax:ocx xmlns:ax="http://schemas.microsoft.com/office/2006/activeX" xmlns:r="http://schemas.openxmlformats.org/officeDocument/2006/relationships" ax:classid="{D7053240-CE69-11CD-A777-00DD01143C57}" ax:persistence="persistStreamInit" r:id="rId1"/>
</file>

<file path=xl/activeX/activeX42.xml><?xml version="1.0" encoding="utf-8"?>
<ax:ocx xmlns:ax="http://schemas.microsoft.com/office/2006/activeX" xmlns:r="http://schemas.openxmlformats.org/officeDocument/2006/relationships" ax:classid="{D7053240-CE69-11CD-A777-00DD01143C57}" ax:persistence="persistStreamInit" r:id="rId1"/>
</file>

<file path=xl/activeX/activeX43.xml><?xml version="1.0" encoding="utf-8"?>
<ax:ocx xmlns:ax="http://schemas.microsoft.com/office/2006/activeX" xmlns:r="http://schemas.openxmlformats.org/officeDocument/2006/relationships" ax:classid="{D7053240-CE69-11CD-A777-00DD01143C57}" ax:persistence="persistStreamInit" r:id="rId1"/>
</file>

<file path=xl/activeX/activeX44.xml><?xml version="1.0" encoding="utf-8"?>
<ax:ocx xmlns:ax="http://schemas.microsoft.com/office/2006/activeX" xmlns:r="http://schemas.openxmlformats.org/officeDocument/2006/relationships" ax:classid="{D7053240-CE69-11CD-A777-00DD01143C57}" ax:persistence="persistStreamInit" r:id="rId1"/>
</file>

<file path=xl/activeX/activeX45.xml><?xml version="1.0" encoding="utf-8"?>
<ax:ocx xmlns:ax="http://schemas.microsoft.com/office/2006/activeX" xmlns:r="http://schemas.openxmlformats.org/officeDocument/2006/relationships" ax:classid="{D7053240-CE69-11CD-A777-00DD01143C57}" ax:persistence="persistStreamInit" r:id="rId1"/>
</file>

<file path=xl/activeX/activeX46.xml><?xml version="1.0" encoding="utf-8"?>
<ax:ocx xmlns:ax="http://schemas.microsoft.com/office/2006/activeX" xmlns:r="http://schemas.openxmlformats.org/officeDocument/2006/relationships" ax:classid="{D7053240-CE69-11CD-A777-00DD01143C57}" ax:persistence="persistStreamInit" r:id="rId1"/>
</file>

<file path=xl/activeX/activeX47.xml><?xml version="1.0" encoding="utf-8"?>
<ax:ocx xmlns:ax="http://schemas.microsoft.com/office/2006/activeX" xmlns:r="http://schemas.openxmlformats.org/officeDocument/2006/relationships" ax:classid="{D7053240-CE69-11CD-A777-00DD01143C57}" ax:persistence="persistStreamInit" r:id="rId1"/>
</file>

<file path=xl/activeX/activeX48.xml><?xml version="1.0" encoding="utf-8"?>
<ax:ocx xmlns:ax="http://schemas.microsoft.com/office/2006/activeX" xmlns:r="http://schemas.openxmlformats.org/officeDocument/2006/relationships" ax:classid="{D7053240-CE69-11CD-A777-00DD01143C57}" ax:persistence="persistStreamInit" r:id="rId1"/>
</file>

<file path=xl/activeX/activeX49.xml><?xml version="1.0" encoding="utf-8"?>
<ax:ocx xmlns:ax="http://schemas.microsoft.com/office/2006/activeX" xmlns:r="http://schemas.openxmlformats.org/officeDocument/2006/relationships" ax:classid="{D7053240-CE69-11CD-A777-00DD01143C57}" ax:persistence="persistStreamInit" r:id="rId1"/>
</file>

<file path=xl/activeX/activeX50.xml><?xml version="1.0" encoding="utf-8"?>
<ax:ocx xmlns:ax="http://schemas.microsoft.com/office/2006/activeX" xmlns:r="http://schemas.openxmlformats.org/officeDocument/2006/relationships" ax:classid="{D7053240-CE69-11CD-A777-00DD01143C57}" ax:persistence="persistStreamInit" r:id="rId1"/>
</file>

<file path=xl/activeX/activeX51.xml><?xml version="1.0" encoding="utf-8"?>
<ax:ocx xmlns:ax="http://schemas.microsoft.com/office/2006/activeX" xmlns:r="http://schemas.openxmlformats.org/officeDocument/2006/relationships" ax:classid="{D7053240-CE69-11CD-A777-00DD01143C57}" ax:persistence="persistStreamInit" r:id="rId1"/>
</file>

<file path=xl/activeX/activeX52.xml><?xml version="1.0" encoding="utf-8"?>
<ax:ocx xmlns:ax="http://schemas.microsoft.com/office/2006/activeX" xmlns:r="http://schemas.openxmlformats.org/officeDocument/2006/relationships" ax:classid="{D7053240-CE69-11CD-A777-00DD01143C57}" ax:persistence="persistStreamInit" r:id="rId1"/>
</file>

<file path=xl/activeX/activeX53.xml><?xml version="1.0" encoding="utf-8"?>
<ax:ocx xmlns:ax="http://schemas.microsoft.com/office/2006/activeX" xmlns:r="http://schemas.openxmlformats.org/officeDocument/2006/relationships" ax:classid="{D7053240-CE69-11CD-A777-00DD01143C57}" ax:persistence="persistStreamInit" r:id="rId1"/>
</file>

<file path=xl/activeX/activeX54.xml><?xml version="1.0" encoding="utf-8"?>
<ax:ocx xmlns:ax="http://schemas.microsoft.com/office/2006/activeX" xmlns:r="http://schemas.openxmlformats.org/officeDocument/2006/relationships" ax:classid="{D7053240-CE69-11CD-A777-00DD01143C57}" ax:persistence="persistStreamInit" r:id="rId1"/>
</file>

<file path=xl/activeX/activeX55.xml><?xml version="1.0" encoding="utf-8"?>
<ax:ocx xmlns:ax="http://schemas.microsoft.com/office/2006/activeX" xmlns:r="http://schemas.openxmlformats.org/officeDocument/2006/relationships" ax:classid="{D7053240-CE69-11CD-A777-00DD01143C57}" ax:persistence="persistStreamInit" r:id="rId1"/>
</file>

<file path=xl/activeX/activeX56.xml><?xml version="1.0" encoding="utf-8"?>
<ax:ocx xmlns:ax="http://schemas.microsoft.com/office/2006/activeX" xmlns:r="http://schemas.openxmlformats.org/officeDocument/2006/relationships" ax:classid="{D7053240-CE69-11CD-A777-00DD01143C57}" ax:persistence="persistStreamInit" r:id="rId1"/>
</file>

<file path=xl/activeX/activeX57.xml><?xml version="1.0" encoding="utf-8"?>
<ax:ocx xmlns:ax="http://schemas.microsoft.com/office/2006/activeX" xmlns:r="http://schemas.openxmlformats.org/officeDocument/2006/relationships" ax:classid="{D7053240-CE69-11CD-A777-00DD01143C57}" ax:persistence="persistStreamInit" r:id="rId1"/>
</file>

<file path=xl/activeX/activeX58.xml><?xml version="1.0" encoding="utf-8"?>
<ax:ocx xmlns:ax="http://schemas.microsoft.com/office/2006/activeX" xmlns:r="http://schemas.openxmlformats.org/officeDocument/2006/relationships" ax:classid="{D7053240-CE69-11CD-A777-00DD01143C57}" ax:persistence="persistStreamInit" r:id="rId1"/>
</file>

<file path=xl/activeX/activeX59.xml><?xml version="1.0" encoding="utf-8"?>
<ax:ocx xmlns:ax="http://schemas.microsoft.com/office/2006/activeX" xmlns:r="http://schemas.openxmlformats.org/officeDocument/2006/relationships" ax:classid="{D7053240-CE69-11CD-A777-00DD01143C57}" ax:persistence="persistStreamInit" r:id="rId1"/>
</file>

<file path=xl/activeX/activeX60.xml><?xml version="1.0" encoding="utf-8"?>
<ax:ocx xmlns:ax="http://schemas.microsoft.com/office/2006/activeX" xmlns:r="http://schemas.openxmlformats.org/officeDocument/2006/relationships" ax:classid="{D7053240-CE69-11CD-A777-00DD01143C57}" ax:persistence="persistStreamInit" r:id="rId1"/>
</file>

<file path=xl/activeX/activeX61.xml><?xml version="1.0" encoding="utf-8"?>
<ax:ocx xmlns:ax="http://schemas.microsoft.com/office/2006/activeX" xmlns:r="http://schemas.openxmlformats.org/officeDocument/2006/relationships" ax:classid="{D7053240-CE69-11CD-A777-00DD01143C57}" ax:persistence="persistStreamInit" r:id="rId1"/>
</file>

<file path=xl/activeX/activeX62.xml><?xml version="1.0" encoding="utf-8"?>
<ax:ocx xmlns:ax="http://schemas.microsoft.com/office/2006/activeX" xmlns:r="http://schemas.openxmlformats.org/officeDocument/2006/relationships" ax:classid="{D7053240-CE69-11CD-A777-00DD01143C57}" ax:persistence="persistStreamInit" r:id="rId1"/>
</file>

<file path=xl/activeX/activeX63.xml><?xml version="1.0" encoding="utf-8"?>
<ax:ocx xmlns:ax="http://schemas.microsoft.com/office/2006/activeX" xmlns:r="http://schemas.openxmlformats.org/officeDocument/2006/relationships" ax:classid="{D7053240-CE69-11CD-A777-00DD01143C57}" ax:persistence="persistStreamInit" r:id="rId1"/>
</file>

<file path=xl/activeX/activeX64.xml><?xml version="1.0" encoding="utf-8"?>
<ax:ocx xmlns:ax="http://schemas.microsoft.com/office/2006/activeX" xmlns:r="http://schemas.openxmlformats.org/officeDocument/2006/relationships" ax:classid="{D7053240-CE69-11CD-A777-00DD01143C57}" ax:persistence="persistStreamInit" r:id="rId1"/>
</file>

<file path=xl/activeX/activeX65.xml><?xml version="1.0" encoding="utf-8"?>
<ax:ocx xmlns:ax="http://schemas.microsoft.com/office/2006/activeX" xmlns:r="http://schemas.openxmlformats.org/officeDocument/2006/relationships" ax:classid="{D7053240-CE69-11CD-A777-00DD01143C57}" ax:persistence="persistStreamInit" r:id="rId1"/>
</file>

<file path=xl/activeX/activeX66.xml><?xml version="1.0" encoding="utf-8"?>
<ax:ocx xmlns:ax="http://schemas.microsoft.com/office/2006/activeX" xmlns:r="http://schemas.openxmlformats.org/officeDocument/2006/relationships" ax:classid="{D7053240-CE69-11CD-A777-00DD01143C57}" ax:persistence="persistStreamInit" r:id="rId1"/>
</file>

<file path=xl/activeX/activeX67.xml><?xml version="1.0" encoding="utf-8"?>
<ax:ocx xmlns:ax="http://schemas.microsoft.com/office/2006/activeX" xmlns:r="http://schemas.openxmlformats.org/officeDocument/2006/relationships" ax:classid="{D7053240-CE69-11CD-A777-00DD01143C57}" ax:persistence="persistStreamInit" r:id="rId1"/>
</file>

<file path=xl/activeX/activeX68.xml><?xml version="1.0" encoding="utf-8"?>
<ax:ocx xmlns:ax="http://schemas.microsoft.com/office/2006/activeX" xmlns:r="http://schemas.openxmlformats.org/officeDocument/2006/relationships" ax:classid="{D7053240-CE69-11CD-A777-00DD01143C57}" ax:persistence="persistStreamInit" r:id="rId1"/>
</file>

<file path=xl/activeX/activeX69.xml><?xml version="1.0" encoding="utf-8"?>
<ax:ocx xmlns:ax="http://schemas.microsoft.com/office/2006/activeX" xmlns:r="http://schemas.openxmlformats.org/officeDocument/2006/relationships" ax:classid="{D7053240-CE69-11CD-A777-00DD01143C57}" ax:persistence="persistStreamInit" r:id="rId1"/>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RLT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ResDemand!$D$64:$N$64</c:f>
              <c:numCache>
                <c:formatCode>0.00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0-012A-4079-8207-C99B82104B13}"/>
            </c:ext>
          </c:extLst>
        </c:ser>
        <c:dLbls>
          <c:showLegendKey val="0"/>
          <c:showVal val="0"/>
          <c:showCatName val="0"/>
          <c:showSerName val="0"/>
          <c:showPercent val="0"/>
          <c:showBubbleSize val="0"/>
        </c:dLbls>
        <c:smooth val="0"/>
        <c:axId val="500573240"/>
        <c:axId val="500573632"/>
      </c:lineChart>
      <c:catAx>
        <c:axId val="50057324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573632"/>
        <c:crosses val="autoZero"/>
        <c:auto val="1"/>
        <c:lblAlgn val="ctr"/>
        <c:lblOffset val="100"/>
        <c:noMultiLvlLbl val="0"/>
      </c:catAx>
      <c:valAx>
        <c:axId val="50057363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5732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ResDemand!$D$76:$N$76</c:f>
              <c:numCache>
                <c:formatCode>0.00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0-A676-4046-B610-CA7FB3C95E9D}"/>
            </c:ext>
          </c:extLst>
        </c:ser>
        <c:dLbls>
          <c:showLegendKey val="0"/>
          <c:showVal val="0"/>
          <c:showCatName val="0"/>
          <c:showSerName val="0"/>
          <c:showPercent val="0"/>
          <c:showBubbleSize val="0"/>
        </c:dLbls>
        <c:smooth val="0"/>
        <c:axId val="490342064"/>
        <c:axId val="490343632"/>
      </c:lineChart>
      <c:catAx>
        <c:axId val="490342064"/>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0343632"/>
        <c:crosses val="autoZero"/>
        <c:auto val="1"/>
        <c:lblAlgn val="ctr"/>
        <c:lblOffset val="100"/>
        <c:noMultiLvlLbl val="0"/>
      </c:catAx>
      <c:valAx>
        <c:axId val="49034363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03420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ResCalc!$B$80</c:f>
              <c:strCache>
                <c:ptCount val="1"/>
                <c:pt idx="0">
                  <c:v>NYC CDD</c:v>
                </c:pt>
              </c:strCache>
            </c:strRef>
          </c:tx>
          <c:spPr>
            <a:ln w="28575" cap="rnd">
              <a:solidFill>
                <a:schemeClr val="accent1"/>
              </a:solidFill>
              <a:round/>
            </a:ln>
            <a:effectLst/>
          </c:spPr>
          <c:marker>
            <c:symbol val="none"/>
          </c:marker>
          <c:cat>
            <c:numRef>
              <c:f>ResCalc!$D$79:$N$79</c:f>
              <c:numCache>
                <c:formatCode>General</c:formatCode>
                <c:ptCount val="11"/>
                <c:pt idx="0">
                  <c:v>2005</c:v>
                </c:pt>
                <c:pt idx="1">
                  <c:v>2010</c:v>
                </c:pt>
                <c:pt idx="2">
                  <c:v>2015</c:v>
                </c:pt>
                <c:pt idx="3">
                  <c:v>2020</c:v>
                </c:pt>
                <c:pt idx="4">
                  <c:v>2025</c:v>
                </c:pt>
                <c:pt idx="5">
                  <c:v>2030</c:v>
                </c:pt>
                <c:pt idx="6">
                  <c:v>2035</c:v>
                </c:pt>
                <c:pt idx="7">
                  <c:v>2040</c:v>
                </c:pt>
                <c:pt idx="8">
                  <c:v>2045</c:v>
                </c:pt>
                <c:pt idx="9">
                  <c:v>2050</c:v>
                </c:pt>
                <c:pt idx="10">
                  <c:v>2055</c:v>
                </c:pt>
              </c:numCache>
            </c:numRef>
          </c:cat>
          <c:val>
            <c:numRef>
              <c:f>ResCalc!$D$80:$N$80</c:f>
              <c:numCache>
                <c:formatCode>0</c:formatCode>
                <c:ptCount val="11"/>
                <c:pt idx="0">
                  <c:v>1112</c:v>
                </c:pt>
                <c:pt idx="1">
                  <c:v>1112</c:v>
                </c:pt>
                <c:pt idx="2">
                  <c:v>1112</c:v>
                </c:pt>
                <c:pt idx="3">
                  <c:v>1112</c:v>
                </c:pt>
                <c:pt idx="4">
                  <c:v>1112</c:v>
                </c:pt>
                <c:pt idx="5">
                  <c:v>1112</c:v>
                </c:pt>
                <c:pt idx="6">
                  <c:v>1112</c:v>
                </c:pt>
                <c:pt idx="7">
                  <c:v>1112</c:v>
                </c:pt>
                <c:pt idx="8">
                  <c:v>1112</c:v>
                </c:pt>
                <c:pt idx="9">
                  <c:v>1112</c:v>
                </c:pt>
                <c:pt idx="10">
                  <c:v>1112</c:v>
                </c:pt>
              </c:numCache>
            </c:numRef>
          </c:val>
          <c:smooth val="0"/>
          <c:extLst>
            <c:ext xmlns:c16="http://schemas.microsoft.com/office/drawing/2014/chart" uri="{C3380CC4-5D6E-409C-BE32-E72D297353CC}">
              <c16:uniqueId val="{00000000-225D-4037-AFE4-C45E810A160D}"/>
            </c:ext>
          </c:extLst>
        </c:ser>
        <c:ser>
          <c:idx val="1"/>
          <c:order val="1"/>
          <c:tx>
            <c:strRef>
              <c:f>ResCalc!$B$81</c:f>
              <c:strCache>
                <c:ptCount val="1"/>
                <c:pt idx="0">
                  <c:v>NYC HDD</c:v>
                </c:pt>
              </c:strCache>
            </c:strRef>
          </c:tx>
          <c:spPr>
            <a:ln w="28575" cap="rnd">
              <a:solidFill>
                <a:schemeClr val="accent2"/>
              </a:solidFill>
              <a:round/>
            </a:ln>
            <a:effectLst/>
          </c:spPr>
          <c:marker>
            <c:symbol val="none"/>
          </c:marker>
          <c:cat>
            <c:numRef>
              <c:f>ResCalc!$D$79:$N$79</c:f>
              <c:numCache>
                <c:formatCode>General</c:formatCode>
                <c:ptCount val="11"/>
                <c:pt idx="0">
                  <c:v>2005</c:v>
                </c:pt>
                <c:pt idx="1">
                  <c:v>2010</c:v>
                </c:pt>
                <c:pt idx="2">
                  <c:v>2015</c:v>
                </c:pt>
                <c:pt idx="3">
                  <c:v>2020</c:v>
                </c:pt>
                <c:pt idx="4">
                  <c:v>2025</c:v>
                </c:pt>
                <c:pt idx="5">
                  <c:v>2030</c:v>
                </c:pt>
                <c:pt idx="6">
                  <c:v>2035</c:v>
                </c:pt>
                <c:pt idx="7">
                  <c:v>2040</c:v>
                </c:pt>
                <c:pt idx="8">
                  <c:v>2045</c:v>
                </c:pt>
                <c:pt idx="9">
                  <c:v>2050</c:v>
                </c:pt>
                <c:pt idx="10">
                  <c:v>2055</c:v>
                </c:pt>
              </c:numCache>
            </c:numRef>
          </c:cat>
          <c:val>
            <c:numRef>
              <c:f>ResCalc!$D$81:$N$81</c:f>
              <c:numCache>
                <c:formatCode>0</c:formatCode>
                <c:ptCount val="11"/>
                <c:pt idx="0">
                  <c:v>4376</c:v>
                </c:pt>
                <c:pt idx="1">
                  <c:v>4376</c:v>
                </c:pt>
                <c:pt idx="2">
                  <c:v>4376</c:v>
                </c:pt>
                <c:pt idx="3">
                  <c:v>4376</c:v>
                </c:pt>
                <c:pt idx="4">
                  <c:v>4376</c:v>
                </c:pt>
                <c:pt idx="5">
                  <c:v>4376</c:v>
                </c:pt>
                <c:pt idx="6">
                  <c:v>4376</c:v>
                </c:pt>
                <c:pt idx="7">
                  <c:v>4376</c:v>
                </c:pt>
                <c:pt idx="8">
                  <c:v>4376</c:v>
                </c:pt>
                <c:pt idx="9">
                  <c:v>4376</c:v>
                </c:pt>
                <c:pt idx="10">
                  <c:v>4376</c:v>
                </c:pt>
              </c:numCache>
            </c:numRef>
          </c:val>
          <c:smooth val="0"/>
          <c:extLst>
            <c:ext xmlns:c16="http://schemas.microsoft.com/office/drawing/2014/chart" uri="{C3380CC4-5D6E-409C-BE32-E72D297353CC}">
              <c16:uniqueId val="{00000001-225D-4037-AFE4-C45E810A160D}"/>
            </c:ext>
          </c:extLst>
        </c:ser>
        <c:dLbls>
          <c:showLegendKey val="0"/>
          <c:showVal val="0"/>
          <c:showCatName val="0"/>
          <c:showSerName val="0"/>
          <c:showPercent val="0"/>
          <c:showBubbleSize val="0"/>
        </c:dLbls>
        <c:smooth val="0"/>
        <c:axId val="501451808"/>
        <c:axId val="497759240"/>
      </c:lineChart>
      <c:catAx>
        <c:axId val="501451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759240"/>
        <c:crosses val="autoZero"/>
        <c:auto val="1"/>
        <c:lblAlgn val="ctr"/>
        <c:lblOffset val="100"/>
        <c:noMultiLvlLbl val="0"/>
      </c:catAx>
      <c:valAx>
        <c:axId val="4977592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14518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HDD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ResCalc!$S$32</c:f>
              <c:strCache>
                <c:ptCount val="1"/>
                <c:pt idx="0">
                  <c:v>   New England</c:v>
                </c:pt>
              </c:strCache>
            </c:strRef>
          </c:tx>
          <c:spPr>
            <a:ln w="28575" cap="rnd">
              <a:solidFill>
                <a:schemeClr val="accent1"/>
              </a:solidFill>
              <a:round/>
            </a:ln>
            <a:effectLst/>
          </c:spPr>
          <c:marker>
            <c:symbol val="none"/>
          </c:marker>
          <c:val>
            <c:numRef>
              <c:f>ResCalc!$T$32:$AD$32</c:f>
              <c:numCache>
                <c:formatCode>General</c:formatCode>
                <c:ptCount val="11"/>
                <c:pt idx="0">
                  <c:v>4376</c:v>
                </c:pt>
                <c:pt idx="1">
                  <c:v>6082</c:v>
                </c:pt>
                <c:pt idx="2">
                  <c:v>6115</c:v>
                </c:pt>
                <c:pt idx="3">
                  <c:v>6045</c:v>
                </c:pt>
                <c:pt idx="4">
                  <c:v>5975</c:v>
                </c:pt>
                <c:pt idx="5">
                  <c:v>5905</c:v>
                </c:pt>
                <c:pt idx="6">
                  <c:v>5835</c:v>
                </c:pt>
                <c:pt idx="7">
                  <c:v>5763</c:v>
                </c:pt>
                <c:pt idx="8" formatCode="0">
                  <c:v>5691.8884318766068</c:v>
                </c:pt>
                <c:pt idx="9" formatCode="0">
                  <c:v>5621.6543329742735</c:v>
                </c:pt>
                <c:pt idx="10" formatCode="0">
                  <c:v>5552.2868759092953</c:v>
                </c:pt>
              </c:numCache>
            </c:numRef>
          </c:val>
          <c:smooth val="0"/>
          <c:extLst>
            <c:ext xmlns:c16="http://schemas.microsoft.com/office/drawing/2014/chart" uri="{C3380CC4-5D6E-409C-BE32-E72D297353CC}">
              <c16:uniqueId val="{00000000-4C5D-4E64-AE05-6457C8A49302}"/>
            </c:ext>
          </c:extLst>
        </c:ser>
        <c:ser>
          <c:idx val="1"/>
          <c:order val="1"/>
          <c:tx>
            <c:strRef>
              <c:f>ResCalc!$S$33</c:f>
              <c:strCache>
                <c:ptCount val="1"/>
                <c:pt idx="0">
                  <c:v>   Middle Atlantic</c:v>
                </c:pt>
              </c:strCache>
            </c:strRef>
          </c:tx>
          <c:spPr>
            <a:ln w="28575" cap="rnd">
              <a:solidFill>
                <a:schemeClr val="accent2"/>
              </a:solidFill>
              <a:round/>
            </a:ln>
            <a:effectLst/>
          </c:spPr>
          <c:marker>
            <c:symbol val="none"/>
          </c:marker>
          <c:val>
            <c:numRef>
              <c:f>ResCalc!$T$33:$AD$33</c:f>
              <c:numCache>
                <c:formatCode>General</c:formatCode>
                <c:ptCount val="11"/>
                <c:pt idx="0">
                  <c:v>4376</c:v>
                </c:pt>
                <c:pt idx="1">
                  <c:v>5405</c:v>
                </c:pt>
                <c:pt idx="2">
                  <c:v>5384</c:v>
                </c:pt>
                <c:pt idx="3">
                  <c:v>5307</c:v>
                </c:pt>
                <c:pt idx="4">
                  <c:v>5229</c:v>
                </c:pt>
                <c:pt idx="5">
                  <c:v>5152</c:v>
                </c:pt>
                <c:pt idx="6">
                  <c:v>5076</c:v>
                </c:pt>
                <c:pt idx="7">
                  <c:v>5000</c:v>
                </c:pt>
                <c:pt idx="8" formatCode="0">
                  <c:v>4925.1379038613077</c:v>
                </c:pt>
                <c:pt idx="9" formatCode="0">
                  <c:v>4851.3966744102709</c:v>
                </c:pt>
                <c:pt idx="10" formatCode="0">
                  <c:v>4778.7595295609435</c:v>
                </c:pt>
              </c:numCache>
            </c:numRef>
          </c:val>
          <c:smooth val="0"/>
          <c:extLst>
            <c:ext xmlns:c16="http://schemas.microsoft.com/office/drawing/2014/chart" uri="{C3380CC4-5D6E-409C-BE32-E72D297353CC}">
              <c16:uniqueId val="{00000001-4C5D-4E64-AE05-6457C8A49302}"/>
            </c:ext>
          </c:extLst>
        </c:ser>
        <c:ser>
          <c:idx val="2"/>
          <c:order val="2"/>
          <c:tx>
            <c:strRef>
              <c:f>ResCalc!$S$34</c:f>
              <c:strCache>
                <c:ptCount val="1"/>
                <c:pt idx="0">
                  <c:v>   East North Central</c:v>
                </c:pt>
              </c:strCache>
            </c:strRef>
          </c:tx>
          <c:spPr>
            <a:ln w="28575" cap="rnd">
              <a:solidFill>
                <a:schemeClr val="accent3"/>
              </a:solidFill>
              <a:round/>
            </a:ln>
            <a:effectLst/>
          </c:spPr>
          <c:marker>
            <c:symbol val="none"/>
          </c:marker>
          <c:val>
            <c:numRef>
              <c:f>ResCalc!$T$34:$AD$34</c:f>
              <c:numCache>
                <c:formatCode>General</c:formatCode>
                <c:ptCount val="11"/>
                <c:pt idx="0">
                  <c:v>4376</c:v>
                </c:pt>
                <c:pt idx="1">
                  <c:v>6163</c:v>
                </c:pt>
                <c:pt idx="2">
                  <c:v>5999</c:v>
                </c:pt>
                <c:pt idx="3">
                  <c:v>5933</c:v>
                </c:pt>
                <c:pt idx="4">
                  <c:v>5867</c:v>
                </c:pt>
                <c:pt idx="5">
                  <c:v>5801</c:v>
                </c:pt>
                <c:pt idx="6">
                  <c:v>5735</c:v>
                </c:pt>
                <c:pt idx="7">
                  <c:v>5669</c:v>
                </c:pt>
                <c:pt idx="8" formatCode="0">
                  <c:v>5603.7595466434177</c:v>
                </c:pt>
                <c:pt idx="9" formatCode="0">
                  <c:v>5539.2698988529264</c:v>
                </c:pt>
                <c:pt idx="10" formatCode="0">
                  <c:v>5475.5224161459873</c:v>
                </c:pt>
              </c:numCache>
            </c:numRef>
          </c:val>
          <c:smooth val="0"/>
          <c:extLst>
            <c:ext xmlns:c16="http://schemas.microsoft.com/office/drawing/2014/chart" uri="{C3380CC4-5D6E-409C-BE32-E72D297353CC}">
              <c16:uniqueId val="{00000002-4C5D-4E64-AE05-6457C8A49302}"/>
            </c:ext>
          </c:extLst>
        </c:ser>
        <c:ser>
          <c:idx val="3"/>
          <c:order val="3"/>
          <c:tx>
            <c:strRef>
              <c:f>ResCalc!$S$35</c:f>
              <c:strCache>
                <c:ptCount val="1"/>
                <c:pt idx="0">
                  <c:v>   West North Central</c:v>
                </c:pt>
              </c:strCache>
            </c:strRef>
          </c:tx>
          <c:spPr>
            <a:ln w="28575" cap="rnd">
              <a:solidFill>
                <a:schemeClr val="accent4"/>
              </a:solidFill>
              <a:round/>
            </a:ln>
            <a:effectLst/>
          </c:spPr>
          <c:marker>
            <c:symbol val="none"/>
          </c:marker>
          <c:val>
            <c:numRef>
              <c:f>ResCalc!$T$35:$AD$35</c:f>
              <c:numCache>
                <c:formatCode>General</c:formatCode>
                <c:ptCount val="11"/>
                <c:pt idx="0" formatCode="0.0">
                  <c:v>7012.3008920038228</c:v>
                </c:pt>
                <c:pt idx="1">
                  <c:v>6635</c:v>
                </c:pt>
                <c:pt idx="2">
                  <c:v>6278</c:v>
                </c:pt>
                <c:pt idx="3">
                  <c:v>6226</c:v>
                </c:pt>
                <c:pt idx="4">
                  <c:v>6170</c:v>
                </c:pt>
                <c:pt idx="5">
                  <c:v>6112</c:v>
                </c:pt>
                <c:pt idx="6">
                  <c:v>6053</c:v>
                </c:pt>
                <c:pt idx="7">
                  <c:v>5992</c:v>
                </c:pt>
                <c:pt idx="8" formatCode="0">
                  <c:v>5931.6147364942999</c:v>
                </c:pt>
                <c:pt idx="9" formatCode="0">
                  <c:v>5871.8380143852373</c:v>
                </c:pt>
                <c:pt idx="10" formatCode="0">
                  <c:v>5812.6637010071599</c:v>
                </c:pt>
              </c:numCache>
            </c:numRef>
          </c:val>
          <c:smooth val="0"/>
          <c:extLst>
            <c:ext xmlns:c16="http://schemas.microsoft.com/office/drawing/2014/chart" uri="{C3380CC4-5D6E-409C-BE32-E72D297353CC}">
              <c16:uniqueId val="{00000003-4C5D-4E64-AE05-6457C8A49302}"/>
            </c:ext>
          </c:extLst>
        </c:ser>
        <c:ser>
          <c:idx val="4"/>
          <c:order val="4"/>
          <c:tx>
            <c:strRef>
              <c:f>ResCalc!$S$36</c:f>
              <c:strCache>
                <c:ptCount val="1"/>
                <c:pt idx="0">
                  <c:v>   South Atlantic</c:v>
                </c:pt>
              </c:strCache>
            </c:strRef>
          </c:tx>
          <c:spPr>
            <a:ln w="28575" cap="rnd">
              <a:solidFill>
                <a:schemeClr val="accent5"/>
              </a:solidFill>
              <a:round/>
            </a:ln>
            <a:effectLst/>
          </c:spPr>
          <c:marker>
            <c:symbol val="none"/>
          </c:marker>
          <c:val>
            <c:numRef>
              <c:f>ResCalc!$T$36:$AD$36</c:f>
              <c:numCache>
                <c:formatCode>General</c:formatCode>
                <c:ptCount val="11"/>
                <c:pt idx="0" formatCode="0.0">
                  <c:v>2513.1951219512193</c:v>
                </c:pt>
                <c:pt idx="1">
                  <c:v>2568</c:v>
                </c:pt>
                <c:pt idx="2">
                  <c:v>2624</c:v>
                </c:pt>
                <c:pt idx="3">
                  <c:v>2588</c:v>
                </c:pt>
                <c:pt idx="4">
                  <c:v>2551</c:v>
                </c:pt>
                <c:pt idx="5">
                  <c:v>2516</c:v>
                </c:pt>
                <c:pt idx="6">
                  <c:v>2481</c:v>
                </c:pt>
                <c:pt idx="7">
                  <c:v>2448</c:v>
                </c:pt>
                <c:pt idx="8" formatCode="0">
                  <c:v>2415.4389359129382</c:v>
                </c:pt>
                <c:pt idx="9" formatCode="0">
                  <c:v>2383.3109694134914</c:v>
                </c:pt>
                <c:pt idx="10" formatCode="0">
                  <c:v>2351.6103398324171</c:v>
                </c:pt>
              </c:numCache>
            </c:numRef>
          </c:val>
          <c:smooth val="0"/>
          <c:extLst>
            <c:ext xmlns:c16="http://schemas.microsoft.com/office/drawing/2014/chart" uri="{C3380CC4-5D6E-409C-BE32-E72D297353CC}">
              <c16:uniqueId val="{00000004-4C5D-4E64-AE05-6457C8A49302}"/>
            </c:ext>
          </c:extLst>
        </c:ser>
        <c:ser>
          <c:idx val="5"/>
          <c:order val="5"/>
          <c:tx>
            <c:strRef>
              <c:f>ResCalc!$S$37</c:f>
              <c:strCache>
                <c:ptCount val="1"/>
                <c:pt idx="0">
                  <c:v>   East South Central</c:v>
                </c:pt>
              </c:strCache>
            </c:strRef>
          </c:tx>
          <c:spPr>
            <a:ln w="28575" cap="rnd">
              <a:solidFill>
                <a:schemeClr val="accent6"/>
              </a:solidFill>
              <a:round/>
            </a:ln>
            <a:effectLst/>
          </c:spPr>
          <c:marker>
            <c:symbol val="none"/>
          </c:marker>
          <c:val>
            <c:numRef>
              <c:f>ResCalc!$T$37:$AD$37</c:f>
              <c:numCache>
                <c:formatCode>General</c:formatCode>
                <c:ptCount val="11"/>
                <c:pt idx="0">
                  <c:v>4376</c:v>
                </c:pt>
                <c:pt idx="1">
                  <c:v>3358</c:v>
                </c:pt>
                <c:pt idx="2">
                  <c:v>3298</c:v>
                </c:pt>
                <c:pt idx="3">
                  <c:v>3258</c:v>
                </c:pt>
                <c:pt idx="4">
                  <c:v>3218</c:v>
                </c:pt>
                <c:pt idx="5">
                  <c:v>3177</c:v>
                </c:pt>
                <c:pt idx="6">
                  <c:v>3135</c:v>
                </c:pt>
                <c:pt idx="7">
                  <c:v>3093</c:v>
                </c:pt>
                <c:pt idx="8" formatCode="0">
                  <c:v>3051.5626794258374</c:v>
                </c:pt>
                <c:pt idx="9" formatCode="0">
                  <c:v>3010.6804999885535</c:v>
                </c:pt>
                <c:pt idx="10" formatCode="0">
                  <c:v>2970.3460243906206</c:v>
                </c:pt>
              </c:numCache>
            </c:numRef>
          </c:val>
          <c:smooth val="0"/>
          <c:extLst>
            <c:ext xmlns:c16="http://schemas.microsoft.com/office/drawing/2014/chart" uri="{C3380CC4-5D6E-409C-BE32-E72D297353CC}">
              <c16:uniqueId val="{00000005-4C5D-4E64-AE05-6457C8A49302}"/>
            </c:ext>
          </c:extLst>
        </c:ser>
        <c:ser>
          <c:idx val="6"/>
          <c:order val="6"/>
          <c:tx>
            <c:strRef>
              <c:f>ResCalc!$S$38</c:f>
              <c:strCache>
                <c:ptCount val="1"/>
                <c:pt idx="0">
                  <c:v>   West South Central</c:v>
                </c:pt>
              </c:strCache>
            </c:strRef>
          </c:tx>
          <c:spPr>
            <a:ln w="28575" cap="rnd">
              <a:solidFill>
                <a:schemeClr val="accent1">
                  <a:lumMod val="60000"/>
                </a:schemeClr>
              </a:solidFill>
              <a:round/>
            </a:ln>
            <a:effectLst/>
          </c:spPr>
          <c:marker>
            <c:symbol val="none"/>
          </c:marker>
          <c:val>
            <c:numRef>
              <c:f>ResCalc!$T$38:$AD$38</c:f>
              <c:numCache>
                <c:formatCode>General</c:formatCode>
                <c:ptCount val="11"/>
                <c:pt idx="0">
                  <c:v>4376</c:v>
                </c:pt>
                <c:pt idx="1">
                  <c:v>2145</c:v>
                </c:pt>
                <c:pt idx="2">
                  <c:v>1979</c:v>
                </c:pt>
                <c:pt idx="3">
                  <c:v>1924</c:v>
                </c:pt>
                <c:pt idx="4">
                  <c:v>1870</c:v>
                </c:pt>
                <c:pt idx="5">
                  <c:v>1815</c:v>
                </c:pt>
                <c:pt idx="6">
                  <c:v>1761</c:v>
                </c:pt>
                <c:pt idx="7">
                  <c:v>1707</c:v>
                </c:pt>
                <c:pt idx="8" formatCode="0">
                  <c:v>1654.655877342419</c:v>
                </c:pt>
                <c:pt idx="9" formatCode="0">
                  <c:v>1603.9168555499768</c:v>
                </c:pt>
                <c:pt idx="10" formatCode="0">
                  <c:v>1554.7337151753609</c:v>
                </c:pt>
              </c:numCache>
            </c:numRef>
          </c:val>
          <c:smooth val="0"/>
          <c:extLst>
            <c:ext xmlns:c16="http://schemas.microsoft.com/office/drawing/2014/chart" uri="{C3380CC4-5D6E-409C-BE32-E72D297353CC}">
              <c16:uniqueId val="{00000006-4C5D-4E64-AE05-6457C8A49302}"/>
            </c:ext>
          </c:extLst>
        </c:ser>
        <c:ser>
          <c:idx val="7"/>
          <c:order val="7"/>
          <c:tx>
            <c:strRef>
              <c:f>ResCalc!$S$39</c:f>
              <c:strCache>
                <c:ptCount val="1"/>
                <c:pt idx="0">
                  <c:v>   Mountain</c:v>
                </c:pt>
              </c:strCache>
            </c:strRef>
          </c:tx>
          <c:spPr>
            <a:ln w="28575" cap="rnd">
              <a:solidFill>
                <a:schemeClr val="accent2">
                  <a:lumMod val="60000"/>
                </a:schemeClr>
              </a:solidFill>
              <a:round/>
            </a:ln>
            <a:effectLst/>
          </c:spPr>
          <c:marker>
            <c:symbol val="none"/>
          </c:marker>
          <c:val>
            <c:numRef>
              <c:f>ResCalc!$T$39:$AD$39</c:f>
              <c:numCache>
                <c:formatCode>General</c:formatCode>
                <c:ptCount val="11"/>
                <c:pt idx="0" formatCode="0.0">
                  <c:v>5777.155654383736</c:v>
                </c:pt>
                <c:pt idx="1">
                  <c:v>5223</c:v>
                </c:pt>
                <c:pt idx="2">
                  <c:v>4722</c:v>
                </c:pt>
                <c:pt idx="3">
                  <c:v>4660</c:v>
                </c:pt>
                <c:pt idx="4">
                  <c:v>4586</c:v>
                </c:pt>
                <c:pt idx="5">
                  <c:v>4508</c:v>
                </c:pt>
                <c:pt idx="6">
                  <c:v>4428</c:v>
                </c:pt>
                <c:pt idx="7">
                  <c:v>4347</c:v>
                </c:pt>
                <c:pt idx="8" formatCode="0">
                  <c:v>4267.4817073170734</c:v>
                </c:pt>
                <c:pt idx="9" formatCode="0">
                  <c:v>4189.4180175490783</c:v>
                </c:pt>
                <c:pt idx="10" formatCode="0">
                  <c:v>4112.7823221061071</c:v>
                </c:pt>
              </c:numCache>
            </c:numRef>
          </c:val>
          <c:smooth val="0"/>
          <c:extLst>
            <c:ext xmlns:c16="http://schemas.microsoft.com/office/drawing/2014/chart" uri="{C3380CC4-5D6E-409C-BE32-E72D297353CC}">
              <c16:uniqueId val="{00000007-4C5D-4E64-AE05-6457C8A49302}"/>
            </c:ext>
          </c:extLst>
        </c:ser>
        <c:ser>
          <c:idx val="8"/>
          <c:order val="8"/>
          <c:tx>
            <c:strRef>
              <c:f>ResCalc!$S$40</c:f>
              <c:strCache>
                <c:ptCount val="1"/>
                <c:pt idx="0">
                  <c:v>   Pacific</c:v>
                </c:pt>
              </c:strCache>
            </c:strRef>
          </c:tx>
          <c:spPr>
            <a:ln w="28575" cap="rnd">
              <a:solidFill>
                <a:schemeClr val="accent3">
                  <a:lumMod val="60000"/>
                </a:schemeClr>
              </a:solidFill>
              <a:round/>
            </a:ln>
            <a:effectLst/>
          </c:spPr>
          <c:marker>
            <c:symbol val="none"/>
          </c:marker>
          <c:val>
            <c:numRef>
              <c:f>ResCalc!$T$40:$AD$40</c:f>
              <c:numCache>
                <c:formatCode>General</c:formatCode>
                <c:ptCount val="11"/>
                <c:pt idx="0" formatCode="0.0">
                  <c:v>3876.6389061528898</c:v>
                </c:pt>
                <c:pt idx="1">
                  <c:v>3532</c:v>
                </c:pt>
                <c:pt idx="2">
                  <c:v>3218</c:v>
                </c:pt>
                <c:pt idx="3">
                  <c:v>3244</c:v>
                </c:pt>
                <c:pt idx="4">
                  <c:v>3267</c:v>
                </c:pt>
                <c:pt idx="5">
                  <c:v>3290</c:v>
                </c:pt>
                <c:pt idx="6">
                  <c:v>3314</c:v>
                </c:pt>
                <c:pt idx="7">
                  <c:v>3339</c:v>
                </c:pt>
                <c:pt idx="8" formatCode="0">
                  <c:v>3364.1885938442974</c:v>
                </c:pt>
                <c:pt idx="9" formatCode="0">
                  <c:v>3389.5672042384158</c:v>
                </c:pt>
                <c:pt idx="10" formatCode="0">
                  <c:v>3415.13726462042</c:v>
                </c:pt>
              </c:numCache>
            </c:numRef>
          </c:val>
          <c:smooth val="0"/>
          <c:extLst>
            <c:ext xmlns:c16="http://schemas.microsoft.com/office/drawing/2014/chart" uri="{C3380CC4-5D6E-409C-BE32-E72D297353CC}">
              <c16:uniqueId val="{00000008-4C5D-4E64-AE05-6457C8A49302}"/>
            </c:ext>
          </c:extLst>
        </c:ser>
        <c:dLbls>
          <c:showLegendKey val="0"/>
          <c:showVal val="0"/>
          <c:showCatName val="0"/>
          <c:showSerName val="0"/>
          <c:showPercent val="0"/>
          <c:showBubbleSize val="0"/>
        </c:dLbls>
        <c:smooth val="0"/>
        <c:axId val="497760024"/>
        <c:axId val="497760416"/>
      </c:lineChart>
      <c:catAx>
        <c:axId val="497760024"/>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760416"/>
        <c:crosses val="autoZero"/>
        <c:auto val="1"/>
        <c:lblAlgn val="ctr"/>
        <c:lblOffset val="100"/>
        <c:noMultiLvlLbl val="0"/>
      </c:catAx>
      <c:valAx>
        <c:axId val="497760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7600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CDD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ResCalc!$S$44</c:f>
              <c:strCache>
                <c:ptCount val="1"/>
                <c:pt idx="0">
                  <c:v>   New England</c:v>
                </c:pt>
              </c:strCache>
            </c:strRef>
          </c:tx>
          <c:spPr>
            <a:ln w="28575" cap="rnd">
              <a:solidFill>
                <a:schemeClr val="accent1"/>
              </a:solidFill>
              <a:round/>
            </a:ln>
            <a:effectLst/>
          </c:spPr>
          <c:marker>
            <c:symbol val="none"/>
          </c:marker>
          <c:cat>
            <c:numRef>
              <c:f>ResCalc!$T$30:$AD$30</c:f>
              <c:numCache>
                <c:formatCode>General</c:formatCode>
                <c:ptCount val="11"/>
                <c:pt idx="0">
                  <c:v>2005</c:v>
                </c:pt>
                <c:pt idx="1">
                  <c:v>2010</c:v>
                </c:pt>
                <c:pt idx="2">
                  <c:v>2015</c:v>
                </c:pt>
                <c:pt idx="3">
                  <c:v>2020</c:v>
                </c:pt>
                <c:pt idx="4">
                  <c:v>2025</c:v>
                </c:pt>
                <c:pt idx="5">
                  <c:v>2030</c:v>
                </c:pt>
                <c:pt idx="6">
                  <c:v>2035</c:v>
                </c:pt>
                <c:pt idx="7">
                  <c:v>2040</c:v>
                </c:pt>
                <c:pt idx="8">
                  <c:v>2045</c:v>
                </c:pt>
                <c:pt idx="9">
                  <c:v>2050</c:v>
                </c:pt>
                <c:pt idx="10">
                  <c:v>2055</c:v>
                </c:pt>
              </c:numCache>
            </c:numRef>
          </c:cat>
          <c:val>
            <c:numRef>
              <c:f>ResCalc!$T$44:$AD$44</c:f>
              <c:numCache>
                <c:formatCode>General</c:formatCode>
                <c:ptCount val="11"/>
                <c:pt idx="0">
                  <c:v>1112</c:v>
                </c:pt>
                <c:pt idx="1">
                  <c:v>568</c:v>
                </c:pt>
                <c:pt idx="2">
                  <c:v>546</c:v>
                </c:pt>
                <c:pt idx="3">
                  <c:v>565</c:v>
                </c:pt>
                <c:pt idx="4">
                  <c:v>583</c:v>
                </c:pt>
                <c:pt idx="5">
                  <c:v>601</c:v>
                </c:pt>
                <c:pt idx="6">
                  <c:v>620</c:v>
                </c:pt>
                <c:pt idx="7">
                  <c:v>638</c:v>
                </c:pt>
                <c:pt idx="8" formatCode="0">
                  <c:v>656.52258064516127</c:v>
                </c:pt>
                <c:pt idx="9" formatCode="0">
                  <c:v>675.58291363163369</c:v>
                </c:pt>
                <c:pt idx="10" formatCode="0">
                  <c:v>695.19661112416497</c:v>
                </c:pt>
              </c:numCache>
            </c:numRef>
          </c:val>
          <c:smooth val="0"/>
          <c:extLst>
            <c:ext xmlns:c16="http://schemas.microsoft.com/office/drawing/2014/chart" uri="{C3380CC4-5D6E-409C-BE32-E72D297353CC}">
              <c16:uniqueId val="{00000000-1F73-4C86-944B-F64CB52DF60D}"/>
            </c:ext>
          </c:extLst>
        </c:ser>
        <c:ser>
          <c:idx val="1"/>
          <c:order val="1"/>
          <c:tx>
            <c:strRef>
              <c:f>ResCalc!$S$45</c:f>
              <c:strCache>
                <c:ptCount val="1"/>
                <c:pt idx="0">
                  <c:v>   Middle Atlantic</c:v>
                </c:pt>
              </c:strCache>
            </c:strRef>
          </c:tx>
          <c:spPr>
            <a:ln w="28575" cap="rnd">
              <a:solidFill>
                <a:schemeClr val="accent2"/>
              </a:solidFill>
              <a:round/>
            </a:ln>
            <a:effectLst/>
          </c:spPr>
          <c:marker>
            <c:symbol val="none"/>
          </c:marker>
          <c:cat>
            <c:numRef>
              <c:f>ResCalc!$T$30:$AD$30</c:f>
              <c:numCache>
                <c:formatCode>General</c:formatCode>
                <c:ptCount val="11"/>
                <c:pt idx="0">
                  <c:v>2005</c:v>
                </c:pt>
                <c:pt idx="1">
                  <c:v>2010</c:v>
                </c:pt>
                <c:pt idx="2">
                  <c:v>2015</c:v>
                </c:pt>
                <c:pt idx="3">
                  <c:v>2020</c:v>
                </c:pt>
                <c:pt idx="4">
                  <c:v>2025</c:v>
                </c:pt>
                <c:pt idx="5">
                  <c:v>2030</c:v>
                </c:pt>
                <c:pt idx="6">
                  <c:v>2035</c:v>
                </c:pt>
                <c:pt idx="7">
                  <c:v>2040</c:v>
                </c:pt>
                <c:pt idx="8">
                  <c:v>2045</c:v>
                </c:pt>
                <c:pt idx="9">
                  <c:v>2050</c:v>
                </c:pt>
                <c:pt idx="10">
                  <c:v>2055</c:v>
                </c:pt>
              </c:numCache>
            </c:numRef>
          </c:cat>
          <c:val>
            <c:numRef>
              <c:f>ResCalc!$T$45:$AD$45</c:f>
              <c:numCache>
                <c:formatCode>General</c:formatCode>
                <c:ptCount val="11"/>
                <c:pt idx="0">
                  <c:v>1112</c:v>
                </c:pt>
                <c:pt idx="1">
                  <c:v>885</c:v>
                </c:pt>
                <c:pt idx="2">
                  <c:v>821</c:v>
                </c:pt>
                <c:pt idx="3">
                  <c:v>848</c:v>
                </c:pt>
                <c:pt idx="4">
                  <c:v>875</c:v>
                </c:pt>
                <c:pt idx="5">
                  <c:v>903</c:v>
                </c:pt>
                <c:pt idx="6">
                  <c:v>929</c:v>
                </c:pt>
                <c:pt idx="7">
                  <c:v>956</c:v>
                </c:pt>
                <c:pt idx="8" formatCode="0">
                  <c:v>983.78471474703974</c:v>
                </c:pt>
                <c:pt idx="9" formatCode="0">
                  <c:v>1012.3769508053498</c:v>
                </c:pt>
                <c:pt idx="10" formatCode="0">
                  <c:v>1041.8001775779487</c:v>
                </c:pt>
              </c:numCache>
            </c:numRef>
          </c:val>
          <c:smooth val="0"/>
          <c:extLst>
            <c:ext xmlns:c16="http://schemas.microsoft.com/office/drawing/2014/chart" uri="{C3380CC4-5D6E-409C-BE32-E72D297353CC}">
              <c16:uniqueId val="{00000001-1F73-4C86-944B-F64CB52DF60D}"/>
            </c:ext>
          </c:extLst>
        </c:ser>
        <c:ser>
          <c:idx val="2"/>
          <c:order val="2"/>
          <c:tx>
            <c:strRef>
              <c:f>ResCalc!$S$46</c:f>
              <c:strCache>
                <c:ptCount val="1"/>
                <c:pt idx="0">
                  <c:v>   East North Central</c:v>
                </c:pt>
              </c:strCache>
            </c:strRef>
          </c:tx>
          <c:spPr>
            <a:ln w="28575" cap="rnd">
              <a:solidFill>
                <a:schemeClr val="accent3"/>
              </a:solidFill>
              <a:round/>
            </a:ln>
            <a:effectLst/>
          </c:spPr>
          <c:marker>
            <c:symbol val="none"/>
          </c:marker>
          <c:cat>
            <c:numRef>
              <c:f>ResCalc!$T$30:$AD$30</c:f>
              <c:numCache>
                <c:formatCode>General</c:formatCode>
                <c:ptCount val="11"/>
                <c:pt idx="0">
                  <c:v>2005</c:v>
                </c:pt>
                <c:pt idx="1">
                  <c:v>2010</c:v>
                </c:pt>
                <c:pt idx="2">
                  <c:v>2015</c:v>
                </c:pt>
                <c:pt idx="3">
                  <c:v>2020</c:v>
                </c:pt>
                <c:pt idx="4">
                  <c:v>2025</c:v>
                </c:pt>
                <c:pt idx="5">
                  <c:v>2030</c:v>
                </c:pt>
                <c:pt idx="6">
                  <c:v>2035</c:v>
                </c:pt>
                <c:pt idx="7">
                  <c:v>2040</c:v>
                </c:pt>
                <c:pt idx="8">
                  <c:v>2045</c:v>
                </c:pt>
                <c:pt idx="9">
                  <c:v>2050</c:v>
                </c:pt>
                <c:pt idx="10">
                  <c:v>2055</c:v>
                </c:pt>
              </c:numCache>
            </c:numRef>
          </c:cat>
          <c:val>
            <c:numRef>
              <c:f>ResCalc!$T$46:$AD$46</c:f>
              <c:numCache>
                <c:formatCode>General</c:formatCode>
                <c:ptCount val="11"/>
                <c:pt idx="0">
                  <c:v>1112</c:v>
                </c:pt>
                <c:pt idx="1">
                  <c:v>855</c:v>
                </c:pt>
                <c:pt idx="2">
                  <c:v>814</c:v>
                </c:pt>
                <c:pt idx="3">
                  <c:v>825</c:v>
                </c:pt>
                <c:pt idx="4">
                  <c:v>835</c:v>
                </c:pt>
                <c:pt idx="5">
                  <c:v>846</c:v>
                </c:pt>
                <c:pt idx="6">
                  <c:v>856</c:v>
                </c:pt>
                <c:pt idx="7">
                  <c:v>867</c:v>
                </c:pt>
                <c:pt idx="8" formatCode="0">
                  <c:v>878.14135514018687</c:v>
                </c:pt>
                <c:pt idx="9" formatCode="0">
                  <c:v>889.4258819001659</c:v>
                </c:pt>
                <c:pt idx="10" formatCode="0">
                  <c:v>900.85542010215397</c:v>
                </c:pt>
              </c:numCache>
            </c:numRef>
          </c:val>
          <c:smooth val="0"/>
          <c:extLst>
            <c:ext xmlns:c16="http://schemas.microsoft.com/office/drawing/2014/chart" uri="{C3380CC4-5D6E-409C-BE32-E72D297353CC}">
              <c16:uniqueId val="{00000002-1F73-4C86-944B-F64CB52DF60D}"/>
            </c:ext>
          </c:extLst>
        </c:ser>
        <c:ser>
          <c:idx val="3"/>
          <c:order val="3"/>
          <c:tx>
            <c:strRef>
              <c:f>ResCalc!$S$47</c:f>
              <c:strCache>
                <c:ptCount val="1"/>
                <c:pt idx="0">
                  <c:v>   West North Central</c:v>
                </c:pt>
              </c:strCache>
            </c:strRef>
          </c:tx>
          <c:spPr>
            <a:ln w="28575" cap="rnd">
              <a:solidFill>
                <a:schemeClr val="accent4"/>
              </a:solidFill>
              <a:round/>
            </a:ln>
            <a:effectLst/>
          </c:spPr>
          <c:marker>
            <c:symbol val="none"/>
          </c:marker>
          <c:cat>
            <c:numRef>
              <c:f>ResCalc!$T$30:$AD$30</c:f>
              <c:numCache>
                <c:formatCode>General</c:formatCode>
                <c:ptCount val="11"/>
                <c:pt idx="0">
                  <c:v>2005</c:v>
                </c:pt>
                <c:pt idx="1">
                  <c:v>2010</c:v>
                </c:pt>
                <c:pt idx="2">
                  <c:v>2015</c:v>
                </c:pt>
                <c:pt idx="3">
                  <c:v>2020</c:v>
                </c:pt>
                <c:pt idx="4">
                  <c:v>2025</c:v>
                </c:pt>
                <c:pt idx="5">
                  <c:v>2030</c:v>
                </c:pt>
                <c:pt idx="6">
                  <c:v>2035</c:v>
                </c:pt>
                <c:pt idx="7">
                  <c:v>2040</c:v>
                </c:pt>
                <c:pt idx="8">
                  <c:v>2045</c:v>
                </c:pt>
                <c:pt idx="9">
                  <c:v>2050</c:v>
                </c:pt>
                <c:pt idx="10">
                  <c:v>2055</c:v>
                </c:pt>
              </c:numCache>
            </c:numRef>
          </c:cat>
          <c:val>
            <c:numRef>
              <c:f>ResCalc!$T$47:$AD$47</c:f>
              <c:numCache>
                <c:formatCode>General</c:formatCode>
                <c:ptCount val="11"/>
                <c:pt idx="0" formatCode="0.0">
                  <c:v>1114.267716535433</c:v>
                </c:pt>
                <c:pt idx="1">
                  <c:v>1064</c:v>
                </c:pt>
                <c:pt idx="2">
                  <c:v>1016</c:v>
                </c:pt>
                <c:pt idx="3">
                  <c:v>1024</c:v>
                </c:pt>
                <c:pt idx="4">
                  <c:v>1032</c:v>
                </c:pt>
                <c:pt idx="5">
                  <c:v>1041</c:v>
                </c:pt>
                <c:pt idx="6">
                  <c:v>1051</c:v>
                </c:pt>
                <c:pt idx="7">
                  <c:v>1061</c:v>
                </c:pt>
                <c:pt idx="8" formatCode="0">
                  <c:v>1071.0951474785918</c:v>
                </c:pt>
                <c:pt idx="9" formatCode="0">
                  <c:v>1081.2863477400438</c:v>
                </c:pt>
                <c:pt idx="10" formatCode="0">
                  <c:v>1091.5745147023658</c:v>
                </c:pt>
              </c:numCache>
            </c:numRef>
          </c:val>
          <c:smooth val="0"/>
          <c:extLst>
            <c:ext xmlns:c16="http://schemas.microsoft.com/office/drawing/2014/chart" uri="{C3380CC4-5D6E-409C-BE32-E72D297353CC}">
              <c16:uniqueId val="{00000003-1F73-4C86-944B-F64CB52DF60D}"/>
            </c:ext>
          </c:extLst>
        </c:ser>
        <c:ser>
          <c:idx val="4"/>
          <c:order val="4"/>
          <c:tx>
            <c:strRef>
              <c:f>ResCalc!$S$48</c:f>
              <c:strCache>
                <c:ptCount val="1"/>
                <c:pt idx="0">
                  <c:v>   South Atlantic</c:v>
                </c:pt>
              </c:strCache>
            </c:strRef>
          </c:tx>
          <c:spPr>
            <a:ln w="28575" cap="rnd">
              <a:solidFill>
                <a:schemeClr val="accent5"/>
              </a:solidFill>
              <a:round/>
            </a:ln>
            <a:effectLst/>
          </c:spPr>
          <c:marker>
            <c:symbol val="none"/>
          </c:marker>
          <c:cat>
            <c:numRef>
              <c:f>ResCalc!$T$30:$AD$30</c:f>
              <c:numCache>
                <c:formatCode>General</c:formatCode>
                <c:ptCount val="11"/>
                <c:pt idx="0">
                  <c:v>2005</c:v>
                </c:pt>
                <c:pt idx="1">
                  <c:v>2010</c:v>
                </c:pt>
                <c:pt idx="2">
                  <c:v>2015</c:v>
                </c:pt>
                <c:pt idx="3">
                  <c:v>2020</c:v>
                </c:pt>
                <c:pt idx="4">
                  <c:v>2025</c:v>
                </c:pt>
                <c:pt idx="5">
                  <c:v>2030</c:v>
                </c:pt>
                <c:pt idx="6">
                  <c:v>2035</c:v>
                </c:pt>
                <c:pt idx="7">
                  <c:v>2040</c:v>
                </c:pt>
                <c:pt idx="8">
                  <c:v>2045</c:v>
                </c:pt>
                <c:pt idx="9">
                  <c:v>2050</c:v>
                </c:pt>
                <c:pt idx="10">
                  <c:v>2055</c:v>
                </c:pt>
              </c:numCache>
            </c:numRef>
          </c:cat>
          <c:val>
            <c:numRef>
              <c:f>ResCalc!$T$48:$AD$48</c:f>
              <c:numCache>
                <c:formatCode>General</c:formatCode>
                <c:ptCount val="11"/>
                <c:pt idx="0" formatCode="0.0">
                  <c:v>2366.1551565377531</c:v>
                </c:pt>
                <c:pt idx="1">
                  <c:v>2267</c:v>
                </c:pt>
                <c:pt idx="2">
                  <c:v>2172</c:v>
                </c:pt>
                <c:pt idx="3">
                  <c:v>2208</c:v>
                </c:pt>
                <c:pt idx="4">
                  <c:v>2244</c:v>
                </c:pt>
                <c:pt idx="5">
                  <c:v>2280</c:v>
                </c:pt>
                <c:pt idx="6">
                  <c:v>2316</c:v>
                </c:pt>
                <c:pt idx="7">
                  <c:v>2350</c:v>
                </c:pt>
                <c:pt idx="8" formatCode="0">
                  <c:v>2384.4991364421412</c:v>
                </c:pt>
                <c:pt idx="9" formatCode="0">
                  <c:v>2419.5047368907735</c:v>
                </c:pt>
                <c:pt idx="10" formatCode="0">
                  <c:v>2455.0242364824339</c:v>
                </c:pt>
              </c:numCache>
            </c:numRef>
          </c:val>
          <c:smooth val="0"/>
          <c:extLst>
            <c:ext xmlns:c16="http://schemas.microsoft.com/office/drawing/2014/chart" uri="{C3380CC4-5D6E-409C-BE32-E72D297353CC}">
              <c16:uniqueId val="{00000004-1F73-4C86-944B-F64CB52DF60D}"/>
            </c:ext>
          </c:extLst>
        </c:ser>
        <c:ser>
          <c:idx val="5"/>
          <c:order val="5"/>
          <c:tx>
            <c:strRef>
              <c:f>ResCalc!$S$49</c:f>
              <c:strCache>
                <c:ptCount val="1"/>
                <c:pt idx="0">
                  <c:v>   East South Central</c:v>
                </c:pt>
              </c:strCache>
            </c:strRef>
          </c:tx>
          <c:spPr>
            <a:ln w="28575" cap="rnd">
              <a:solidFill>
                <a:schemeClr val="accent6"/>
              </a:solidFill>
              <a:round/>
            </a:ln>
            <a:effectLst/>
          </c:spPr>
          <c:marker>
            <c:symbol val="none"/>
          </c:marker>
          <c:cat>
            <c:numRef>
              <c:f>ResCalc!$T$30:$AD$30</c:f>
              <c:numCache>
                <c:formatCode>General</c:formatCode>
                <c:ptCount val="11"/>
                <c:pt idx="0">
                  <c:v>2005</c:v>
                </c:pt>
                <c:pt idx="1">
                  <c:v>2010</c:v>
                </c:pt>
                <c:pt idx="2">
                  <c:v>2015</c:v>
                </c:pt>
                <c:pt idx="3">
                  <c:v>2020</c:v>
                </c:pt>
                <c:pt idx="4">
                  <c:v>2025</c:v>
                </c:pt>
                <c:pt idx="5">
                  <c:v>2030</c:v>
                </c:pt>
                <c:pt idx="6">
                  <c:v>2035</c:v>
                </c:pt>
                <c:pt idx="7">
                  <c:v>2040</c:v>
                </c:pt>
                <c:pt idx="8">
                  <c:v>2045</c:v>
                </c:pt>
                <c:pt idx="9">
                  <c:v>2050</c:v>
                </c:pt>
                <c:pt idx="10">
                  <c:v>2055</c:v>
                </c:pt>
              </c:numCache>
            </c:numRef>
          </c:cat>
          <c:val>
            <c:numRef>
              <c:f>ResCalc!$T$49:$AD$49</c:f>
              <c:numCache>
                <c:formatCode>General</c:formatCode>
                <c:ptCount val="11"/>
                <c:pt idx="0">
                  <c:v>1112</c:v>
                </c:pt>
                <c:pt idx="1">
                  <c:v>1740</c:v>
                </c:pt>
                <c:pt idx="2">
                  <c:v>1761</c:v>
                </c:pt>
                <c:pt idx="3">
                  <c:v>1795</c:v>
                </c:pt>
                <c:pt idx="4">
                  <c:v>1829</c:v>
                </c:pt>
                <c:pt idx="5">
                  <c:v>1863</c:v>
                </c:pt>
                <c:pt idx="6">
                  <c:v>1897</c:v>
                </c:pt>
                <c:pt idx="7">
                  <c:v>1931</c:v>
                </c:pt>
                <c:pt idx="8" formatCode="0">
                  <c:v>1965.6093832366894</c:v>
                </c:pt>
                <c:pt idx="9" formatCode="0">
                  <c:v>2000.8390717079847</c:v>
                </c:pt>
                <c:pt idx="10" formatCode="0">
                  <c:v>2036.7001831671682</c:v>
                </c:pt>
              </c:numCache>
            </c:numRef>
          </c:val>
          <c:smooth val="0"/>
          <c:extLst>
            <c:ext xmlns:c16="http://schemas.microsoft.com/office/drawing/2014/chart" uri="{C3380CC4-5D6E-409C-BE32-E72D297353CC}">
              <c16:uniqueId val="{00000005-1F73-4C86-944B-F64CB52DF60D}"/>
            </c:ext>
          </c:extLst>
        </c:ser>
        <c:ser>
          <c:idx val="6"/>
          <c:order val="6"/>
          <c:tx>
            <c:strRef>
              <c:f>ResCalc!$S$50</c:f>
              <c:strCache>
                <c:ptCount val="1"/>
                <c:pt idx="0">
                  <c:v>   West South Central</c:v>
                </c:pt>
              </c:strCache>
            </c:strRef>
          </c:tx>
          <c:spPr>
            <a:ln w="28575" cap="rnd">
              <a:solidFill>
                <a:schemeClr val="accent1">
                  <a:lumMod val="60000"/>
                </a:schemeClr>
              </a:solidFill>
              <a:round/>
            </a:ln>
            <a:effectLst/>
          </c:spPr>
          <c:marker>
            <c:symbol val="none"/>
          </c:marker>
          <c:cat>
            <c:numRef>
              <c:f>ResCalc!$T$30:$AD$30</c:f>
              <c:numCache>
                <c:formatCode>General</c:formatCode>
                <c:ptCount val="11"/>
                <c:pt idx="0">
                  <c:v>2005</c:v>
                </c:pt>
                <c:pt idx="1">
                  <c:v>2010</c:v>
                </c:pt>
                <c:pt idx="2">
                  <c:v>2015</c:v>
                </c:pt>
                <c:pt idx="3">
                  <c:v>2020</c:v>
                </c:pt>
                <c:pt idx="4">
                  <c:v>2025</c:v>
                </c:pt>
                <c:pt idx="5">
                  <c:v>2030</c:v>
                </c:pt>
                <c:pt idx="6">
                  <c:v>2035</c:v>
                </c:pt>
                <c:pt idx="7">
                  <c:v>2040</c:v>
                </c:pt>
                <c:pt idx="8">
                  <c:v>2045</c:v>
                </c:pt>
                <c:pt idx="9">
                  <c:v>2050</c:v>
                </c:pt>
                <c:pt idx="10">
                  <c:v>2055</c:v>
                </c:pt>
              </c:numCache>
            </c:numRef>
          </c:cat>
          <c:val>
            <c:numRef>
              <c:f>ResCalc!$T$50:$AD$50</c:f>
              <c:numCache>
                <c:formatCode>General</c:formatCode>
                <c:ptCount val="11"/>
                <c:pt idx="0" formatCode="0.0">
                  <c:v>3346.3141230878691</c:v>
                </c:pt>
                <c:pt idx="1">
                  <c:v>3067</c:v>
                </c:pt>
                <c:pt idx="2">
                  <c:v>2811</c:v>
                </c:pt>
                <c:pt idx="3">
                  <c:v>2880</c:v>
                </c:pt>
                <c:pt idx="4">
                  <c:v>2948</c:v>
                </c:pt>
                <c:pt idx="5">
                  <c:v>3017</c:v>
                </c:pt>
                <c:pt idx="6">
                  <c:v>3086</c:v>
                </c:pt>
                <c:pt idx="7">
                  <c:v>3155</c:v>
                </c:pt>
                <c:pt idx="8" formatCode="0">
                  <c:v>3225.5427738172393</c:v>
                </c:pt>
                <c:pt idx="9" formatCode="0">
                  <c:v>3297.6628163944883</c:v>
                </c:pt>
                <c:pt idx="10" formatCode="0">
                  <c:v>3371.3953939483508</c:v>
                </c:pt>
              </c:numCache>
            </c:numRef>
          </c:val>
          <c:smooth val="0"/>
          <c:extLst>
            <c:ext xmlns:c16="http://schemas.microsoft.com/office/drawing/2014/chart" uri="{C3380CC4-5D6E-409C-BE32-E72D297353CC}">
              <c16:uniqueId val="{00000006-1F73-4C86-944B-F64CB52DF60D}"/>
            </c:ext>
          </c:extLst>
        </c:ser>
        <c:ser>
          <c:idx val="7"/>
          <c:order val="7"/>
          <c:tx>
            <c:strRef>
              <c:f>ResCalc!$S$51</c:f>
              <c:strCache>
                <c:ptCount val="1"/>
                <c:pt idx="0">
                  <c:v>   Mountain</c:v>
                </c:pt>
              </c:strCache>
            </c:strRef>
          </c:tx>
          <c:spPr>
            <a:ln w="28575" cap="rnd">
              <a:solidFill>
                <a:schemeClr val="accent2">
                  <a:lumMod val="60000"/>
                </a:schemeClr>
              </a:solidFill>
              <a:round/>
            </a:ln>
            <a:effectLst/>
          </c:spPr>
          <c:marker>
            <c:symbol val="none"/>
          </c:marker>
          <c:cat>
            <c:numRef>
              <c:f>ResCalc!$T$30:$AD$30</c:f>
              <c:numCache>
                <c:formatCode>General</c:formatCode>
                <c:ptCount val="11"/>
                <c:pt idx="0">
                  <c:v>2005</c:v>
                </c:pt>
                <c:pt idx="1">
                  <c:v>2010</c:v>
                </c:pt>
                <c:pt idx="2">
                  <c:v>2015</c:v>
                </c:pt>
                <c:pt idx="3">
                  <c:v>2020</c:v>
                </c:pt>
                <c:pt idx="4">
                  <c:v>2025</c:v>
                </c:pt>
                <c:pt idx="5">
                  <c:v>2030</c:v>
                </c:pt>
                <c:pt idx="6">
                  <c:v>2035</c:v>
                </c:pt>
                <c:pt idx="7">
                  <c:v>2040</c:v>
                </c:pt>
                <c:pt idx="8">
                  <c:v>2045</c:v>
                </c:pt>
                <c:pt idx="9">
                  <c:v>2050</c:v>
                </c:pt>
                <c:pt idx="10">
                  <c:v>2055</c:v>
                </c:pt>
              </c:numCache>
            </c:numRef>
          </c:cat>
          <c:val>
            <c:numRef>
              <c:f>ResCalc!$T$51:$AD$51</c:f>
              <c:numCache>
                <c:formatCode>General</c:formatCode>
                <c:ptCount val="11"/>
                <c:pt idx="0" formatCode="0.0">
                  <c:v>1406.9702233250621</c:v>
                </c:pt>
                <c:pt idx="1">
                  <c:v>1506</c:v>
                </c:pt>
                <c:pt idx="2">
                  <c:v>1612</c:v>
                </c:pt>
                <c:pt idx="3">
                  <c:v>1661</c:v>
                </c:pt>
                <c:pt idx="4">
                  <c:v>1719</c:v>
                </c:pt>
                <c:pt idx="5">
                  <c:v>1779</c:v>
                </c:pt>
                <c:pt idx="6">
                  <c:v>1841</c:v>
                </c:pt>
                <c:pt idx="7">
                  <c:v>1905</c:v>
                </c:pt>
                <c:pt idx="8" formatCode="0">
                  <c:v>1971.2248777838131</c:v>
                </c:pt>
                <c:pt idx="9" formatCode="0">
                  <c:v>2039.7519783694534</c:v>
                </c:pt>
                <c:pt idx="10" formatCode="0">
                  <c:v>2110.6613355751269</c:v>
                </c:pt>
              </c:numCache>
            </c:numRef>
          </c:val>
          <c:smooth val="0"/>
          <c:extLst>
            <c:ext xmlns:c16="http://schemas.microsoft.com/office/drawing/2014/chart" uri="{C3380CC4-5D6E-409C-BE32-E72D297353CC}">
              <c16:uniqueId val="{00000007-1F73-4C86-944B-F64CB52DF60D}"/>
            </c:ext>
          </c:extLst>
        </c:ser>
        <c:ser>
          <c:idx val="8"/>
          <c:order val="8"/>
          <c:tx>
            <c:strRef>
              <c:f>ResCalc!$S$52</c:f>
              <c:strCache>
                <c:ptCount val="1"/>
                <c:pt idx="0">
                  <c:v>   Pacific</c:v>
                </c:pt>
              </c:strCache>
            </c:strRef>
          </c:tx>
          <c:spPr>
            <a:ln w="28575" cap="rnd">
              <a:solidFill>
                <a:schemeClr val="accent3">
                  <a:lumMod val="60000"/>
                </a:schemeClr>
              </a:solidFill>
              <a:round/>
            </a:ln>
            <a:effectLst/>
          </c:spPr>
          <c:marker>
            <c:symbol val="none"/>
          </c:marker>
          <c:cat>
            <c:numRef>
              <c:f>ResCalc!$T$30:$AD$30</c:f>
              <c:numCache>
                <c:formatCode>General</c:formatCode>
                <c:ptCount val="11"/>
                <c:pt idx="0">
                  <c:v>2005</c:v>
                </c:pt>
                <c:pt idx="1">
                  <c:v>2010</c:v>
                </c:pt>
                <c:pt idx="2">
                  <c:v>2015</c:v>
                </c:pt>
                <c:pt idx="3">
                  <c:v>2020</c:v>
                </c:pt>
                <c:pt idx="4">
                  <c:v>2025</c:v>
                </c:pt>
                <c:pt idx="5">
                  <c:v>2030</c:v>
                </c:pt>
                <c:pt idx="6">
                  <c:v>2035</c:v>
                </c:pt>
                <c:pt idx="7">
                  <c:v>2040</c:v>
                </c:pt>
                <c:pt idx="8">
                  <c:v>2045</c:v>
                </c:pt>
                <c:pt idx="9">
                  <c:v>2050</c:v>
                </c:pt>
                <c:pt idx="10">
                  <c:v>2055</c:v>
                </c:pt>
              </c:numCache>
            </c:numRef>
          </c:cat>
          <c:val>
            <c:numRef>
              <c:f>ResCalc!$T$52:$AD$52</c:f>
              <c:numCache>
                <c:formatCode>General</c:formatCode>
                <c:ptCount val="11"/>
                <c:pt idx="0" formatCode="0.0">
                  <c:v>684.05697674418604</c:v>
                </c:pt>
                <c:pt idx="1">
                  <c:v>767</c:v>
                </c:pt>
                <c:pt idx="2">
                  <c:v>860</c:v>
                </c:pt>
                <c:pt idx="3">
                  <c:v>860</c:v>
                </c:pt>
                <c:pt idx="4">
                  <c:v>861</c:v>
                </c:pt>
                <c:pt idx="5">
                  <c:v>861</c:v>
                </c:pt>
                <c:pt idx="6">
                  <c:v>861</c:v>
                </c:pt>
                <c:pt idx="7">
                  <c:v>861</c:v>
                </c:pt>
                <c:pt idx="8" formatCode="0">
                  <c:v>861</c:v>
                </c:pt>
                <c:pt idx="9" formatCode="0">
                  <c:v>861</c:v>
                </c:pt>
                <c:pt idx="10" formatCode="0">
                  <c:v>861</c:v>
                </c:pt>
              </c:numCache>
            </c:numRef>
          </c:val>
          <c:smooth val="0"/>
          <c:extLst>
            <c:ext xmlns:c16="http://schemas.microsoft.com/office/drawing/2014/chart" uri="{C3380CC4-5D6E-409C-BE32-E72D297353CC}">
              <c16:uniqueId val="{00000008-1F73-4C86-944B-F64CB52DF60D}"/>
            </c:ext>
          </c:extLst>
        </c:ser>
        <c:dLbls>
          <c:showLegendKey val="0"/>
          <c:showVal val="0"/>
          <c:showCatName val="0"/>
          <c:showSerName val="0"/>
          <c:showPercent val="0"/>
          <c:showBubbleSize val="0"/>
        </c:dLbls>
        <c:smooth val="0"/>
        <c:axId val="497761200"/>
        <c:axId val="497761592"/>
      </c:lineChart>
      <c:catAx>
        <c:axId val="497761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761592"/>
        <c:crosses val="autoZero"/>
        <c:auto val="1"/>
        <c:lblAlgn val="ctr"/>
        <c:lblOffset val="100"/>
        <c:noMultiLvlLbl val="0"/>
      </c:catAx>
      <c:valAx>
        <c:axId val="497761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7612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BK</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058B-4E31-BBA9-874259B22728}"/>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058B-4E31-BBA9-874259B22728}"/>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058B-4E31-BBA9-874259B22728}"/>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058B-4E31-BBA9-874259B22728}"/>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058B-4E31-BBA9-874259B22728}"/>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058B-4E31-BBA9-874259B22728}"/>
                </c:ext>
              </c:extLst>
            </c:dLbl>
            <c:dLbl>
              <c:idx val="1"/>
              <c:layout>
                <c:manualLayout>
                  <c:x val="-1.94444444444444E-2"/>
                  <c:y val="6.488549618320610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58B-4E31-BBA9-874259B22728}"/>
                </c:ext>
              </c:extLst>
            </c:dLbl>
            <c:dLbl>
              <c:idx val="2"/>
              <c:layout>
                <c:manualLayout>
                  <c:x val="-0.108333333333333"/>
                  <c:y val="5.725190839694659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058B-4E31-BBA9-874259B22728}"/>
                </c:ext>
              </c:extLst>
            </c:dLbl>
            <c:dLbl>
              <c:idx val="3"/>
              <c:layout>
                <c:manualLayout>
                  <c:x val="-0.105555555555556"/>
                  <c:y val="-6.106870229007629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058B-4E31-BBA9-874259B22728}"/>
                </c:ext>
              </c:extLst>
            </c:dLbl>
            <c:dLbl>
              <c:idx val="4"/>
              <c:layout>
                <c:manualLayout>
                  <c:x val="0.22500000000000001"/>
                  <c:y val="-2.290076335877860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058B-4E31-BBA9-874259B22728}"/>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BldgArea!$A$33:$A$37</c:f>
              <c:strCache>
                <c:ptCount val="5"/>
                <c:pt idx="0">
                  <c:v>1 to 4</c:v>
                </c:pt>
                <c:pt idx="1">
                  <c:v>Commercial</c:v>
                </c:pt>
                <c:pt idx="2">
                  <c:v>Industrial</c:v>
                </c:pt>
                <c:pt idx="3">
                  <c:v>Institutional</c:v>
                </c:pt>
                <c:pt idx="4">
                  <c:v>Multifamily</c:v>
                </c:pt>
              </c:strCache>
            </c:strRef>
          </c:cat>
          <c:val>
            <c:numRef>
              <c:f>BldgArea!$B$33:$B$37</c:f>
              <c:numCache>
                <c:formatCode>0.00%</c:formatCode>
                <c:ptCount val="5"/>
                <c:pt idx="0">
                  <c:v>0.33675143768134252</c:v>
                </c:pt>
                <c:pt idx="1">
                  <c:v>8.999178537130581E-2</c:v>
                </c:pt>
                <c:pt idx="2">
                  <c:v>9.3532150464678415E-2</c:v>
                </c:pt>
                <c:pt idx="3">
                  <c:v>0.11533324576069863</c:v>
                </c:pt>
                <c:pt idx="4">
                  <c:v>0.36439138072197463</c:v>
                </c:pt>
              </c:numCache>
            </c:numRef>
          </c:val>
          <c:extLst>
            <c:ext xmlns:c16="http://schemas.microsoft.com/office/drawing/2014/chart" uri="{C3380CC4-5D6E-409C-BE32-E72D297353CC}">
              <c16:uniqueId val="{0000000A-058B-4E31-BBA9-874259B22728}"/>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BX</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8F33-4692-ACEE-A11098185A70}"/>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8F33-4692-ACEE-A11098185A70}"/>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8F33-4692-ACEE-A11098185A70}"/>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8F33-4692-ACEE-A11098185A70}"/>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8F33-4692-ACEE-A11098185A70}"/>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8F33-4692-ACEE-A11098185A70}"/>
                </c:ext>
              </c:extLst>
            </c:dLbl>
            <c:dLbl>
              <c:idx val="1"/>
              <c:layout>
                <c:manualLayout>
                  <c:x val="-1.94444444444444E-2"/>
                  <c:y val="6.488549618320610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F33-4692-ACEE-A11098185A70}"/>
                </c:ext>
              </c:extLst>
            </c:dLbl>
            <c:dLbl>
              <c:idx val="2"/>
              <c:layout>
                <c:manualLayout>
                  <c:x val="-0.108333333333333"/>
                  <c:y val="5.725190839694659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8F33-4692-ACEE-A11098185A70}"/>
                </c:ext>
              </c:extLst>
            </c:dLbl>
            <c:dLbl>
              <c:idx val="3"/>
              <c:layout>
                <c:manualLayout>
                  <c:x val="-0.105555555555556"/>
                  <c:y val="-6.106870229007629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8F33-4692-ACEE-A11098185A70}"/>
                </c:ext>
              </c:extLst>
            </c:dLbl>
            <c:dLbl>
              <c:idx val="4"/>
              <c:layout>
                <c:manualLayout>
                  <c:x val="0.22500000000000001"/>
                  <c:y val="-2.290076335877860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F33-4692-ACEE-A11098185A70}"/>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BldgArea!$A$33:$A$37</c:f>
              <c:strCache>
                <c:ptCount val="5"/>
                <c:pt idx="0">
                  <c:v>1 to 4</c:v>
                </c:pt>
                <c:pt idx="1">
                  <c:v>Commercial</c:v>
                </c:pt>
                <c:pt idx="2">
                  <c:v>Industrial</c:v>
                </c:pt>
                <c:pt idx="3">
                  <c:v>Institutional</c:v>
                </c:pt>
                <c:pt idx="4">
                  <c:v>Multifamily</c:v>
                </c:pt>
              </c:strCache>
            </c:strRef>
          </c:cat>
          <c:val>
            <c:numRef>
              <c:f>BldgArea!$C$33:$C$37</c:f>
              <c:numCache>
                <c:formatCode>0.00%</c:formatCode>
                <c:ptCount val="5"/>
                <c:pt idx="0">
                  <c:v>0.20348147713281867</c:v>
                </c:pt>
                <c:pt idx="1">
                  <c:v>7.5832040545669221E-2</c:v>
                </c:pt>
                <c:pt idx="2">
                  <c:v>6.2960767154516081E-2</c:v>
                </c:pt>
                <c:pt idx="3">
                  <c:v>0.1326176722337703</c:v>
                </c:pt>
                <c:pt idx="4">
                  <c:v>0.52510804293322577</c:v>
                </c:pt>
              </c:numCache>
            </c:numRef>
          </c:val>
          <c:extLst>
            <c:ext xmlns:c16="http://schemas.microsoft.com/office/drawing/2014/chart" uri="{C3380CC4-5D6E-409C-BE32-E72D297353CC}">
              <c16:uniqueId val="{0000000A-8F33-4692-ACEE-A11098185A70}"/>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MN</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77B4-4B99-844D-A3B48D9D17AF}"/>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77B4-4B99-844D-A3B48D9D17AF}"/>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77B4-4B99-844D-A3B48D9D17AF}"/>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77B4-4B99-844D-A3B48D9D17AF}"/>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77B4-4B99-844D-A3B48D9D17AF}"/>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77B4-4B99-844D-A3B48D9D17AF}"/>
                </c:ext>
              </c:extLst>
            </c:dLbl>
            <c:dLbl>
              <c:idx val="1"/>
              <c:layout>
                <c:manualLayout>
                  <c:x val="-1.94444444444444E-2"/>
                  <c:y val="6.488549618320610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7B4-4B99-844D-A3B48D9D17AF}"/>
                </c:ext>
              </c:extLst>
            </c:dLbl>
            <c:dLbl>
              <c:idx val="2"/>
              <c:layout>
                <c:manualLayout>
                  <c:x val="-0.108333333333333"/>
                  <c:y val="5.725190839694659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7B4-4B99-844D-A3B48D9D17AF}"/>
                </c:ext>
              </c:extLst>
            </c:dLbl>
            <c:dLbl>
              <c:idx val="3"/>
              <c:layout>
                <c:manualLayout>
                  <c:x val="-0.105555555555556"/>
                  <c:y val="-6.106870229007629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77B4-4B99-844D-A3B48D9D17AF}"/>
                </c:ext>
              </c:extLst>
            </c:dLbl>
            <c:dLbl>
              <c:idx val="4"/>
              <c:layout>
                <c:manualLayout>
                  <c:x val="0.22500000000000001"/>
                  <c:y val="-2.290076335877860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77B4-4B99-844D-A3B48D9D17AF}"/>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BldgArea!$A$33:$A$37</c:f>
              <c:strCache>
                <c:ptCount val="5"/>
                <c:pt idx="0">
                  <c:v>1 to 4</c:v>
                </c:pt>
                <c:pt idx="1">
                  <c:v>Commercial</c:v>
                </c:pt>
                <c:pt idx="2">
                  <c:v>Industrial</c:v>
                </c:pt>
                <c:pt idx="3">
                  <c:v>Institutional</c:v>
                </c:pt>
                <c:pt idx="4">
                  <c:v>Multifamily</c:v>
                </c:pt>
              </c:strCache>
            </c:strRef>
          </c:cat>
          <c:val>
            <c:numRef>
              <c:f>BldgArea!$D$33:$D$37</c:f>
              <c:numCache>
                <c:formatCode>0.00%</c:formatCode>
                <c:ptCount val="5"/>
                <c:pt idx="0">
                  <c:v>1.7608050806540914E-2</c:v>
                </c:pt>
                <c:pt idx="1">
                  <c:v>0.43050075908570307</c:v>
                </c:pt>
                <c:pt idx="2">
                  <c:v>2.2908885173868007E-2</c:v>
                </c:pt>
                <c:pt idx="3">
                  <c:v>9.5166637623355976E-2</c:v>
                </c:pt>
                <c:pt idx="4">
                  <c:v>0.433815667310532</c:v>
                </c:pt>
              </c:numCache>
            </c:numRef>
          </c:val>
          <c:extLst>
            <c:ext xmlns:c16="http://schemas.microsoft.com/office/drawing/2014/chart" uri="{C3380CC4-5D6E-409C-BE32-E72D297353CC}">
              <c16:uniqueId val="{0000000A-77B4-4B99-844D-A3B48D9D17AF}"/>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QN</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7C1B-43BD-BA59-67EFBEA5562D}"/>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7C1B-43BD-BA59-67EFBEA5562D}"/>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7C1B-43BD-BA59-67EFBEA5562D}"/>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7C1B-43BD-BA59-67EFBEA5562D}"/>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7C1B-43BD-BA59-67EFBEA5562D}"/>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7C1B-43BD-BA59-67EFBEA5562D}"/>
                </c:ext>
              </c:extLst>
            </c:dLbl>
            <c:dLbl>
              <c:idx val="1"/>
              <c:layout>
                <c:manualLayout>
                  <c:x val="-1.94444444444444E-2"/>
                  <c:y val="6.488549618320610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C1B-43BD-BA59-67EFBEA5562D}"/>
                </c:ext>
              </c:extLst>
            </c:dLbl>
            <c:dLbl>
              <c:idx val="2"/>
              <c:layout>
                <c:manualLayout>
                  <c:x val="-0.108333333333333"/>
                  <c:y val="5.725190839694659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C1B-43BD-BA59-67EFBEA5562D}"/>
                </c:ext>
              </c:extLst>
            </c:dLbl>
            <c:dLbl>
              <c:idx val="3"/>
              <c:layout>
                <c:manualLayout>
                  <c:x val="-0.105555555555556"/>
                  <c:y val="-6.106870229007629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7C1B-43BD-BA59-67EFBEA5562D}"/>
                </c:ext>
              </c:extLst>
            </c:dLbl>
            <c:dLbl>
              <c:idx val="4"/>
              <c:layout>
                <c:manualLayout>
                  <c:x val="0.22500000000000001"/>
                  <c:y val="-2.290076335877860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7C1B-43BD-BA59-67EFBEA5562D}"/>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BldgArea!$A$33:$A$37</c:f>
              <c:strCache>
                <c:ptCount val="5"/>
                <c:pt idx="0">
                  <c:v>1 to 4</c:v>
                </c:pt>
                <c:pt idx="1">
                  <c:v>Commercial</c:v>
                </c:pt>
                <c:pt idx="2">
                  <c:v>Industrial</c:v>
                </c:pt>
                <c:pt idx="3">
                  <c:v>Institutional</c:v>
                </c:pt>
                <c:pt idx="4">
                  <c:v>Multifamily</c:v>
                </c:pt>
              </c:strCache>
            </c:strRef>
          </c:cat>
          <c:val>
            <c:numRef>
              <c:f>BldgArea!$E$33:$E$37</c:f>
              <c:numCache>
                <c:formatCode>0.00%</c:formatCode>
                <c:ptCount val="5"/>
                <c:pt idx="0">
                  <c:v>0.35229494205783035</c:v>
                </c:pt>
                <c:pt idx="1">
                  <c:v>0.11940034341090776</c:v>
                </c:pt>
                <c:pt idx="2">
                  <c:v>0.11272549718427922</c:v>
                </c:pt>
                <c:pt idx="3">
                  <c:v>7.1031781925268184E-2</c:v>
                </c:pt>
                <c:pt idx="4">
                  <c:v>0.34454743542171451</c:v>
                </c:pt>
              </c:numCache>
            </c:numRef>
          </c:val>
          <c:extLst>
            <c:ext xmlns:c16="http://schemas.microsoft.com/office/drawing/2014/chart" uri="{C3380CC4-5D6E-409C-BE32-E72D297353CC}">
              <c16:uniqueId val="{0000000A-7C1B-43BD-BA59-67EFBEA5562D}"/>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SI</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9832-464C-9005-557F3DB0D285}"/>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9832-464C-9005-557F3DB0D285}"/>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9832-464C-9005-557F3DB0D285}"/>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9832-464C-9005-557F3DB0D285}"/>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9832-464C-9005-557F3DB0D285}"/>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9832-464C-9005-557F3DB0D285}"/>
                </c:ext>
              </c:extLst>
            </c:dLbl>
            <c:dLbl>
              <c:idx val="1"/>
              <c:layout>
                <c:manualLayout>
                  <c:x val="-1.94444444444444E-2"/>
                  <c:y val="6.488549618320610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832-464C-9005-557F3DB0D285}"/>
                </c:ext>
              </c:extLst>
            </c:dLbl>
            <c:dLbl>
              <c:idx val="2"/>
              <c:layout>
                <c:manualLayout>
                  <c:x val="-0.108333333333333"/>
                  <c:y val="5.725190839694659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9832-464C-9005-557F3DB0D285}"/>
                </c:ext>
              </c:extLst>
            </c:dLbl>
            <c:dLbl>
              <c:idx val="3"/>
              <c:layout>
                <c:manualLayout>
                  <c:x val="-0.105555555555556"/>
                  <c:y val="-6.106870229007629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9832-464C-9005-557F3DB0D285}"/>
                </c:ext>
              </c:extLst>
            </c:dLbl>
            <c:dLbl>
              <c:idx val="4"/>
              <c:layout>
                <c:manualLayout>
                  <c:x val="0.22500000000000001"/>
                  <c:y val="-2.290076335877860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9832-464C-9005-557F3DB0D285}"/>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BldgArea!$A$33:$A$37</c:f>
              <c:strCache>
                <c:ptCount val="5"/>
                <c:pt idx="0">
                  <c:v>1 to 4</c:v>
                </c:pt>
                <c:pt idx="1">
                  <c:v>Commercial</c:v>
                </c:pt>
                <c:pt idx="2">
                  <c:v>Industrial</c:v>
                </c:pt>
                <c:pt idx="3">
                  <c:v>Institutional</c:v>
                </c:pt>
                <c:pt idx="4">
                  <c:v>Multifamily</c:v>
                </c:pt>
              </c:strCache>
            </c:strRef>
          </c:cat>
          <c:val>
            <c:numRef>
              <c:f>BldgArea!$F$33:$F$37</c:f>
              <c:numCache>
                <c:formatCode>0.00%</c:formatCode>
                <c:ptCount val="5"/>
                <c:pt idx="0">
                  <c:v>0.70806890189041227</c:v>
                </c:pt>
                <c:pt idx="1">
                  <c:v>7.9701599038691701E-2</c:v>
                </c:pt>
                <c:pt idx="2">
                  <c:v>3.9369945141670144E-2</c:v>
                </c:pt>
                <c:pt idx="3">
                  <c:v>9.5485738382454402E-2</c:v>
                </c:pt>
                <c:pt idx="4">
                  <c:v>7.737381554677146E-2</c:v>
                </c:pt>
              </c:numCache>
            </c:numRef>
          </c:val>
          <c:extLst>
            <c:ext xmlns:c16="http://schemas.microsoft.com/office/drawing/2014/chart" uri="{C3380CC4-5D6E-409C-BE32-E72D297353CC}">
              <c16:uniqueId val="{0000000A-9832-464C-9005-557F3DB0D285}"/>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8.png"/><Relationship Id="rId1" Type="http://schemas.openxmlformats.org/officeDocument/2006/relationships/image" Target="../media/image37.png"/></Relationships>
</file>

<file path=xl/drawings/_rels/vmlDrawing1.vml.rels><?xml version="1.0" encoding="UTF-8" standalone="yes"?>
<Relationships xmlns="http://schemas.openxmlformats.org/package/2006/relationships"><Relationship Id="rId8" Type="http://schemas.openxmlformats.org/officeDocument/2006/relationships/image" Target="../media/image1.emf"/><Relationship Id="rId3" Type="http://schemas.openxmlformats.org/officeDocument/2006/relationships/image" Target="../media/image6.emf"/><Relationship Id="rId7" Type="http://schemas.openxmlformats.org/officeDocument/2006/relationships/image" Target="../media/image2.emf"/><Relationship Id="rId2" Type="http://schemas.openxmlformats.org/officeDocument/2006/relationships/image" Target="../media/image7.emf"/><Relationship Id="rId1" Type="http://schemas.openxmlformats.org/officeDocument/2006/relationships/image" Target="../media/image8.emf"/><Relationship Id="rId6" Type="http://schemas.openxmlformats.org/officeDocument/2006/relationships/image" Target="../media/image3.emf"/><Relationship Id="rId5" Type="http://schemas.openxmlformats.org/officeDocument/2006/relationships/image" Target="../media/image4.emf"/><Relationship Id="rId4" Type="http://schemas.openxmlformats.org/officeDocument/2006/relationships/image" Target="../media/image5.emf"/></Relationships>
</file>

<file path=xl/drawings/_rels/vmlDrawing2.vml.rels><?xml version="1.0" encoding="UTF-8" standalone="yes"?>
<Relationships xmlns="http://schemas.openxmlformats.org/package/2006/relationships"><Relationship Id="rId3" Type="http://schemas.openxmlformats.org/officeDocument/2006/relationships/image" Target="../media/image11.emf"/><Relationship Id="rId2" Type="http://schemas.openxmlformats.org/officeDocument/2006/relationships/image" Target="../media/image12.emf"/><Relationship Id="rId1" Type="http://schemas.openxmlformats.org/officeDocument/2006/relationships/image" Target="../media/image13.emf"/><Relationship Id="rId5" Type="http://schemas.openxmlformats.org/officeDocument/2006/relationships/image" Target="../media/image9.emf"/><Relationship Id="rId4" Type="http://schemas.openxmlformats.org/officeDocument/2006/relationships/image" Target="../media/image10.emf"/></Relationships>
</file>

<file path=xl/drawings/_rels/vmlDrawing8.vml.rels><?xml version="1.0" encoding="UTF-8" standalone="yes"?>
<Relationships xmlns="http://schemas.openxmlformats.org/package/2006/relationships"><Relationship Id="rId3" Type="http://schemas.openxmlformats.org/officeDocument/2006/relationships/image" Target="../media/image16.emf"/><Relationship Id="rId2" Type="http://schemas.openxmlformats.org/officeDocument/2006/relationships/image" Target="../media/image17.emf"/><Relationship Id="rId1" Type="http://schemas.openxmlformats.org/officeDocument/2006/relationships/image" Target="../media/image18.emf"/><Relationship Id="rId4" Type="http://schemas.openxmlformats.org/officeDocument/2006/relationships/image" Target="../media/image15.emf"/></Relationships>
</file>

<file path=xl/drawings/_rels/vmlDrawing9.vml.rels><?xml version="1.0" encoding="UTF-8" standalone="yes"?>
<Relationships xmlns="http://schemas.openxmlformats.org/package/2006/relationships"><Relationship Id="rId3" Type="http://schemas.openxmlformats.org/officeDocument/2006/relationships/image" Target="../media/image21.emf"/><Relationship Id="rId2" Type="http://schemas.openxmlformats.org/officeDocument/2006/relationships/image" Target="../media/image22.emf"/><Relationship Id="rId1" Type="http://schemas.openxmlformats.org/officeDocument/2006/relationships/image" Target="../media/image23.emf"/><Relationship Id="rId5" Type="http://schemas.openxmlformats.org/officeDocument/2006/relationships/image" Target="../media/image19.emf"/><Relationship Id="rId4" Type="http://schemas.openxmlformats.org/officeDocument/2006/relationships/image" Target="../media/image20.emf"/></Relationships>
</file>

<file path=xl/drawings/_rels/vmlDrawing10.vml.rels><?xml version="1.0" encoding="UTF-8" standalone="yes"?>
<Relationships xmlns="http://schemas.openxmlformats.org/package/2006/relationships"><Relationship Id="rId3" Type="http://schemas.openxmlformats.org/officeDocument/2006/relationships/image" Target="../media/image28.emf"/><Relationship Id="rId7" Type="http://schemas.openxmlformats.org/officeDocument/2006/relationships/image" Target="../media/image24.emf"/><Relationship Id="rId2" Type="http://schemas.openxmlformats.org/officeDocument/2006/relationships/image" Target="../media/image29.emf"/><Relationship Id="rId1" Type="http://schemas.openxmlformats.org/officeDocument/2006/relationships/image" Target="../media/image30.emf"/><Relationship Id="rId6" Type="http://schemas.openxmlformats.org/officeDocument/2006/relationships/image" Target="../media/image25.emf"/><Relationship Id="rId5" Type="http://schemas.openxmlformats.org/officeDocument/2006/relationships/image" Target="../media/image26.emf"/><Relationship Id="rId4" Type="http://schemas.openxmlformats.org/officeDocument/2006/relationships/image" Target="../media/image27.emf"/></Relationships>
</file>

<file path=xl/drawings/_rels/vmlDrawing11.vml.rels><?xml version="1.0" encoding="UTF-8" standalone="yes"?>
<Relationships xmlns="http://schemas.openxmlformats.org/package/2006/relationships"><Relationship Id="rId3" Type="http://schemas.openxmlformats.org/officeDocument/2006/relationships/image" Target="../media/image34.emf"/><Relationship Id="rId2" Type="http://schemas.openxmlformats.org/officeDocument/2006/relationships/image" Target="../media/image35.emf"/><Relationship Id="rId1" Type="http://schemas.openxmlformats.org/officeDocument/2006/relationships/image" Target="../media/image36.emf"/><Relationship Id="rId6" Type="http://schemas.openxmlformats.org/officeDocument/2006/relationships/image" Target="../media/image31.emf"/><Relationship Id="rId5" Type="http://schemas.openxmlformats.org/officeDocument/2006/relationships/image" Target="../media/image32.emf"/><Relationship Id="rId4" Type="http://schemas.openxmlformats.org/officeDocument/2006/relationships/image" Target="../media/image33.emf"/></Relationships>
</file>

<file path=xl/drawings/_rels/vmlDrawing13.vml.rels><?xml version="1.0" encoding="UTF-8" standalone="yes"?>
<Relationships xmlns="http://schemas.openxmlformats.org/package/2006/relationships"><Relationship Id="rId3" Type="http://schemas.openxmlformats.org/officeDocument/2006/relationships/image" Target="../media/image42.emf"/><Relationship Id="rId2" Type="http://schemas.openxmlformats.org/officeDocument/2006/relationships/image" Target="../media/image43.emf"/><Relationship Id="rId1" Type="http://schemas.openxmlformats.org/officeDocument/2006/relationships/image" Target="../media/image44.emf"/><Relationship Id="rId6" Type="http://schemas.openxmlformats.org/officeDocument/2006/relationships/image" Target="../media/image39.emf"/><Relationship Id="rId5" Type="http://schemas.openxmlformats.org/officeDocument/2006/relationships/image" Target="../media/image40.emf"/><Relationship Id="rId4" Type="http://schemas.openxmlformats.org/officeDocument/2006/relationships/image" Target="../media/image41.emf"/></Relationships>
</file>

<file path=xl/drawings/_rels/vmlDrawing14.vml.rels><?xml version="1.0" encoding="UTF-8" standalone="yes"?>
<Relationships xmlns="http://schemas.openxmlformats.org/package/2006/relationships"><Relationship Id="rId3" Type="http://schemas.openxmlformats.org/officeDocument/2006/relationships/image" Target="../media/image49.emf"/><Relationship Id="rId7" Type="http://schemas.openxmlformats.org/officeDocument/2006/relationships/image" Target="../media/image45.emf"/><Relationship Id="rId2" Type="http://schemas.openxmlformats.org/officeDocument/2006/relationships/image" Target="../media/image50.emf"/><Relationship Id="rId1" Type="http://schemas.openxmlformats.org/officeDocument/2006/relationships/image" Target="../media/image51.emf"/><Relationship Id="rId6" Type="http://schemas.openxmlformats.org/officeDocument/2006/relationships/image" Target="../media/image46.emf"/><Relationship Id="rId5" Type="http://schemas.openxmlformats.org/officeDocument/2006/relationships/image" Target="../media/image47.emf"/><Relationship Id="rId4" Type="http://schemas.openxmlformats.org/officeDocument/2006/relationships/image" Target="../media/image48.emf"/></Relationships>
</file>

<file path=xl/drawings/_rels/vmlDrawing15.vml.rels><?xml version="1.0" encoding="UTF-8" standalone="yes"?>
<Relationships xmlns="http://schemas.openxmlformats.org/package/2006/relationships"><Relationship Id="rId3" Type="http://schemas.openxmlformats.org/officeDocument/2006/relationships/image" Target="../media/image54.emf"/><Relationship Id="rId2" Type="http://schemas.openxmlformats.org/officeDocument/2006/relationships/image" Target="../media/image55.emf"/><Relationship Id="rId1" Type="http://schemas.openxmlformats.org/officeDocument/2006/relationships/image" Target="../media/image56.emf"/><Relationship Id="rId5" Type="http://schemas.openxmlformats.org/officeDocument/2006/relationships/image" Target="../media/image52.emf"/><Relationship Id="rId4" Type="http://schemas.openxmlformats.org/officeDocument/2006/relationships/image" Target="../media/image53.emf"/></Relationships>
</file>

<file path=xl/drawings/_rels/vmlDrawing16.vml.rels><?xml version="1.0" encoding="UTF-8" standalone="yes"?>
<Relationships xmlns="http://schemas.openxmlformats.org/package/2006/relationships"><Relationship Id="rId3" Type="http://schemas.openxmlformats.org/officeDocument/2006/relationships/image" Target="../media/image58.emf"/><Relationship Id="rId2" Type="http://schemas.openxmlformats.org/officeDocument/2006/relationships/image" Target="../media/image59.emf"/><Relationship Id="rId1" Type="http://schemas.openxmlformats.org/officeDocument/2006/relationships/image" Target="../media/image60.emf"/><Relationship Id="rId4" Type="http://schemas.openxmlformats.org/officeDocument/2006/relationships/image" Target="../media/image57.emf"/></Relationships>
</file>

<file path=xl/drawings/_rels/vmlDrawing17.vml.rels><?xml version="1.0" encoding="UTF-8" standalone="yes"?>
<Relationships xmlns="http://schemas.openxmlformats.org/package/2006/relationships"><Relationship Id="rId3" Type="http://schemas.openxmlformats.org/officeDocument/2006/relationships/image" Target="../media/image63.emf"/><Relationship Id="rId2" Type="http://schemas.openxmlformats.org/officeDocument/2006/relationships/image" Target="../media/image64.emf"/><Relationship Id="rId1" Type="http://schemas.openxmlformats.org/officeDocument/2006/relationships/image" Target="../media/image65.emf"/><Relationship Id="rId5" Type="http://schemas.openxmlformats.org/officeDocument/2006/relationships/image" Target="../media/image61.emf"/><Relationship Id="rId4" Type="http://schemas.openxmlformats.org/officeDocument/2006/relationships/image" Target="../media/image62.emf"/></Relationships>
</file>

<file path=xl/drawings/_rels/vmlDrawing18.vml.rels><?xml version="1.0" encoding="UTF-8" standalone="yes"?>
<Relationships xmlns="http://schemas.openxmlformats.org/package/2006/relationships"><Relationship Id="rId3" Type="http://schemas.openxmlformats.org/officeDocument/2006/relationships/image" Target="../media/image70.emf"/><Relationship Id="rId7" Type="http://schemas.openxmlformats.org/officeDocument/2006/relationships/image" Target="../media/image66.emf"/><Relationship Id="rId2" Type="http://schemas.openxmlformats.org/officeDocument/2006/relationships/image" Target="../media/image71.emf"/><Relationship Id="rId1" Type="http://schemas.openxmlformats.org/officeDocument/2006/relationships/image" Target="../media/image72.emf"/><Relationship Id="rId6" Type="http://schemas.openxmlformats.org/officeDocument/2006/relationships/image" Target="../media/image67.emf"/><Relationship Id="rId5" Type="http://schemas.openxmlformats.org/officeDocument/2006/relationships/image" Target="../media/image68.emf"/><Relationship Id="rId4" Type="http://schemas.openxmlformats.org/officeDocument/2006/relationships/image" Target="../media/image69.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19050</xdr:colOff>
          <xdr:row>3</xdr:row>
          <xdr:rowOff>95250</xdr:rowOff>
        </xdr:from>
        <xdr:to>
          <xdr:col>4</xdr:col>
          <xdr:colOff>1003300</xdr:colOff>
          <xdr:row>4</xdr:row>
          <xdr:rowOff>114300</xdr:rowOff>
        </xdr:to>
        <xdr:sp macro="" textlink="">
          <xdr:nvSpPr>
            <xdr:cNvPr id="2049" name="cmdEnergySets" hidden="1">
              <a:extLst>
                <a:ext uri="{63B3BB69-23CF-44E3-9099-C40C66FF867C}">
                  <a14:compatExt spid="_x0000_s2049"/>
                </a:ext>
                <a:ext uri="{FF2B5EF4-FFF2-40B4-BE49-F238E27FC236}">
                  <a16:creationId xmlns:a16="http://schemas.microsoft.com/office/drawing/2014/main" id="{00000000-0008-0000-0000-000001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19050</xdr:colOff>
          <xdr:row>4</xdr:row>
          <xdr:rowOff>171450</xdr:rowOff>
        </xdr:from>
        <xdr:to>
          <xdr:col>4</xdr:col>
          <xdr:colOff>1003300</xdr:colOff>
          <xdr:row>5</xdr:row>
          <xdr:rowOff>190500</xdr:rowOff>
        </xdr:to>
        <xdr:sp macro="" textlink="">
          <xdr:nvSpPr>
            <xdr:cNvPr id="2051" name="cmdDemandSets" hidden="1">
              <a:extLst>
                <a:ext uri="{63B3BB69-23CF-44E3-9099-C40C66FF867C}">
                  <a14:compatExt spid="_x0000_s2051"/>
                </a:ext>
                <a:ext uri="{FF2B5EF4-FFF2-40B4-BE49-F238E27FC236}">
                  <a16:creationId xmlns:a16="http://schemas.microsoft.com/office/drawing/2014/main" id="{00000000-0008-0000-0000-000003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1009650</xdr:colOff>
          <xdr:row>4</xdr:row>
          <xdr:rowOff>171450</xdr:rowOff>
        </xdr:from>
        <xdr:to>
          <xdr:col>5</xdr:col>
          <xdr:colOff>12700</xdr:colOff>
          <xdr:row>5</xdr:row>
          <xdr:rowOff>190500</xdr:rowOff>
        </xdr:to>
        <xdr:sp macro="" textlink="">
          <xdr:nvSpPr>
            <xdr:cNvPr id="2052" name="cmdEmissionSets" hidden="1">
              <a:extLst>
                <a:ext uri="{63B3BB69-23CF-44E3-9099-C40C66FF867C}">
                  <a14:compatExt spid="_x0000_s2052"/>
                </a:ext>
                <a:ext uri="{FF2B5EF4-FFF2-40B4-BE49-F238E27FC236}">
                  <a16:creationId xmlns:a16="http://schemas.microsoft.com/office/drawing/2014/main" id="{00000000-0008-0000-0000-000004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1009650</xdr:colOff>
          <xdr:row>3</xdr:row>
          <xdr:rowOff>95250</xdr:rowOff>
        </xdr:from>
        <xdr:to>
          <xdr:col>5</xdr:col>
          <xdr:colOff>12700</xdr:colOff>
          <xdr:row>4</xdr:row>
          <xdr:rowOff>114300</xdr:rowOff>
        </xdr:to>
        <xdr:sp macro="" textlink="">
          <xdr:nvSpPr>
            <xdr:cNvPr id="2053" name="cmdMaterialSets" hidden="1">
              <a:extLst>
                <a:ext uri="{63B3BB69-23CF-44E3-9099-C40C66FF867C}">
                  <a14:compatExt spid="_x0000_s2053"/>
                </a:ext>
                <a:ext uri="{FF2B5EF4-FFF2-40B4-BE49-F238E27FC236}">
                  <a16:creationId xmlns:a16="http://schemas.microsoft.com/office/drawing/2014/main" id="{00000000-0008-0000-0000-000005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19050</xdr:colOff>
          <xdr:row>2</xdr:row>
          <xdr:rowOff>146050</xdr:rowOff>
        </xdr:from>
        <xdr:to>
          <xdr:col>0</xdr:col>
          <xdr:colOff>831850</xdr:colOff>
          <xdr:row>4</xdr:row>
          <xdr:rowOff>0</xdr:rowOff>
        </xdr:to>
        <xdr:sp macro="" textlink="">
          <xdr:nvSpPr>
            <xdr:cNvPr id="2061" name="cmdCheckCommoditiesSheet" hidden="1">
              <a:extLst>
                <a:ext uri="{63B3BB69-23CF-44E3-9099-C40C66FF867C}">
                  <a14:compatExt spid="_x0000_s2061"/>
                </a:ext>
                <a:ext uri="{FF2B5EF4-FFF2-40B4-BE49-F238E27FC236}">
                  <a16:creationId xmlns:a16="http://schemas.microsoft.com/office/drawing/2014/main" id="{00000000-0008-0000-0000-00000D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4</xdr:row>
          <xdr:rowOff>171450</xdr:rowOff>
        </xdr:from>
        <xdr:to>
          <xdr:col>4</xdr:col>
          <xdr:colOff>12700</xdr:colOff>
          <xdr:row>5</xdr:row>
          <xdr:rowOff>190500</xdr:rowOff>
        </xdr:to>
        <xdr:sp macro="" textlink="">
          <xdr:nvSpPr>
            <xdr:cNvPr id="2063" name="cmdCommUnit" hidden="1">
              <a:extLst>
                <a:ext uri="{63B3BB69-23CF-44E3-9099-C40C66FF867C}">
                  <a14:compatExt spid="_x0000_s2063"/>
                </a:ext>
                <a:ext uri="{FF2B5EF4-FFF2-40B4-BE49-F238E27FC236}">
                  <a16:creationId xmlns:a16="http://schemas.microsoft.com/office/drawing/2014/main" id="{00000000-0008-0000-0000-00000F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69850</xdr:colOff>
          <xdr:row>2</xdr:row>
          <xdr:rowOff>114300</xdr:rowOff>
        </xdr:from>
        <xdr:to>
          <xdr:col>3</xdr:col>
          <xdr:colOff>628650</xdr:colOff>
          <xdr:row>4</xdr:row>
          <xdr:rowOff>107950</xdr:rowOff>
        </xdr:to>
        <xdr:sp macro="" textlink="">
          <xdr:nvSpPr>
            <xdr:cNvPr id="2073" name="cmdRefreshUnits" hidden="1">
              <a:extLst>
                <a:ext uri="{63B3BB69-23CF-44E3-9099-C40C66FF867C}">
                  <a14:compatExt spid="_x0000_s2073"/>
                </a:ext>
                <a:ext uri="{FF2B5EF4-FFF2-40B4-BE49-F238E27FC236}">
                  <a16:creationId xmlns:a16="http://schemas.microsoft.com/office/drawing/2014/main" id="{00000000-0008-0000-0000-000019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552450</xdr:colOff>
          <xdr:row>2</xdr:row>
          <xdr:rowOff>0</xdr:rowOff>
        </xdr:from>
        <xdr:to>
          <xdr:col>4</xdr:col>
          <xdr:colOff>1536700</xdr:colOff>
          <xdr:row>3</xdr:row>
          <xdr:rowOff>76200</xdr:rowOff>
        </xdr:to>
        <xdr:sp macro="" textlink="">
          <xdr:nvSpPr>
            <xdr:cNvPr id="2074" name="cmdTaxSubSets" hidden="1">
              <a:extLst>
                <a:ext uri="{63B3BB69-23CF-44E3-9099-C40C66FF867C}">
                  <a14:compatExt spid="_x0000_s2074"/>
                </a:ext>
                <a:ext uri="{FF2B5EF4-FFF2-40B4-BE49-F238E27FC236}">
                  <a16:creationId xmlns:a16="http://schemas.microsoft.com/office/drawing/2014/main" id="{00000000-0008-0000-0000-00001A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19050</xdr:colOff>
          <xdr:row>4</xdr:row>
          <xdr:rowOff>19050</xdr:rowOff>
        </xdr:from>
        <xdr:to>
          <xdr:col>5</xdr:col>
          <xdr:colOff>1822450</xdr:colOff>
          <xdr:row>5</xdr:row>
          <xdr:rowOff>95250</xdr:rowOff>
        </xdr:to>
        <xdr:sp macro="" textlink="">
          <xdr:nvSpPr>
            <xdr:cNvPr id="1025" name="cmdTechnologySets" hidden="1">
              <a:extLst>
                <a:ext uri="{63B3BB69-23CF-44E3-9099-C40C66FF867C}">
                  <a14:compatExt spid="_x0000_s1025"/>
                </a:ext>
                <a:ext uri="{FF2B5EF4-FFF2-40B4-BE49-F238E27FC236}">
                  <a16:creationId xmlns:a16="http://schemas.microsoft.com/office/drawing/2014/main" id="{00000000-0008-0000-0100-00000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19050</xdr:colOff>
          <xdr:row>2</xdr:row>
          <xdr:rowOff>152400</xdr:rowOff>
        </xdr:from>
        <xdr:to>
          <xdr:col>1</xdr:col>
          <xdr:colOff>0</xdr:colOff>
          <xdr:row>4</xdr:row>
          <xdr:rowOff>0</xdr:rowOff>
        </xdr:to>
        <xdr:sp macro="" textlink="">
          <xdr:nvSpPr>
            <xdr:cNvPr id="1034" name="cmdCheckTechnologiesSheet" hidden="1">
              <a:extLst>
                <a:ext uri="{63B3BB69-23CF-44E3-9099-C40C66FF867C}">
                  <a14:compatExt spid="_x0000_s1034"/>
                </a:ext>
                <a:ext uri="{FF2B5EF4-FFF2-40B4-BE49-F238E27FC236}">
                  <a16:creationId xmlns:a16="http://schemas.microsoft.com/office/drawing/2014/main" id="{00000000-0008-0000-0100-00000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4</xdr:row>
          <xdr:rowOff>19050</xdr:rowOff>
        </xdr:from>
        <xdr:to>
          <xdr:col>4</xdr:col>
          <xdr:colOff>19050</xdr:colOff>
          <xdr:row>5</xdr:row>
          <xdr:rowOff>95250</xdr:rowOff>
        </xdr:to>
        <xdr:sp macro="" textlink="">
          <xdr:nvSpPr>
            <xdr:cNvPr id="1035" name="cmdTACTUnit" hidden="1">
              <a:extLst>
                <a:ext uri="{63B3BB69-23CF-44E3-9099-C40C66FF867C}">
                  <a14:compatExt spid="_x0000_s1035"/>
                </a:ext>
                <a:ext uri="{FF2B5EF4-FFF2-40B4-BE49-F238E27FC236}">
                  <a16:creationId xmlns:a16="http://schemas.microsoft.com/office/drawing/2014/main" id="{00000000-0008-0000-0100-00000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19050</xdr:colOff>
          <xdr:row>4</xdr:row>
          <xdr:rowOff>19050</xdr:rowOff>
        </xdr:from>
        <xdr:to>
          <xdr:col>5</xdr:col>
          <xdr:colOff>19050</xdr:colOff>
          <xdr:row>5</xdr:row>
          <xdr:rowOff>95250</xdr:rowOff>
        </xdr:to>
        <xdr:sp macro="" textlink="">
          <xdr:nvSpPr>
            <xdr:cNvPr id="1036" name="cmdTCAPUnit" hidden="1">
              <a:extLst>
                <a:ext uri="{63B3BB69-23CF-44E3-9099-C40C66FF867C}">
                  <a14:compatExt spid="_x0000_s1036"/>
                </a:ext>
                <a:ext uri="{FF2B5EF4-FFF2-40B4-BE49-F238E27FC236}">
                  <a16:creationId xmlns:a16="http://schemas.microsoft.com/office/drawing/2014/main" id="{00000000-0008-0000-0100-00000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381000</xdr:colOff>
          <xdr:row>1</xdr:row>
          <xdr:rowOff>152400</xdr:rowOff>
        </xdr:from>
        <xdr:to>
          <xdr:col>4</xdr:col>
          <xdr:colOff>285750</xdr:colOff>
          <xdr:row>3</xdr:row>
          <xdr:rowOff>209550</xdr:rowOff>
        </xdr:to>
        <xdr:sp macro="" textlink="">
          <xdr:nvSpPr>
            <xdr:cNvPr id="1135" name="cmdRefreshUnits" hidden="1">
              <a:extLst>
                <a:ext uri="{63B3BB69-23CF-44E3-9099-C40C66FF867C}">
                  <a14:compatExt spid="_x0000_s1135"/>
                </a:ext>
                <a:ext uri="{FF2B5EF4-FFF2-40B4-BE49-F238E27FC236}">
                  <a16:creationId xmlns:a16="http://schemas.microsoft.com/office/drawing/2014/main" id="{00000000-0008-0000-0100-00006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14</xdr:col>
      <xdr:colOff>240926</xdr:colOff>
      <xdr:row>33</xdr:row>
      <xdr:rowOff>135590</xdr:rowOff>
    </xdr:from>
    <xdr:to>
      <xdr:col>20</xdr:col>
      <xdr:colOff>240926</xdr:colOff>
      <xdr:row>51</xdr:row>
      <xdr:rowOff>54908</xdr:rowOff>
    </xdr:to>
    <xdr:graphicFrame macro="">
      <xdr:nvGraphicFramePr>
        <xdr:cNvPr id="8" name="Chart 7">
          <a:extLst>
            <a:ext uri="{FF2B5EF4-FFF2-40B4-BE49-F238E27FC236}">
              <a16:creationId xmlns:a16="http://schemas.microsoft.com/office/drawing/2014/main" id="{00000000-0008-0000-0E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274544</xdr:colOff>
      <xdr:row>33</xdr:row>
      <xdr:rowOff>146797</xdr:rowOff>
    </xdr:from>
    <xdr:to>
      <xdr:col>25</xdr:col>
      <xdr:colOff>644338</xdr:colOff>
      <xdr:row>51</xdr:row>
      <xdr:rowOff>66115</xdr:rowOff>
    </xdr:to>
    <xdr:graphicFrame macro="">
      <xdr:nvGraphicFramePr>
        <xdr:cNvPr id="9" name="Chart 8">
          <a:extLst>
            <a:ext uri="{FF2B5EF4-FFF2-40B4-BE49-F238E27FC236}">
              <a16:creationId xmlns:a16="http://schemas.microsoft.com/office/drawing/2014/main" id="{00000000-0008-0000-0E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17</xdr:col>
      <xdr:colOff>500062</xdr:colOff>
      <xdr:row>76</xdr:row>
      <xdr:rowOff>23812</xdr:rowOff>
    </xdr:from>
    <xdr:to>
      <xdr:col>22</xdr:col>
      <xdr:colOff>557212</xdr:colOff>
      <xdr:row>93</xdr:row>
      <xdr:rowOff>14287</xdr:rowOff>
    </xdr:to>
    <xdr:graphicFrame macro="">
      <xdr:nvGraphicFramePr>
        <xdr:cNvPr id="12" name="Chart 11">
          <a:extLst>
            <a:ext uri="{FF2B5EF4-FFF2-40B4-BE49-F238E27FC236}">
              <a16:creationId xmlns:a16="http://schemas.microsoft.com/office/drawing/2014/main" id="{00000000-0008-0000-0F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31</xdr:col>
      <xdr:colOff>100012</xdr:colOff>
      <xdr:row>26</xdr:row>
      <xdr:rowOff>14287</xdr:rowOff>
    </xdr:from>
    <xdr:to>
      <xdr:col>38</xdr:col>
      <xdr:colOff>404812</xdr:colOff>
      <xdr:row>42</xdr:row>
      <xdr:rowOff>80962</xdr:rowOff>
    </xdr:to>
    <xdr:graphicFrame macro="">
      <xdr:nvGraphicFramePr>
        <xdr:cNvPr id="13" name="Chart 12">
          <a:extLst>
            <a:ext uri="{FF2B5EF4-FFF2-40B4-BE49-F238E27FC236}">
              <a16:creationId xmlns:a16="http://schemas.microsoft.com/office/drawing/2014/main" id="{00000000-0008-0000-0F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31</xdr:col>
      <xdr:colOff>100012</xdr:colOff>
      <xdr:row>42</xdr:row>
      <xdr:rowOff>157162</xdr:rowOff>
    </xdr:from>
    <xdr:to>
      <xdr:col>38</xdr:col>
      <xdr:colOff>404812</xdr:colOff>
      <xdr:row>58</xdr:row>
      <xdr:rowOff>185737</xdr:rowOff>
    </xdr:to>
    <xdr:graphicFrame macro="">
      <xdr:nvGraphicFramePr>
        <xdr:cNvPr id="14" name="Chart 13">
          <a:extLst>
            <a:ext uri="{FF2B5EF4-FFF2-40B4-BE49-F238E27FC236}">
              <a16:creationId xmlns:a16="http://schemas.microsoft.com/office/drawing/2014/main" id="{00000000-0008-0000-0F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139700</xdr:colOff>
      <xdr:row>0</xdr:row>
      <xdr:rowOff>88900</xdr:rowOff>
    </xdr:from>
    <xdr:to>
      <xdr:col>12</xdr:col>
      <xdr:colOff>584200</xdr:colOff>
      <xdr:row>16</xdr:row>
      <xdr:rowOff>165100</xdr:rowOff>
    </xdr:to>
    <xdr:graphicFrame macro="">
      <xdr:nvGraphicFramePr>
        <xdr:cNvPr id="2" name="Chart 1">
          <a:extLst>
            <a:ext uri="{FF2B5EF4-FFF2-40B4-BE49-F238E27FC236}">
              <a16:creationId xmlns:a16="http://schemas.microsoft.com/office/drawing/2014/main" id="{00000000-0008-0000-17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657225</xdr:colOff>
      <xdr:row>0</xdr:row>
      <xdr:rowOff>85725</xdr:rowOff>
    </xdr:from>
    <xdr:to>
      <xdr:col>18</xdr:col>
      <xdr:colOff>273050</xdr:colOff>
      <xdr:row>17</xdr:row>
      <xdr:rowOff>0</xdr:rowOff>
    </xdr:to>
    <xdr:graphicFrame macro="">
      <xdr:nvGraphicFramePr>
        <xdr:cNvPr id="8" name="Chart 7">
          <a:extLst>
            <a:ext uri="{FF2B5EF4-FFF2-40B4-BE49-F238E27FC236}">
              <a16:creationId xmlns:a16="http://schemas.microsoft.com/office/drawing/2014/main" id="{00000000-0008-0000-17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152400</xdr:colOff>
      <xdr:row>17</xdr:row>
      <xdr:rowOff>85725</xdr:rowOff>
    </xdr:from>
    <xdr:to>
      <xdr:col>12</xdr:col>
      <xdr:colOff>596900</xdr:colOff>
      <xdr:row>33</xdr:row>
      <xdr:rowOff>76200</xdr:rowOff>
    </xdr:to>
    <xdr:graphicFrame macro="">
      <xdr:nvGraphicFramePr>
        <xdr:cNvPr id="9" name="Chart 8">
          <a:extLst>
            <a:ext uri="{FF2B5EF4-FFF2-40B4-BE49-F238E27FC236}">
              <a16:creationId xmlns:a16="http://schemas.microsoft.com/office/drawing/2014/main" id="{00000000-0008-0000-17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676275</xdr:colOff>
      <xdr:row>17</xdr:row>
      <xdr:rowOff>76200</xdr:rowOff>
    </xdr:from>
    <xdr:to>
      <xdr:col>18</xdr:col>
      <xdr:colOff>292100</xdr:colOff>
      <xdr:row>33</xdr:row>
      <xdr:rowOff>66675</xdr:rowOff>
    </xdr:to>
    <xdr:graphicFrame macro="">
      <xdr:nvGraphicFramePr>
        <xdr:cNvPr id="10" name="Chart 9">
          <a:extLst>
            <a:ext uri="{FF2B5EF4-FFF2-40B4-BE49-F238E27FC236}">
              <a16:creationId xmlns:a16="http://schemas.microsoft.com/office/drawing/2014/main" id="{00000000-0008-0000-17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152400</xdr:colOff>
      <xdr:row>33</xdr:row>
      <xdr:rowOff>133350</xdr:rowOff>
    </xdr:from>
    <xdr:to>
      <xdr:col>12</xdr:col>
      <xdr:colOff>596900</xdr:colOff>
      <xdr:row>50</xdr:row>
      <xdr:rowOff>19050</xdr:rowOff>
    </xdr:to>
    <xdr:graphicFrame macro="">
      <xdr:nvGraphicFramePr>
        <xdr:cNvPr id="11" name="Chart 10">
          <a:extLst>
            <a:ext uri="{FF2B5EF4-FFF2-40B4-BE49-F238E27FC236}">
              <a16:creationId xmlns:a16="http://schemas.microsoft.com/office/drawing/2014/main" id="{00000000-0008-0000-17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6.xml><?xml version="1.0" encoding="utf-8"?>
<xdr:wsDr xmlns:xdr="http://schemas.openxmlformats.org/drawingml/2006/spreadsheetDrawing" xmlns:a="http://schemas.openxmlformats.org/drawingml/2006/main">
  <xdr:oneCellAnchor>
    <xdr:from>
      <xdr:col>19</xdr:col>
      <xdr:colOff>0</xdr:colOff>
      <xdr:row>56</xdr:row>
      <xdr:rowOff>0</xdr:rowOff>
    </xdr:from>
    <xdr:ext cx="7607705" cy="2071687"/>
    <xdr:pic>
      <xdr:nvPicPr>
        <xdr:cNvPr id="2" name="Picture 1">
          <a:extLst>
            <a:ext uri="{FF2B5EF4-FFF2-40B4-BE49-F238E27FC236}">
              <a16:creationId xmlns:a16="http://schemas.microsoft.com/office/drawing/2014/main" id="{00000000-0008-0000-1A00-000002000000}"/>
            </a:ext>
          </a:extLst>
        </xdr:cNvPr>
        <xdr:cNvPicPr>
          <a:picLocks noChangeAspect="1"/>
        </xdr:cNvPicPr>
      </xdr:nvPicPr>
      <xdr:blipFill>
        <a:blip xmlns:r="http://schemas.openxmlformats.org/officeDocument/2006/relationships" r:embed="rId1"/>
        <a:stretch>
          <a:fillRect/>
        </a:stretch>
      </xdr:blipFill>
      <xdr:spPr>
        <a:xfrm>
          <a:off x="13477875" y="3238500"/>
          <a:ext cx="7607705" cy="2071687"/>
        </a:xfrm>
        <a:prstGeom prst="rect">
          <a:avLst/>
        </a:prstGeom>
        <a:ln w="25400">
          <a:solidFill>
            <a:schemeClr val="tx1"/>
          </a:solidFill>
        </a:ln>
      </xdr:spPr>
    </xdr:pic>
    <xdr:clientData/>
  </xdr:oneCellAnchor>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19050</xdr:colOff>
          <xdr:row>4</xdr:row>
          <xdr:rowOff>19050</xdr:rowOff>
        </xdr:from>
        <xdr:to>
          <xdr:col>4</xdr:col>
          <xdr:colOff>1003300</xdr:colOff>
          <xdr:row>5</xdr:row>
          <xdr:rowOff>38100</xdr:rowOff>
        </xdr:to>
        <xdr:sp macro="" textlink="">
          <xdr:nvSpPr>
            <xdr:cNvPr id="10242" name="cmdConstraintSets" hidden="1">
              <a:extLst>
                <a:ext uri="{63B3BB69-23CF-44E3-9099-C40C66FF867C}">
                  <a14:compatExt spid="_x0000_s10242"/>
                </a:ext>
                <a:ext uri="{FF2B5EF4-FFF2-40B4-BE49-F238E27FC236}">
                  <a16:creationId xmlns:a16="http://schemas.microsoft.com/office/drawing/2014/main" id="{00000000-0008-0000-1E00-000002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19050</xdr:colOff>
          <xdr:row>3</xdr:row>
          <xdr:rowOff>0</xdr:rowOff>
        </xdr:from>
        <xdr:to>
          <xdr:col>1</xdr:col>
          <xdr:colOff>12700</xdr:colOff>
          <xdr:row>4</xdr:row>
          <xdr:rowOff>0</xdr:rowOff>
        </xdr:to>
        <xdr:sp macro="" textlink="">
          <xdr:nvSpPr>
            <xdr:cNvPr id="10246" name="cmdCheckConstraintsSheet" hidden="1">
              <a:extLst>
                <a:ext uri="{63B3BB69-23CF-44E3-9099-C40C66FF867C}">
                  <a14:compatExt spid="_x0000_s10246"/>
                </a:ext>
                <a:ext uri="{FF2B5EF4-FFF2-40B4-BE49-F238E27FC236}">
                  <a16:creationId xmlns:a16="http://schemas.microsoft.com/office/drawing/2014/main" id="{00000000-0008-0000-1E00-000006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4</xdr:row>
          <xdr:rowOff>19050</xdr:rowOff>
        </xdr:from>
        <xdr:to>
          <xdr:col>4</xdr:col>
          <xdr:colOff>0</xdr:colOff>
          <xdr:row>5</xdr:row>
          <xdr:rowOff>38100</xdr:rowOff>
        </xdr:to>
        <xdr:sp macro="" textlink="">
          <xdr:nvSpPr>
            <xdr:cNvPr id="10247" name="cmdConstraintUnit" hidden="1">
              <a:extLst>
                <a:ext uri="{63B3BB69-23CF-44E3-9099-C40C66FF867C}">
                  <a14:compatExt spid="_x0000_s10247"/>
                </a:ext>
                <a:ext uri="{FF2B5EF4-FFF2-40B4-BE49-F238E27FC236}">
                  <a16:creationId xmlns:a16="http://schemas.microsoft.com/office/drawing/2014/main" id="{00000000-0008-0000-1E00-000007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2</xdr:row>
          <xdr:rowOff>57150</xdr:rowOff>
        </xdr:from>
        <xdr:to>
          <xdr:col>4</xdr:col>
          <xdr:colOff>0</xdr:colOff>
          <xdr:row>4</xdr:row>
          <xdr:rowOff>38100</xdr:rowOff>
        </xdr:to>
        <xdr:sp macro="" textlink="">
          <xdr:nvSpPr>
            <xdr:cNvPr id="10359" name="cmdRefreshUnits" hidden="1">
              <a:extLst>
                <a:ext uri="{63B3BB69-23CF-44E3-9099-C40C66FF867C}">
                  <a14:compatExt spid="_x0000_s10359"/>
                </a:ext>
                <a:ext uri="{FF2B5EF4-FFF2-40B4-BE49-F238E27FC236}">
                  <a16:creationId xmlns:a16="http://schemas.microsoft.com/office/drawing/2014/main" id="{00000000-0008-0000-1E00-000077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19050</xdr:colOff>
          <xdr:row>4</xdr:row>
          <xdr:rowOff>19050</xdr:rowOff>
        </xdr:from>
        <xdr:to>
          <xdr:col>1</xdr:col>
          <xdr:colOff>0</xdr:colOff>
          <xdr:row>5</xdr:row>
          <xdr:rowOff>12700</xdr:rowOff>
        </xdr:to>
        <xdr:sp macro="" textlink="">
          <xdr:nvSpPr>
            <xdr:cNvPr id="4097" name="cmdAddParameter" hidden="1">
              <a:extLst>
                <a:ext uri="{63B3BB69-23CF-44E3-9099-C40C66FF867C}">
                  <a14:compatExt spid="_x0000_s4097"/>
                </a:ext>
                <a:ext uri="{FF2B5EF4-FFF2-40B4-BE49-F238E27FC236}">
                  <a16:creationId xmlns:a16="http://schemas.microsoft.com/office/drawing/2014/main" id="{00000000-0008-0000-1F00-00000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xdr:row>
          <xdr:rowOff>19050</xdr:rowOff>
        </xdr:from>
        <xdr:to>
          <xdr:col>2</xdr:col>
          <xdr:colOff>1390650</xdr:colOff>
          <xdr:row>4</xdr:row>
          <xdr:rowOff>0</xdr:rowOff>
        </xdr:to>
        <xdr:sp macro="" textlink="">
          <xdr:nvSpPr>
            <xdr:cNvPr id="4098" name="cmdCommNameAndDesc" hidden="1">
              <a:extLst>
                <a:ext uri="{63B3BB69-23CF-44E3-9099-C40C66FF867C}">
                  <a14:compatExt spid="_x0000_s4098"/>
                </a:ext>
                <a:ext uri="{FF2B5EF4-FFF2-40B4-BE49-F238E27FC236}">
                  <a16:creationId xmlns:a16="http://schemas.microsoft.com/office/drawing/2014/main" id="{00000000-0008-0000-1F00-00000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19050</xdr:colOff>
          <xdr:row>5</xdr:row>
          <xdr:rowOff>0</xdr:rowOff>
        </xdr:from>
        <xdr:to>
          <xdr:col>1</xdr:col>
          <xdr:colOff>0</xdr:colOff>
          <xdr:row>5</xdr:row>
          <xdr:rowOff>241300</xdr:rowOff>
        </xdr:to>
        <xdr:sp macro="" textlink="">
          <xdr:nvSpPr>
            <xdr:cNvPr id="4100" name="cmdAddParamQualifier" hidden="1">
              <a:extLst>
                <a:ext uri="{63B3BB69-23CF-44E3-9099-C40C66FF867C}">
                  <a14:compatExt spid="_x0000_s4100"/>
                </a:ext>
                <a:ext uri="{FF2B5EF4-FFF2-40B4-BE49-F238E27FC236}">
                  <a16:creationId xmlns:a16="http://schemas.microsoft.com/office/drawing/2014/main" id="{00000000-0008-0000-1F00-00000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19050</xdr:colOff>
          <xdr:row>3</xdr:row>
          <xdr:rowOff>19050</xdr:rowOff>
        </xdr:from>
        <xdr:to>
          <xdr:col>1</xdr:col>
          <xdr:colOff>0</xdr:colOff>
          <xdr:row>4</xdr:row>
          <xdr:rowOff>0</xdr:rowOff>
        </xdr:to>
        <xdr:sp macro="" textlink="">
          <xdr:nvSpPr>
            <xdr:cNvPr id="4106" name="cmdCheckCommDataSheet" hidden="1">
              <a:extLst>
                <a:ext uri="{63B3BB69-23CF-44E3-9099-C40C66FF867C}">
                  <a14:compatExt spid="_x0000_s4106"/>
                </a:ext>
                <a:ext uri="{FF2B5EF4-FFF2-40B4-BE49-F238E27FC236}">
                  <a16:creationId xmlns:a16="http://schemas.microsoft.com/office/drawing/2014/main" id="{00000000-0008-0000-1F00-00000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1409700</xdr:colOff>
          <xdr:row>2</xdr:row>
          <xdr:rowOff>76200</xdr:rowOff>
        </xdr:from>
        <xdr:to>
          <xdr:col>4</xdr:col>
          <xdr:colOff>0</xdr:colOff>
          <xdr:row>4</xdr:row>
          <xdr:rowOff>0</xdr:rowOff>
        </xdr:to>
        <xdr:sp macro="" textlink="">
          <xdr:nvSpPr>
            <xdr:cNvPr id="4299" name="cmdRefreshUnits" hidden="1">
              <a:extLst>
                <a:ext uri="{63B3BB69-23CF-44E3-9099-C40C66FF867C}">
                  <a14:compatExt spid="_x0000_s4299"/>
                </a:ext>
                <a:ext uri="{FF2B5EF4-FFF2-40B4-BE49-F238E27FC236}">
                  <a16:creationId xmlns:a16="http://schemas.microsoft.com/office/drawing/2014/main" id="{00000000-0008-0000-1F00-0000C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38100</xdr:colOff>
          <xdr:row>2</xdr:row>
          <xdr:rowOff>152400</xdr:rowOff>
        </xdr:from>
        <xdr:to>
          <xdr:col>2</xdr:col>
          <xdr:colOff>1581150</xdr:colOff>
          <xdr:row>4</xdr:row>
          <xdr:rowOff>12700</xdr:rowOff>
        </xdr:to>
        <xdr:sp macro="" textlink="">
          <xdr:nvSpPr>
            <xdr:cNvPr id="3074" name="cmdTechNameAndDesc" hidden="1">
              <a:extLst>
                <a:ext uri="{63B3BB69-23CF-44E3-9099-C40C66FF867C}">
                  <a14:compatExt spid="_x0000_s3074"/>
                </a:ext>
                <a:ext uri="{FF2B5EF4-FFF2-40B4-BE49-F238E27FC236}">
                  <a16:creationId xmlns:a16="http://schemas.microsoft.com/office/drawing/2014/main" id="{00000000-0008-0000-2000-000002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19050</xdr:colOff>
          <xdr:row>2</xdr:row>
          <xdr:rowOff>146050</xdr:rowOff>
        </xdr:from>
        <xdr:to>
          <xdr:col>5</xdr:col>
          <xdr:colOff>12700</xdr:colOff>
          <xdr:row>4</xdr:row>
          <xdr:rowOff>0</xdr:rowOff>
        </xdr:to>
        <xdr:sp macro="" textlink="">
          <xdr:nvSpPr>
            <xdr:cNvPr id="3075" name="cmdCommIN" hidden="1">
              <a:extLst>
                <a:ext uri="{63B3BB69-23CF-44E3-9099-C40C66FF867C}">
                  <a14:compatExt spid="_x0000_s3075"/>
                </a:ext>
                <a:ext uri="{FF2B5EF4-FFF2-40B4-BE49-F238E27FC236}">
                  <a16:creationId xmlns:a16="http://schemas.microsoft.com/office/drawing/2014/main" id="{00000000-0008-0000-2000-000003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2</xdr:row>
          <xdr:rowOff>146050</xdr:rowOff>
        </xdr:from>
        <xdr:to>
          <xdr:col>6</xdr:col>
          <xdr:colOff>12700</xdr:colOff>
          <xdr:row>4</xdr:row>
          <xdr:rowOff>0</xdr:rowOff>
        </xdr:to>
        <xdr:sp macro="" textlink="">
          <xdr:nvSpPr>
            <xdr:cNvPr id="3076" name="cmdCommOUT" hidden="1">
              <a:extLst>
                <a:ext uri="{63B3BB69-23CF-44E3-9099-C40C66FF867C}">
                  <a14:compatExt spid="_x0000_s3076"/>
                </a:ext>
                <a:ext uri="{FF2B5EF4-FFF2-40B4-BE49-F238E27FC236}">
                  <a16:creationId xmlns:a16="http://schemas.microsoft.com/office/drawing/2014/main" id="{00000000-0008-0000-2000-000004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19050</xdr:colOff>
          <xdr:row>4</xdr:row>
          <xdr:rowOff>0</xdr:rowOff>
        </xdr:from>
        <xdr:to>
          <xdr:col>1</xdr:col>
          <xdr:colOff>19050</xdr:colOff>
          <xdr:row>5</xdr:row>
          <xdr:rowOff>12700</xdr:rowOff>
        </xdr:to>
        <xdr:sp macro="" textlink="">
          <xdr:nvSpPr>
            <xdr:cNvPr id="3077" name="cmdAddParameter" hidden="1">
              <a:extLst>
                <a:ext uri="{63B3BB69-23CF-44E3-9099-C40C66FF867C}">
                  <a14:compatExt spid="_x0000_s3077"/>
                </a:ext>
                <a:ext uri="{FF2B5EF4-FFF2-40B4-BE49-F238E27FC236}">
                  <a16:creationId xmlns:a16="http://schemas.microsoft.com/office/drawing/2014/main" id="{00000000-0008-0000-2000-000005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19050</xdr:colOff>
          <xdr:row>5</xdr:row>
          <xdr:rowOff>19050</xdr:rowOff>
        </xdr:from>
        <xdr:to>
          <xdr:col>1</xdr:col>
          <xdr:colOff>19050</xdr:colOff>
          <xdr:row>6</xdr:row>
          <xdr:rowOff>31750</xdr:rowOff>
        </xdr:to>
        <xdr:sp macro="" textlink="">
          <xdr:nvSpPr>
            <xdr:cNvPr id="3079" name="cmdAddParamQualifier" hidden="1">
              <a:extLst>
                <a:ext uri="{63B3BB69-23CF-44E3-9099-C40C66FF867C}">
                  <a14:compatExt spid="_x0000_s3079"/>
                </a:ext>
                <a:ext uri="{FF2B5EF4-FFF2-40B4-BE49-F238E27FC236}">
                  <a16:creationId xmlns:a16="http://schemas.microsoft.com/office/drawing/2014/main" id="{00000000-0008-0000-2000-000007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19050</xdr:colOff>
          <xdr:row>2</xdr:row>
          <xdr:rowOff>152400</xdr:rowOff>
        </xdr:from>
        <xdr:to>
          <xdr:col>1</xdr:col>
          <xdr:colOff>19050</xdr:colOff>
          <xdr:row>4</xdr:row>
          <xdr:rowOff>19050</xdr:rowOff>
        </xdr:to>
        <xdr:sp macro="" textlink="">
          <xdr:nvSpPr>
            <xdr:cNvPr id="3080" name="cmdCheckTechDataSheet" hidden="1">
              <a:extLst>
                <a:ext uri="{63B3BB69-23CF-44E3-9099-C40C66FF867C}">
                  <a14:compatExt spid="_x0000_s3080"/>
                </a:ext>
                <a:ext uri="{FF2B5EF4-FFF2-40B4-BE49-F238E27FC236}">
                  <a16:creationId xmlns:a16="http://schemas.microsoft.com/office/drawing/2014/main" id="{00000000-0008-0000-2000-000008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xdr:row>
          <xdr:rowOff>19050</xdr:rowOff>
        </xdr:from>
        <xdr:to>
          <xdr:col>4</xdr:col>
          <xdr:colOff>38100</xdr:colOff>
          <xdr:row>4</xdr:row>
          <xdr:rowOff>19050</xdr:rowOff>
        </xdr:to>
        <xdr:sp macro="" textlink="">
          <xdr:nvSpPr>
            <xdr:cNvPr id="3112" name="cmdRefreshUnits" hidden="1">
              <a:extLst>
                <a:ext uri="{63B3BB69-23CF-44E3-9099-C40C66FF867C}">
                  <a14:compatExt spid="_x0000_s3112"/>
                </a:ext>
                <a:ext uri="{FF2B5EF4-FFF2-40B4-BE49-F238E27FC236}">
                  <a16:creationId xmlns:a16="http://schemas.microsoft.com/office/drawing/2014/main" id="{00000000-0008-0000-2000-000028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19050</xdr:colOff>
          <xdr:row>3</xdr:row>
          <xdr:rowOff>0</xdr:rowOff>
        </xdr:from>
        <xdr:to>
          <xdr:col>2</xdr:col>
          <xdr:colOff>1009650</xdr:colOff>
          <xdr:row>4</xdr:row>
          <xdr:rowOff>19050</xdr:rowOff>
        </xdr:to>
        <xdr:sp macro="" textlink="">
          <xdr:nvSpPr>
            <xdr:cNvPr id="11265" name="cmdConstrNameAndDesc" hidden="1">
              <a:extLst>
                <a:ext uri="{63B3BB69-23CF-44E3-9099-C40C66FF867C}">
                  <a14:compatExt spid="_x0000_s11265"/>
                </a:ext>
                <a:ext uri="{FF2B5EF4-FFF2-40B4-BE49-F238E27FC236}">
                  <a16:creationId xmlns:a16="http://schemas.microsoft.com/office/drawing/2014/main" id="{00000000-0008-0000-2100-000001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3</xdr:row>
          <xdr:rowOff>0</xdr:rowOff>
        </xdr:from>
        <xdr:to>
          <xdr:col>4</xdr:col>
          <xdr:colOff>660400</xdr:colOff>
          <xdr:row>4</xdr:row>
          <xdr:rowOff>19050</xdr:rowOff>
        </xdr:to>
        <xdr:sp macro="" textlink="">
          <xdr:nvSpPr>
            <xdr:cNvPr id="11266" name="cmdTechName" hidden="1">
              <a:extLst>
                <a:ext uri="{63B3BB69-23CF-44E3-9099-C40C66FF867C}">
                  <a14:compatExt spid="_x0000_s11266"/>
                </a:ext>
                <a:ext uri="{FF2B5EF4-FFF2-40B4-BE49-F238E27FC236}">
                  <a16:creationId xmlns:a16="http://schemas.microsoft.com/office/drawing/2014/main" id="{00000000-0008-0000-2100-000002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19050</xdr:colOff>
          <xdr:row>4</xdr:row>
          <xdr:rowOff>0</xdr:rowOff>
        </xdr:from>
        <xdr:to>
          <xdr:col>1</xdr:col>
          <xdr:colOff>19050</xdr:colOff>
          <xdr:row>5</xdr:row>
          <xdr:rowOff>12700</xdr:rowOff>
        </xdr:to>
        <xdr:sp macro="" textlink="">
          <xdr:nvSpPr>
            <xdr:cNvPr id="11268" name="cmdAddParameter" hidden="1">
              <a:extLst>
                <a:ext uri="{63B3BB69-23CF-44E3-9099-C40C66FF867C}">
                  <a14:compatExt spid="_x0000_s11268"/>
                </a:ext>
                <a:ext uri="{FF2B5EF4-FFF2-40B4-BE49-F238E27FC236}">
                  <a16:creationId xmlns:a16="http://schemas.microsoft.com/office/drawing/2014/main" id="{00000000-0008-0000-2100-000004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19050</xdr:colOff>
          <xdr:row>2</xdr:row>
          <xdr:rowOff>152400</xdr:rowOff>
        </xdr:from>
        <xdr:to>
          <xdr:col>1</xdr:col>
          <xdr:colOff>0</xdr:colOff>
          <xdr:row>4</xdr:row>
          <xdr:rowOff>19050</xdr:rowOff>
        </xdr:to>
        <xdr:sp macro="" textlink="">
          <xdr:nvSpPr>
            <xdr:cNvPr id="11271" name="cmdCheckConstrDataSheet" hidden="1">
              <a:extLst>
                <a:ext uri="{63B3BB69-23CF-44E3-9099-C40C66FF867C}">
                  <a14:compatExt spid="_x0000_s11271"/>
                </a:ext>
                <a:ext uri="{FF2B5EF4-FFF2-40B4-BE49-F238E27FC236}">
                  <a16:creationId xmlns:a16="http://schemas.microsoft.com/office/drawing/2014/main" id="{00000000-0008-0000-2100-000007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19050</xdr:colOff>
          <xdr:row>5</xdr:row>
          <xdr:rowOff>0</xdr:rowOff>
        </xdr:from>
        <xdr:to>
          <xdr:col>1</xdr:col>
          <xdr:colOff>19050</xdr:colOff>
          <xdr:row>6</xdr:row>
          <xdr:rowOff>19050</xdr:rowOff>
        </xdr:to>
        <xdr:sp macro="" textlink="">
          <xdr:nvSpPr>
            <xdr:cNvPr id="11361" name="cmdAddParamQualifier" hidden="1">
              <a:extLst>
                <a:ext uri="{63B3BB69-23CF-44E3-9099-C40C66FF867C}">
                  <a14:compatExt spid="_x0000_s11361"/>
                </a:ext>
                <a:ext uri="{FF2B5EF4-FFF2-40B4-BE49-F238E27FC236}">
                  <a16:creationId xmlns:a16="http://schemas.microsoft.com/office/drawing/2014/main" id="{00000000-0008-0000-2100-000061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1009650</xdr:colOff>
          <xdr:row>2</xdr:row>
          <xdr:rowOff>31750</xdr:rowOff>
        </xdr:from>
        <xdr:to>
          <xdr:col>4</xdr:col>
          <xdr:colOff>19050</xdr:colOff>
          <xdr:row>4</xdr:row>
          <xdr:rowOff>19050</xdr:rowOff>
        </xdr:to>
        <xdr:sp macro="" textlink="">
          <xdr:nvSpPr>
            <xdr:cNvPr id="11374" name="cmdRefreshUnits" hidden="1">
              <a:extLst>
                <a:ext uri="{63B3BB69-23CF-44E3-9099-C40C66FF867C}">
                  <a14:compatExt spid="_x0000_s11374"/>
                </a:ext>
                <a:ext uri="{FF2B5EF4-FFF2-40B4-BE49-F238E27FC236}">
                  <a16:creationId xmlns:a16="http://schemas.microsoft.com/office/drawing/2014/main" id="{00000000-0008-0000-2100-00006E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1.xml><?xml version="1.0" encoding="utf-8"?>
<xdr:wsDr xmlns:xdr="http://schemas.openxmlformats.org/drawingml/2006/spreadsheetDrawing" xmlns:a="http://schemas.openxmlformats.org/drawingml/2006/main">
  <xdr:twoCellAnchor editAs="oneCell">
    <xdr:from>
      <xdr:col>18</xdr:col>
      <xdr:colOff>447675</xdr:colOff>
      <xdr:row>0</xdr:row>
      <xdr:rowOff>0</xdr:rowOff>
    </xdr:from>
    <xdr:to>
      <xdr:col>23</xdr:col>
      <xdr:colOff>607614</xdr:colOff>
      <xdr:row>19</xdr:row>
      <xdr:rowOff>76200</xdr:rowOff>
    </xdr:to>
    <xdr:pic>
      <xdr:nvPicPr>
        <xdr:cNvPr id="2" name="Picture 1">
          <a:extLst>
            <a:ext uri="{FF2B5EF4-FFF2-40B4-BE49-F238E27FC236}">
              <a16:creationId xmlns:a16="http://schemas.microsoft.com/office/drawing/2014/main" id="{00000000-0008-0000-2300-000002000000}"/>
            </a:ext>
          </a:extLst>
        </xdr:cNvPr>
        <xdr:cNvPicPr>
          <a:picLocks noChangeAspect="1"/>
        </xdr:cNvPicPr>
      </xdr:nvPicPr>
      <xdr:blipFill rotWithShape="1">
        <a:blip xmlns:r="http://schemas.openxmlformats.org/officeDocument/2006/relationships" r:embed="rId1"/>
        <a:srcRect l="53008" t="37731" r="38070" b="31631"/>
        <a:stretch/>
      </xdr:blipFill>
      <xdr:spPr>
        <a:xfrm>
          <a:off x="16144875" y="0"/>
          <a:ext cx="3388914" cy="3505200"/>
        </a:xfrm>
        <a:prstGeom prst="rect">
          <a:avLst/>
        </a:prstGeom>
      </xdr:spPr>
    </xdr:pic>
    <xdr:clientData/>
  </xdr:twoCellAnchor>
  <xdr:twoCellAnchor editAs="oneCell">
    <xdr:from>
      <xdr:col>9</xdr:col>
      <xdr:colOff>571500</xdr:colOff>
      <xdr:row>43</xdr:row>
      <xdr:rowOff>76200</xdr:rowOff>
    </xdr:from>
    <xdr:to>
      <xdr:col>17</xdr:col>
      <xdr:colOff>0</xdr:colOff>
      <xdr:row>68</xdr:row>
      <xdr:rowOff>102268</xdr:rowOff>
    </xdr:to>
    <xdr:pic>
      <xdr:nvPicPr>
        <xdr:cNvPr id="3" name="Picture 2">
          <a:extLst>
            <a:ext uri="{FF2B5EF4-FFF2-40B4-BE49-F238E27FC236}">
              <a16:creationId xmlns:a16="http://schemas.microsoft.com/office/drawing/2014/main" id="{00000000-0008-0000-2300-000003000000}"/>
            </a:ext>
          </a:extLst>
        </xdr:cNvPr>
        <xdr:cNvPicPr>
          <a:picLocks noChangeAspect="1"/>
        </xdr:cNvPicPr>
      </xdr:nvPicPr>
      <xdr:blipFill rotWithShape="1">
        <a:blip xmlns:r="http://schemas.openxmlformats.org/officeDocument/2006/relationships" r:embed="rId2"/>
        <a:srcRect l="45012" t="42277" r="37909" b="14451"/>
        <a:stretch/>
      </xdr:blipFill>
      <xdr:spPr>
        <a:xfrm>
          <a:off x="8934450" y="7877175"/>
          <a:ext cx="5962650" cy="4550443"/>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19050</xdr:colOff>
          <xdr:row>3</xdr:row>
          <xdr:rowOff>0</xdr:rowOff>
        </xdr:from>
        <xdr:to>
          <xdr:col>2</xdr:col>
          <xdr:colOff>1009650</xdr:colOff>
          <xdr:row>4</xdr:row>
          <xdr:rowOff>19050</xdr:rowOff>
        </xdr:to>
        <xdr:sp macro="" textlink="">
          <xdr:nvSpPr>
            <xdr:cNvPr id="70657" name="cmdConstrNameAndDesc" hidden="1">
              <a:extLst>
                <a:ext uri="{63B3BB69-23CF-44E3-9099-C40C66FF867C}">
                  <a14:compatExt spid="_x0000_s70657"/>
                </a:ext>
                <a:ext uri="{FF2B5EF4-FFF2-40B4-BE49-F238E27FC236}">
                  <a16:creationId xmlns:a16="http://schemas.microsoft.com/office/drawing/2014/main" id="{00000000-0008-0000-3200-0000011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3</xdr:row>
          <xdr:rowOff>0</xdr:rowOff>
        </xdr:from>
        <xdr:to>
          <xdr:col>4</xdr:col>
          <xdr:colOff>660400</xdr:colOff>
          <xdr:row>4</xdr:row>
          <xdr:rowOff>19050</xdr:rowOff>
        </xdr:to>
        <xdr:sp macro="" textlink="">
          <xdr:nvSpPr>
            <xdr:cNvPr id="70658" name="cmdTechName" hidden="1">
              <a:extLst>
                <a:ext uri="{63B3BB69-23CF-44E3-9099-C40C66FF867C}">
                  <a14:compatExt spid="_x0000_s70658"/>
                </a:ext>
                <a:ext uri="{FF2B5EF4-FFF2-40B4-BE49-F238E27FC236}">
                  <a16:creationId xmlns:a16="http://schemas.microsoft.com/office/drawing/2014/main" id="{00000000-0008-0000-3200-0000021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19050</xdr:colOff>
          <xdr:row>4</xdr:row>
          <xdr:rowOff>0</xdr:rowOff>
        </xdr:from>
        <xdr:to>
          <xdr:col>1</xdr:col>
          <xdr:colOff>19050</xdr:colOff>
          <xdr:row>5</xdr:row>
          <xdr:rowOff>12700</xdr:rowOff>
        </xdr:to>
        <xdr:sp macro="" textlink="">
          <xdr:nvSpPr>
            <xdr:cNvPr id="70659" name="cmdAddParameter" hidden="1">
              <a:extLst>
                <a:ext uri="{63B3BB69-23CF-44E3-9099-C40C66FF867C}">
                  <a14:compatExt spid="_x0000_s70659"/>
                </a:ext>
                <a:ext uri="{FF2B5EF4-FFF2-40B4-BE49-F238E27FC236}">
                  <a16:creationId xmlns:a16="http://schemas.microsoft.com/office/drawing/2014/main" id="{00000000-0008-0000-3200-0000031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19050</xdr:colOff>
          <xdr:row>2</xdr:row>
          <xdr:rowOff>152400</xdr:rowOff>
        </xdr:from>
        <xdr:to>
          <xdr:col>1</xdr:col>
          <xdr:colOff>0</xdr:colOff>
          <xdr:row>4</xdr:row>
          <xdr:rowOff>19050</xdr:rowOff>
        </xdr:to>
        <xdr:sp macro="" textlink="">
          <xdr:nvSpPr>
            <xdr:cNvPr id="70660" name="cmdCheckConstrDataSheet" hidden="1">
              <a:extLst>
                <a:ext uri="{63B3BB69-23CF-44E3-9099-C40C66FF867C}">
                  <a14:compatExt spid="_x0000_s70660"/>
                </a:ext>
                <a:ext uri="{FF2B5EF4-FFF2-40B4-BE49-F238E27FC236}">
                  <a16:creationId xmlns:a16="http://schemas.microsoft.com/office/drawing/2014/main" id="{00000000-0008-0000-3200-0000041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19050</xdr:colOff>
          <xdr:row>5</xdr:row>
          <xdr:rowOff>0</xdr:rowOff>
        </xdr:from>
        <xdr:to>
          <xdr:col>1</xdr:col>
          <xdr:colOff>19050</xdr:colOff>
          <xdr:row>6</xdr:row>
          <xdr:rowOff>19050</xdr:rowOff>
        </xdr:to>
        <xdr:sp macro="" textlink="">
          <xdr:nvSpPr>
            <xdr:cNvPr id="70661" name="cmdAddParamQualifier" hidden="1">
              <a:extLst>
                <a:ext uri="{63B3BB69-23CF-44E3-9099-C40C66FF867C}">
                  <a14:compatExt spid="_x0000_s70661"/>
                </a:ext>
                <a:ext uri="{FF2B5EF4-FFF2-40B4-BE49-F238E27FC236}">
                  <a16:creationId xmlns:a16="http://schemas.microsoft.com/office/drawing/2014/main" id="{00000000-0008-0000-3200-0000051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1009650</xdr:colOff>
          <xdr:row>2</xdr:row>
          <xdr:rowOff>31750</xdr:rowOff>
        </xdr:from>
        <xdr:to>
          <xdr:col>4</xdr:col>
          <xdr:colOff>19050</xdr:colOff>
          <xdr:row>4</xdr:row>
          <xdr:rowOff>19050</xdr:rowOff>
        </xdr:to>
        <xdr:sp macro="" textlink="">
          <xdr:nvSpPr>
            <xdr:cNvPr id="70662" name="cmdRefreshUnits" hidden="1">
              <a:extLst>
                <a:ext uri="{63B3BB69-23CF-44E3-9099-C40C66FF867C}">
                  <a14:compatExt spid="_x0000_s70662"/>
                </a:ext>
                <a:ext uri="{FF2B5EF4-FFF2-40B4-BE49-F238E27FC236}">
                  <a16:creationId xmlns:a16="http://schemas.microsoft.com/office/drawing/2014/main" id="{00000000-0008-0000-3200-0000061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38100</xdr:colOff>
          <xdr:row>2</xdr:row>
          <xdr:rowOff>152400</xdr:rowOff>
        </xdr:from>
        <xdr:to>
          <xdr:col>2</xdr:col>
          <xdr:colOff>1581150</xdr:colOff>
          <xdr:row>4</xdr:row>
          <xdr:rowOff>12700</xdr:rowOff>
        </xdr:to>
        <xdr:sp macro="" textlink="">
          <xdr:nvSpPr>
            <xdr:cNvPr id="69633" name="cmdTechNameAndDesc" hidden="1">
              <a:extLst>
                <a:ext uri="{63B3BB69-23CF-44E3-9099-C40C66FF867C}">
                  <a14:compatExt spid="_x0000_s69633"/>
                </a:ext>
                <a:ext uri="{FF2B5EF4-FFF2-40B4-BE49-F238E27FC236}">
                  <a16:creationId xmlns:a16="http://schemas.microsoft.com/office/drawing/2014/main" id="{00000000-0008-0000-3300-000001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19050</xdr:colOff>
          <xdr:row>2</xdr:row>
          <xdr:rowOff>146050</xdr:rowOff>
        </xdr:from>
        <xdr:to>
          <xdr:col>5</xdr:col>
          <xdr:colOff>12700</xdr:colOff>
          <xdr:row>4</xdr:row>
          <xdr:rowOff>0</xdr:rowOff>
        </xdr:to>
        <xdr:sp macro="" textlink="">
          <xdr:nvSpPr>
            <xdr:cNvPr id="69634" name="cmdCommIN" hidden="1">
              <a:extLst>
                <a:ext uri="{63B3BB69-23CF-44E3-9099-C40C66FF867C}">
                  <a14:compatExt spid="_x0000_s69634"/>
                </a:ext>
                <a:ext uri="{FF2B5EF4-FFF2-40B4-BE49-F238E27FC236}">
                  <a16:creationId xmlns:a16="http://schemas.microsoft.com/office/drawing/2014/main" id="{00000000-0008-0000-3300-000002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2</xdr:row>
          <xdr:rowOff>146050</xdr:rowOff>
        </xdr:from>
        <xdr:to>
          <xdr:col>6</xdr:col>
          <xdr:colOff>12700</xdr:colOff>
          <xdr:row>4</xdr:row>
          <xdr:rowOff>0</xdr:rowOff>
        </xdr:to>
        <xdr:sp macro="" textlink="">
          <xdr:nvSpPr>
            <xdr:cNvPr id="69635" name="cmdCommOUT" hidden="1">
              <a:extLst>
                <a:ext uri="{63B3BB69-23CF-44E3-9099-C40C66FF867C}">
                  <a14:compatExt spid="_x0000_s69635"/>
                </a:ext>
                <a:ext uri="{FF2B5EF4-FFF2-40B4-BE49-F238E27FC236}">
                  <a16:creationId xmlns:a16="http://schemas.microsoft.com/office/drawing/2014/main" id="{00000000-0008-0000-3300-000003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19050</xdr:colOff>
          <xdr:row>4</xdr:row>
          <xdr:rowOff>0</xdr:rowOff>
        </xdr:from>
        <xdr:to>
          <xdr:col>1</xdr:col>
          <xdr:colOff>19050</xdr:colOff>
          <xdr:row>5</xdr:row>
          <xdr:rowOff>12700</xdr:rowOff>
        </xdr:to>
        <xdr:sp macro="" textlink="">
          <xdr:nvSpPr>
            <xdr:cNvPr id="69636" name="cmdAddParameter" hidden="1">
              <a:extLst>
                <a:ext uri="{63B3BB69-23CF-44E3-9099-C40C66FF867C}">
                  <a14:compatExt spid="_x0000_s69636"/>
                </a:ext>
                <a:ext uri="{FF2B5EF4-FFF2-40B4-BE49-F238E27FC236}">
                  <a16:creationId xmlns:a16="http://schemas.microsoft.com/office/drawing/2014/main" id="{00000000-0008-0000-3300-000004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19050</xdr:colOff>
          <xdr:row>5</xdr:row>
          <xdr:rowOff>19050</xdr:rowOff>
        </xdr:from>
        <xdr:to>
          <xdr:col>1</xdr:col>
          <xdr:colOff>19050</xdr:colOff>
          <xdr:row>6</xdr:row>
          <xdr:rowOff>31750</xdr:rowOff>
        </xdr:to>
        <xdr:sp macro="" textlink="">
          <xdr:nvSpPr>
            <xdr:cNvPr id="69637" name="cmdAddParamQualifier" hidden="1">
              <a:extLst>
                <a:ext uri="{63B3BB69-23CF-44E3-9099-C40C66FF867C}">
                  <a14:compatExt spid="_x0000_s69637"/>
                </a:ext>
                <a:ext uri="{FF2B5EF4-FFF2-40B4-BE49-F238E27FC236}">
                  <a16:creationId xmlns:a16="http://schemas.microsoft.com/office/drawing/2014/main" id="{00000000-0008-0000-3300-000005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19050</xdr:colOff>
          <xdr:row>2</xdr:row>
          <xdr:rowOff>152400</xdr:rowOff>
        </xdr:from>
        <xdr:to>
          <xdr:col>1</xdr:col>
          <xdr:colOff>19050</xdr:colOff>
          <xdr:row>4</xdr:row>
          <xdr:rowOff>19050</xdr:rowOff>
        </xdr:to>
        <xdr:sp macro="" textlink="">
          <xdr:nvSpPr>
            <xdr:cNvPr id="69638" name="cmdCheckTechDataSheet" hidden="1">
              <a:extLst>
                <a:ext uri="{63B3BB69-23CF-44E3-9099-C40C66FF867C}">
                  <a14:compatExt spid="_x0000_s69638"/>
                </a:ext>
                <a:ext uri="{FF2B5EF4-FFF2-40B4-BE49-F238E27FC236}">
                  <a16:creationId xmlns:a16="http://schemas.microsoft.com/office/drawing/2014/main" id="{00000000-0008-0000-3300-000006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xdr:row>
          <xdr:rowOff>19050</xdr:rowOff>
        </xdr:from>
        <xdr:to>
          <xdr:col>4</xdr:col>
          <xdr:colOff>38100</xdr:colOff>
          <xdr:row>4</xdr:row>
          <xdr:rowOff>19050</xdr:rowOff>
        </xdr:to>
        <xdr:sp macro="" textlink="">
          <xdr:nvSpPr>
            <xdr:cNvPr id="69639" name="cmdRefreshUnits" hidden="1">
              <a:extLst>
                <a:ext uri="{63B3BB69-23CF-44E3-9099-C40C66FF867C}">
                  <a14:compatExt spid="_x0000_s69639"/>
                </a:ext>
                <a:ext uri="{FF2B5EF4-FFF2-40B4-BE49-F238E27FC236}">
                  <a16:creationId xmlns:a16="http://schemas.microsoft.com/office/drawing/2014/main" id="{00000000-0008-0000-3300-000007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19050</xdr:colOff>
          <xdr:row>4</xdr:row>
          <xdr:rowOff>19050</xdr:rowOff>
        </xdr:from>
        <xdr:to>
          <xdr:col>1</xdr:col>
          <xdr:colOff>0</xdr:colOff>
          <xdr:row>5</xdr:row>
          <xdr:rowOff>12700</xdr:rowOff>
        </xdr:to>
        <xdr:sp macro="" textlink="">
          <xdr:nvSpPr>
            <xdr:cNvPr id="68609" name="cmdAddParameter" hidden="1">
              <a:extLst>
                <a:ext uri="{63B3BB69-23CF-44E3-9099-C40C66FF867C}">
                  <a14:compatExt spid="_x0000_s68609"/>
                </a:ext>
                <a:ext uri="{FF2B5EF4-FFF2-40B4-BE49-F238E27FC236}">
                  <a16:creationId xmlns:a16="http://schemas.microsoft.com/office/drawing/2014/main" id="{00000000-0008-0000-3400-0000010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xdr:row>
          <xdr:rowOff>19050</xdr:rowOff>
        </xdr:from>
        <xdr:to>
          <xdr:col>2</xdr:col>
          <xdr:colOff>1390650</xdr:colOff>
          <xdr:row>4</xdr:row>
          <xdr:rowOff>0</xdr:rowOff>
        </xdr:to>
        <xdr:sp macro="" textlink="">
          <xdr:nvSpPr>
            <xdr:cNvPr id="68610" name="cmdCommNameAndDesc" hidden="1">
              <a:extLst>
                <a:ext uri="{63B3BB69-23CF-44E3-9099-C40C66FF867C}">
                  <a14:compatExt spid="_x0000_s68610"/>
                </a:ext>
                <a:ext uri="{FF2B5EF4-FFF2-40B4-BE49-F238E27FC236}">
                  <a16:creationId xmlns:a16="http://schemas.microsoft.com/office/drawing/2014/main" id="{00000000-0008-0000-3400-0000020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19050</xdr:colOff>
          <xdr:row>5</xdr:row>
          <xdr:rowOff>0</xdr:rowOff>
        </xdr:from>
        <xdr:to>
          <xdr:col>1</xdr:col>
          <xdr:colOff>0</xdr:colOff>
          <xdr:row>5</xdr:row>
          <xdr:rowOff>241300</xdr:rowOff>
        </xdr:to>
        <xdr:sp macro="" textlink="">
          <xdr:nvSpPr>
            <xdr:cNvPr id="68611" name="cmdAddParamQualifier" hidden="1">
              <a:extLst>
                <a:ext uri="{63B3BB69-23CF-44E3-9099-C40C66FF867C}">
                  <a14:compatExt spid="_x0000_s68611"/>
                </a:ext>
                <a:ext uri="{FF2B5EF4-FFF2-40B4-BE49-F238E27FC236}">
                  <a16:creationId xmlns:a16="http://schemas.microsoft.com/office/drawing/2014/main" id="{00000000-0008-0000-3400-0000030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19050</xdr:colOff>
          <xdr:row>3</xdr:row>
          <xdr:rowOff>19050</xdr:rowOff>
        </xdr:from>
        <xdr:to>
          <xdr:col>1</xdr:col>
          <xdr:colOff>0</xdr:colOff>
          <xdr:row>4</xdr:row>
          <xdr:rowOff>0</xdr:rowOff>
        </xdr:to>
        <xdr:sp macro="" textlink="">
          <xdr:nvSpPr>
            <xdr:cNvPr id="68612" name="cmdCheckCommDataSheet" hidden="1">
              <a:extLst>
                <a:ext uri="{63B3BB69-23CF-44E3-9099-C40C66FF867C}">
                  <a14:compatExt spid="_x0000_s68612"/>
                </a:ext>
                <a:ext uri="{FF2B5EF4-FFF2-40B4-BE49-F238E27FC236}">
                  <a16:creationId xmlns:a16="http://schemas.microsoft.com/office/drawing/2014/main" id="{00000000-0008-0000-3400-0000040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1409700</xdr:colOff>
          <xdr:row>2</xdr:row>
          <xdr:rowOff>76200</xdr:rowOff>
        </xdr:from>
        <xdr:to>
          <xdr:col>4</xdr:col>
          <xdr:colOff>0</xdr:colOff>
          <xdr:row>4</xdr:row>
          <xdr:rowOff>0</xdr:rowOff>
        </xdr:to>
        <xdr:sp macro="" textlink="">
          <xdr:nvSpPr>
            <xdr:cNvPr id="68613" name="cmdRefreshUnits" hidden="1">
              <a:extLst>
                <a:ext uri="{63B3BB69-23CF-44E3-9099-C40C66FF867C}">
                  <a14:compatExt spid="_x0000_s68613"/>
                </a:ext>
                <a:ext uri="{FF2B5EF4-FFF2-40B4-BE49-F238E27FC236}">
                  <a16:creationId xmlns:a16="http://schemas.microsoft.com/office/drawing/2014/main" id="{00000000-0008-0000-3400-0000050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19050</xdr:colOff>
          <xdr:row>4</xdr:row>
          <xdr:rowOff>19050</xdr:rowOff>
        </xdr:from>
        <xdr:to>
          <xdr:col>4</xdr:col>
          <xdr:colOff>1003300</xdr:colOff>
          <xdr:row>5</xdr:row>
          <xdr:rowOff>38100</xdr:rowOff>
        </xdr:to>
        <xdr:sp macro="" textlink="">
          <xdr:nvSpPr>
            <xdr:cNvPr id="67585" name="cmdConstraintSets" hidden="1">
              <a:extLst>
                <a:ext uri="{63B3BB69-23CF-44E3-9099-C40C66FF867C}">
                  <a14:compatExt spid="_x0000_s67585"/>
                </a:ext>
                <a:ext uri="{FF2B5EF4-FFF2-40B4-BE49-F238E27FC236}">
                  <a16:creationId xmlns:a16="http://schemas.microsoft.com/office/drawing/2014/main" id="{00000000-0008-0000-3500-0000010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19050</xdr:colOff>
          <xdr:row>3</xdr:row>
          <xdr:rowOff>0</xdr:rowOff>
        </xdr:from>
        <xdr:to>
          <xdr:col>1</xdr:col>
          <xdr:colOff>12700</xdr:colOff>
          <xdr:row>4</xdr:row>
          <xdr:rowOff>0</xdr:rowOff>
        </xdr:to>
        <xdr:sp macro="" textlink="">
          <xdr:nvSpPr>
            <xdr:cNvPr id="67586" name="cmdCheckConstraintsSheet" hidden="1">
              <a:extLst>
                <a:ext uri="{63B3BB69-23CF-44E3-9099-C40C66FF867C}">
                  <a14:compatExt spid="_x0000_s67586"/>
                </a:ext>
                <a:ext uri="{FF2B5EF4-FFF2-40B4-BE49-F238E27FC236}">
                  <a16:creationId xmlns:a16="http://schemas.microsoft.com/office/drawing/2014/main" id="{00000000-0008-0000-3500-0000020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4</xdr:row>
          <xdr:rowOff>19050</xdr:rowOff>
        </xdr:from>
        <xdr:to>
          <xdr:col>4</xdr:col>
          <xdr:colOff>0</xdr:colOff>
          <xdr:row>5</xdr:row>
          <xdr:rowOff>38100</xdr:rowOff>
        </xdr:to>
        <xdr:sp macro="" textlink="">
          <xdr:nvSpPr>
            <xdr:cNvPr id="67587" name="cmdConstraintUnit" hidden="1">
              <a:extLst>
                <a:ext uri="{63B3BB69-23CF-44E3-9099-C40C66FF867C}">
                  <a14:compatExt spid="_x0000_s67587"/>
                </a:ext>
                <a:ext uri="{FF2B5EF4-FFF2-40B4-BE49-F238E27FC236}">
                  <a16:creationId xmlns:a16="http://schemas.microsoft.com/office/drawing/2014/main" id="{00000000-0008-0000-3500-0000030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2</xdr:row>
          <xdr:rowOff>57150</xdr:rowOff>
        </xdr:from>
        <xdr:to>
          <xdr:col>4</xdr:col>
          <xdr:colOff>0</xdr:colOff>
          <xdr:row>4</xdr:row>
          <xdr:rowOff>38100</xdr:rowOff>
        </xdr:to>
        <xdr:sp macro="" textlink="">
          <xdr:nvSpPr>
            <xdr:cNvPr id="67588" name="cmdRefreshUnits" hidden="1">
              <a:extLst>
                <a:ext uri="{63B3BB69-23CF-44E3-9099-C40C66FF867C}">
                  <a14:compatExt spid="_x0000_s67588"/>
                </a:ext>
                <a:ext uri="{FF2B5EF4-FFF2-40B4-BE49-F238E27FC236}">
                  <a16:creationId xmlns:a16="http://schemas.microsoft.com/office/drawing/2014/main" id="{00000000-0008-0000-3500-0000040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19050</xdr:colOff>
          <xdr:row>4</xdr:row>
          <xdr:rowOff>19050</xdr:rowOff>
        </xdr:from>
        <xdr:to>
          <xdr:col>5</xdr:col>
          <xdr:colOff>1822450</xdr:colOff>
          <xdr:row>5</xdr:row>
          <xdr:rowOff>95250</xdr:rowOff>
        </xdr:to>
        <xdr:sp macro="" textlink="">
          <xdr:nvSpPr>
            <xdr:cNvPr id="66561" name="cmdTechnologySets" hidden="1">
              <a:extLst>
                <a:ext uri="{63B3BB69-23CF-44E3-9099-C40C66FF867C}">
                  <a14:compatExt spid="_x0000_s66561"/>
                </a:ext>
                <a:ext uri="{FF2B5EF4-FFF2-40B4-BE49-F238E27FC236}">
                  <a16:creationId xmlns:a16="http://schemas.microsoft.com/office/drawing/2014/main" id="{00000000-0008-0000-3600-0000010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19050</xdr:colOff>
          <xdr:row>2</xdr:row>
          <xdr:rowOff>152400</xdr:rowOff>
        </xdr:from>
        <xdr:to>
          <xdr:col>1</xdr:col>
          <xdr:colOff>0</xdr:colOff>
          <xdr:row>4</xdr:row>
          <xdr:rowOff>0</xdr:rowOff>
        </xdr:to>
        <xdr:sp macro="" textlink="">
          <xdr:nvSpPr>
            <xdr:cNvPr id="66562" name="cmdCheckTechnologiesSheet" hidden="1">
              <a:extLst>
                <a:ext uri="{63B3BB69-23CF-44E3-9099-C40C66FF867C}">
                  <a14:compatExt spid="_x0000_s66562"/>
                </a:ext>
                <a:ext uri="{FF2B5EF4-FFF2-40B4-BE49-F238E27FC236}">
                  <a16:creationId xmlns:a16="http://schemas.microsoft.com/office/drawing/2014/main" id="{00000000-0008-0000-3600-0000020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4</xdr:row>
          <xdr:rowOff>19050</xdr:rowOff>
        </xdr:from>
        <xdr:to>
          <xdr:col>4</xdr:col>
          <xdr:colOff>19050</xdr:colOff>
          <xdr:row>5</xdr:row>
          <xdr:rowOff>95250</xdr:rowOff>
        </xdr:to>
        <xdr:sp macro="" textlink="">
          <xdr:nvSpPr>
            <xdr:cNvPr id="66563" name="cmdTACTUnit" hidden="1">
              <a:extLst>
                <a:ext uri="{63B3BB69-23CF-44E3-9099-C40C66FF867C}">
                  <a14:compatExt spid="_x0000_s66563"/>
                </a:ext>
                <a:ext uri="{FF2B5EF4-FFF2-40B4-BE49-F238E27FC236}">
                  <a16:creationId xmlns:a16="http://schemas.microsoft.com/office/drawing/2014/main" id="{00000000-0008-0000-3600-0000030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19050</xdr:colOff>
          <xdr:row>4</xdr:row>
          <xdr:rowOff>19050</xdr:rowOff>
        </xdr:from>
        <xdr:to>
          <xdr:col>5</xdr:col>
          <xdr:colOff>19050</xdr:colOff>
          <xdr:row>5</xdr:row>
          <xdr:rowOff>95250</xdr:rowOff>
        </xdr:to>
        <xdr:sp macro="" textlink="">
          <xdr:nvSpPr>
            <xdr:cNvPr id="66564" name="cmdTCAPUnit" hidden="1">
              <a:extLst>
                <a:ext uri="{63B3BB69-23CF-44E3-9099-C40C66FF867C}">
                  <a14:compatExt spid="_x0000_s66564"/>
                </a:ext>
                <a:ext uri="{FF2B5EF4-FFF2-40B4-BE49-F238E27FC236}">
                  <a16:creationId xmlns:a16="http://schemas.microsoft.com/office/drawing/2014/main" id="{00000000-0008-0000-3600-0000040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381000</xdr:colOff>
          <xdr:row>1</xdr:row>
          <xdr:rowOff>152400</xdr:rowOff>
        </xdr:from>
        <xdr:to>
          <xdr:col>4</xdr:col>
          <xdr:colOff>285750</xdr:colOff>
          <xdr:row>3</xdr:row>
          <xdr:rowOff>209550</xdr:rowOff>
        </xdr:to>
        <xdr:sp macro="" textlink="">
          <xdr:nvSpPr>
            <xdr:cNvPr id="66565" name="cmdRefreshUnits" hidden="1">
              <a:extLst>
                <a:ext uri="{63B3BB69-23CF-44E3-9099-C40C66FF867C}">
                  <a14:compatExt spid="_x0000_s66565"/>
                </a:ext>
                <a:ext uri="{FF2B5EF4-FFF2-40B4-BE49-F238E27FC236}">
                  <a16:creationId xmlns:a16="http://schemas.microsoft.com/office/drawing/2014/main" id="{00000000-0008-0000-3600-0000050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19050</xdr:colOff>
          <xdr:row>3</xdr:row>
          <xdr:rowOff>95250</xdr:rowOff>
        </xdr:from>
        <xdr:to>
          <xdr:col>4</xdr:col>
          <xdr:colOff>1003300</xdr:colOff>
          <xdr:row>4</xdr:row>
          <xdr:rowOff>114300</xdr:rowOff>
        </xdr:to>
        <xdr:sp macro="" textlink="">
          <xdr:nvSpPr>
            <xdr:cNvPr id="63489" name="cmdEnergySets" hidden="1">
              <a:extLst>
                <a:ext uri="{63B3BB69-23CF-44E3-9099-C40C66FF867C}">
                  <a14:compatExt spid="_x0000_s63489"/>
                </a:ext>
                <a:ext uri="{FF2B5EF4-FFF2-40B4-BE49-F238E27FC236}">
                  <a16:creationId xmlns:a16="http://schemas.microsoft.com/office/drawing/2014/main" id="{00000000-0008-0000-3700-000001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19050</xdr:colOff>
          <xdr:row>4</xdr:row>
          <xdr:rowOff>171450</xdr:rowOff>
        </xdr:from>
        <xdr:to>
          <xdr:col>4</xdr:col>
          <xdr:colOff>1003300</xdr:colOff>
          <xdr:row>5</xdr:row>
          <xdr:rowOff>190500</xdr:rowOff>
        </xdr:to>
        <xdr:sp macro="" textlink="">
          <xdr:nvSpPr>
            <xdr:cNvPr id="63490" name="cmdDemandSets" hidden="1">
              <a:extLst>
                <a:ext uri="{63B3BB69-23CF-44E3-9099-C40C66FF867C}">
                  <a14:compatExt spid="_x0000_s63490"/>
                </a:ext>
                <a:ext uri="{FF2B5EF4-FFF2-40B4-BE49-F238E27FC236}">
                  <a16:creationId xmlns:a16="http://schemas.microsoft.com/office/drawing/2014/main" id="{00000000-0008-0000-3700-000002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1009650</xdr:colOff>
          <xdr:row>4</xdr:row>
          <xdr:rowOff>171450</xdr:rowOff>
        </xdr:from>
        <xdr:to>
          <xdr:col>5</xdr:col>
          <xdr:colOff>12700</xdr:colOff>
          <xdr:row>5</xdr:row>
          <xdr:rowOff>190500</xdr:rowOff>
        </xdr:to>
        <xdr:sp macro="" textlink="">
          <xdr:nvSpPr>
            <xdr:cNvPr id="63491" name="cmdEmissionSets" hidden="1">
              <a:extLst>
                <a:ext uri="{63B3BB69-23CF-44E3-9099-C40C66FF867C}">
                  <a14:compatExt spid="_x0000_s63491"/>
                </a:ext>
                <a:ext uri="{FF2B5EF4-FFF2-40B4-BE49-F238E27FC236}">
                  <a16:creationId xmlns:a16="http://schemas.microsoft.com/office/drawing/2014/main" id="{00000000-0008-0000-3700-000003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1009650</xdr:colOff>
          <xdr:row>3</xdr:row>
          <xdr:rowOff>95250</xdr:rowOff>
        </xdr:from>
        <xdr:to>
          <xdr:col>5</xdr:col>
          <xdr:colOff>12700</xdr:colOff>
          <xdr:row>4</xdr:row>
          <xdr:rowOff>114300</xdr:rowOff>
        </xdr:to>
        <xdr:sp macro="" textlink="">
          <xdr:nvSpPr>
            <xdr:cNvPr id="63492" name="cmdMaterialSets" hidden="1">
              <a:extLst>
                <a:ext uri="{63B3BB69-23CF-44E3-9099-C40C66FF867C}">
                  <a14:compatExt spid="_x0000_s63492"/>
                </a:ext>
                <a:ext uri="{FF2B5EF4-FFF2-40B4-BE49-F238E27FC236}">
                  <a16:creationId xmlns:a16="http://schemas.microsoft.com/office/drawing/2014/main" id="{00000000-0008-0000-3700-000004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19050</xdr:colOff>
          <xdr:row>2</xdr:row>
          <xdr:rowOff>146050</xdr:rowOff>
        </xdr:from>
        <xdr:to>
          <xdr:col>0</xdr:col>
          <xdr:colOff>831850</xdr:colOff>
          <xdr:row>4</xdr:row>
          <xdr:rowOff>0</xdr:rowOff>
        </xdr:to>
        <xdr:sp macro="" textlink="">
          <xdr:nvSpPr>
            <xdr:cNvPr id="63493" name="cmdCheckCommoditiesSheet" hidden="1">
              <a:extLst>
                <a:ext uri="{63B3BB69-23CF-44E3-9099-C40C66FF867C}">
                  <a14:compatExt spid="_x0000_s63493"/>
                </a:ext>
                <a:ext uri="{FF2B5EF4-FFF2-40B4-BE49-F238E27FC236}">
                  <a16:creationId xmlns:a16="http://schemas.microsoft.com/office/drawing/2014/main" id="{00000000-0008-0000-3700-000005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4</xdr:row>
          <xdr:rowOff>171450</xdr:rowOff>
        </xdr:from>
        <xdr:to>
          <xdr:col>4</xdr:col>
          <xdr:colOff>12700</xdr:colOff>
          <xdr:row>5</xdr:row>
          <xdr:rowOff>190500</xdr:rowOff>
        </xdr:to>
        <xdr:sp macro="" textlink="">
          <xdr:nvSpPr>
            <xdr:cNvPr id="63494" name="cmdCommUnit" hidden="1">
              <a:extLst>
                <a:ext uri="{63B3BB69-23CF-44E3-9099-C40C66FF867C}">
                  <a14:compatExt spid="_x0000_s63494"/>
                </a:ext>
                <a:ext uri="{FF2B5EF4-FFF2-40B4-BE49-F238E27FC236}">
                  <a16:creationId xmlns:a16="http://schemas.microsoft.com/office/drawing/2014/main" id="{00000000-0008-0000-3700-000006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69850</xdr:colOff>
          <xdr:row>2</xdr:row>
          <xdr:rowOff>114300</xdr:rowOff>
        </xdr:from>
        <xdr:to>
          <xdr:col>3</xdr:col>
          <xdr:colOff>628650</xdr:colOff>
          <xdr:row>4</xdr:row>
          <xdr:rowOff>107950</xdr:rowOff>
        </xdr:to>
        <xdr:sp macro="" textlink="">
          <xdr:nvSpPr>
            <xdr:cNvPr id="63495" name="cmdRefreshUnits" hidden="1">
              <a:extLst>
                <a:ext uri="{63B3BB69-23CF-44E3-9099-C40C66FF867C}">
                  <a14:compatExt spid="_x0000_s63495"/>
                </a:ext>
                <a:ext uri="{FF2B5EF4-FFF2-40B4-BE49-F238E27FC236}">
                  <a16:creationId xmlns:a16="http://schemas.microsoft.com/office/drawing/2014/main" id="{00000000-0008-0000-3700-000007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riv/NRML_APPCD_CSHAY/2010%20EPAUS9r/83%25%20reduction/EPAUS9r_10_COM83_LC.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Sv6.1-Home"/>
      <sheetName val="ANSv6.0-Commodities"/>
      <sheetName val="ANSv6.1-Commodities"/>
      <sheetName val="Commodities"/>
      <sheetName val="ANSv6.0-Technologies"/>
      <sheetName val="ANSv6.1-Technologies"/>
      <sheetName val="ANSv6.1-Constraints"/>
      <sheetName val="Constraints"/>
      <sheetName val="Technologies"/>
      <sheetName val="ANSv6.0-CommData"/>
      <sheetName val="ANSv6.0-Constraints"/>
      <sheetName val="ANSv6.1-CommData"/>
      <sheetName val="ANSv6.1-TechData"/>
      <sheetName val="ANSv6.1-ConstrData"/>
      <sheetName val="ConstrData"/>
      <sheetName val="CommData_Demand"/>
      <sheetName val="TechData_COM"/>
      <sheetName val="TechData_SESC"/>
      <sheetName val="TechData_ZZ"/>
      <sheetName val="Sol_PV"/>
      <sheetName val="Renew"/>
      <sheetName val="Fuel Splits"/>
      <sheetName val="Mkt Shares"/>
      <sheetName val="Tech Splits"/>
      <sheetName val="Mkt Shares raw"/>
      <sheetName val="Commercial"/>
      <sheetName val="Agg CLT"/>
      <sheetName val="CLT raw data"/>
      <sheetName val="Aggregated Data"/>
      <sheetName val="AEO10 Com Tech"/>
      <sheetName val="DMD ByRegion"/>
      <sheetName val="ComDemand"/>
      <sheetName val="CMCalc"/>
      <sheetName val="Pop"/>
      <sheetName val="Conversion Factors"/>
      <sheetName val="ANSv6.0-ConstrData"/>
      <sheetName val="ANSv6.0-Tech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https://usepa.sharepoint.com/AnswerV6/Answer_Databases/MI/Workbooks%20with%20optimal%20solutions_MI/RES_MI/PV.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sik, Mine" refreshedDate="43186.709720601852" createdVersion="6" refreshedVersion="6" minRefreshableVersion="3" recordCount="121" xr:uid="{00000000-000A-0000-FFFF-FFFF0B000000}">
  <cacheSource type="worksheet">
    <worksheetSource ref="A2:H1048576" sheet="Raw Data BK" r:id="rId2"/>
  </cacheSource>
  <cacheFields count="8">
    <cacheField name="Borough" numFmtId="1">
      <sharedItems containsBlank="1" count="6">
        <s v="Bronx"/>
        <s v="Brooklyn"/>
        <s v="Manhattan"/>
        <s v="Queens"/>
        <s v="Staten Island"/>
        <m/>
      </sharedItems>
    </cacheField>
    <cacheField name="Customer Class" numFmtId="1">
      <sharedItems containsBlank="1" count="8">
        <s v="Residential"/>
        <s v="Transportation"/>
        <s v="Commercial"/>
        <s v="Government"/>
        <s v="Industrial"/>
        <s v="N/A"/>
        <s v="Cust. Class"/>
        <m/>
      </sharedItems>
    </cacheField>
    <cacheField name="General Classification" numFmtId="1">
      <sharedItems containsBlank="1" count="23">
        <s v="1-2 Family Dwelling"/>
        <s v="Airport"/>
        <s v="Auto Services"/>
        <s v="Church/Mission/Asylum"/>
        <s v="Education College/University"/>
        <s v="Education K12"/>
        <s v="Government"/>
        <s v="Hospital/Clinic"/>
        <s v="Industrial"/>
        <s v="Large Apartment/Hotel"/>
        <s v="Large Retail/Office"/>
        <s v="Other"/>
        <s v="Parking Area Outdoor"/>
        <s v="Parking Structure"/>
        <s v="Port or Shipping"/>
        <s v="Small Apartment or Condo"/>
        <s v="Small Retail/Office"/>
        <s v="Theater/Public Assembly"/>
        <s v="Utility Electric/Gas"/>
        <s v="Utility Other"/>
        <s v="Warehouse"/>
        <s v="Building Class"/>
        <m/>
      </sharedItems>
    </cacheField>
    <cacheField name="No Green Roof" numFmtId="1">
      <sharedItems containsBlank="1" containsMixedTypes="1" containsNumber="1" minValue="0" maxValue="2704993.8573539141"/>
    </cacheField>
    <cacheField name="PV KW (75%)" numFmtId="1">
      <sharedItems containsBlank="1" containsMixedTypes="1" containsNumber="1" minValue="0" maxValue="2028745.3930154911"/>
    </cacheField>
    <cacheField name="PV KW (50%)" numFmtId="1">
      <sharedItems containsBlank="1" containsMixedTypes="1" containsNumber="1" minValue="0" maxValue="1352496.928676957" count="99">
        <n v="270387.93902161234"/>
        <n v="0"/>
        <n v="38845.03058333334"/>
        <n v="25908.748098845608"/>
        <n v="14982.438245671001"/>
        <n v="46738.321416666666"/>
        <n v="19729.787694444425"/>
        <n v="43.907500000000006"/>
        <n v="33620.030285714267"/>
        <n v="154667.57618281405"/>
        <n v="41603.738809523798"/>
        <n v="6053.0287500000022"/>
        <n v="2269.1916666666675"/>
        <n v="1467.5449999999998"/>
        <n v="233537.2819920594"/>
        <n v="76464.657271936492"/>
        <n v="25970.610577922078"/>
        <n v="58843.460500000008"/>
        <n v="840946.59272904031"/>
        <n v="17.535"/>
        <n v="25887.032083333321"/>
        <n v="55801.255972326369"/>
        <n v="16812.652139430014"/>
        <n v="77812.717173555357"/>
        <n v="143673.41048051949"/>
        <n v="23565.3672106921"/>
        <n v="84109.013290043251"/>
        <n v="207309.04179586252"/>
        <n v="42971.098780025604"/>
        <n v="3604.8270833333345"/>
        <n v="29626.406166666693"/>
        <n v="40325.897916666669"/>
        <n v="700111.63580451906"/>
        <n v="137197.56708688487"/>
        <n v="16987.073688644668"/>
        <n v="1814.5450000000001"/>
        <n v="154228.87204761937"/>
        <n v="41856.274115706467"/>
        <n v="371.1875"/>
        <n v="12203.877634920622"/>
        <n v="27622.048309032005"/>
        <n v="20481.574640349074"/>
        <n v="32709.156332070714"/>
        <n v="29358.960374602568"/>
        <n v="21696.736755397742"/>
        <n v="6402.9995892857123"/>
        <n v="278242.49087487691"/>
        <n v="98788.878751709475"/>
        <n v="3773.1327888888877"/>
        <n v="7138.8885833333361"/>
        <n v="18739.41"/>
        <n v="253159.81284745422"/>
        <n v="65336.666101482384"/>
        <n v="26029.015313292686"/>
        <n v="114.425"/>
        <n v="390"/>
        <n v="9716.6837529761833"/>
        <s v="PV KW (50%)"/>
        <n v="965815.63810444274"/>
        <n v="490.6752395400049"/>
        <n v="24909.122009803916"/>
        <n v="52170.078720238103"/>
        <n v="11565.625138831756"/>
        <n v="105190.87041666673"/>
        <n v="15440.311959093609"/>
        <n v="30232.15911801047"/>
        <n v="97762.301552988487"/>
        <n v="291366.93661676109"/>
        <n v="55423.384345238097"/>
        <n v="1723.6733333333332"/>
        <n v="25010.351101971566"/>
        <n v="10"/>
        <n v="1352496.928676957"/>
        <n v="169788.91577976209"/>
        <n v="15405.669428571418"/>
        <n v="36.549999999999997"/>
        <n v="15.2"/>
        <n v="153231.13915417829"/>
        <n v="563932.1833678839"/>
        <n v="639.70000000000005"/>
        <n v="4644.8998550724627"/>
        <n v="2213.511611111112"/>
        <n v="265.19666666666666"/>
        <n v="5062.553083333336"/>
        <n v="1325.2537987987987"/>
        <n v="1993.948333333333"/>
        <n v="659.03250000000014"/>
        <n v="2463.6931521739129"/>
        <n v="9355.89127927144"/>
        <n v="803.80507142857164"/>
        <n v="1476.9141666666667"/>
        <n v="1167.840105263158"/>
        <n v="18151.364972914431"/>
        <n v="8189.6152651515185"/>
        <n v="2982.5666666666666"/>
        <n v="182.39000000000001"/>
        <n v="1534.6424514563107"/>
        <n v="2126.0305723443225"/>
        <m/>
      </sharedItems>
    </cacheField>
    <cacheField name="PV KW (25%)" numFmtId="1">
      <sharedItems containsBlank="1" containsMixedTypes="1" containsNumber="1" minValue="0" maxValue="676248.46433847852"/>
    </cacheField>
    <cacheField name="PV KW (10%)" numFmtId="1">
      <sharedItems containsBlank="1" containsMixedTypes="1" containsNumber="1" minValue="0" maxValue="270499.3857353993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21">
  <r>
    <x v="0"/>
    <x v="0"/>
    <x v="0"/>
    <n v="540775.87804322469"/>
    <n v="405581.90853245434"/>
    <x v="0"/>
    <n v="135193.96951080617"/>
    <n v="54077.58780432785"/>
  </r>
  <r>
    <x v="0"/>
    <x v="1"/>
    <x v="1"/>
    <n v="0"/>
    <n v="0"/>
    <x v="1"/>
    <n v="0"/>
    <n v="0"/>
  </r>
  <r>
    <x v="0"/>
    <x v="2"/>
    <x v="2"/>
    <n v="77690.061166666681"/>
    <n v="58267.545874999953"/>
    <x v="2"/>
    <n v="19422.51529166667"/>
    <n v="7769.0061166666692"/>
  </r>
  <r>
    <x v="0"/>
    <x v="2"/>
    <x v="3"/>
    <n v="51817.496197691216"/>
    <n v="38863.122148268318"/>
    <x v="3"/>
    <n v="12954.374049422804"/>
    <n v="5181.7496197691207"/>
  </r>
  <r>
    <x v="0"/>
    <x v="2"/>
    <x v="4"/>
    <n v="29964.876491342002"/>
    <n v="22473.657368506501"/>
    <x v="4"/>
    <n v="7491.2191228355005"/>
    <n v="2996.4876491341997"/>
  </r>
  <r>
    <x v="0"/>
    <x v="2"/>
    <x v="5"/>
    <n v="93476.642833333332"/>
    <n v="70107.48212500001"/>
    <x v="5"/>
    <n v="23369.160708333333"/>
    <n v="9347.6642833333353"/>
  </r>
  <r>
    <x v="0"/>
    <x v="3"/>
    <x v="6"/>
    <n v="39459.57538888885"/>
    <n v="29594.681541666672"/>
    <x v="6"/>
    <n v="9864.8938472222126"/>
    <n v="3945.9575388888884"/>
  </r>
  <r>
    <x v="0"/>
    <x v="2"/>
    <x v="7"/>
    <n v="87.815000000000012"/>
    <n v="65.861249999999998"/>
    <x v="7"/>
    <n v="21.953750000000003"/>
    <n v="8.7814999999999994"/>
  </r>
  <r>
    <x v="0"/>
    <x v="4"/>
    <x v="8"/>
    <n v="67240.060571428534"/>
    <n v="50430.045428571451"/>
    <x v="8"/>
    <n v="16810.015142857133"/>
    <n v="6724.0060571428512"/>
  </r>
  <r>
    <x v="0"/>
    <x v="0"/>
    <x v="9"/>
    <n v="309335.15236562811"/>
    <n v="232001.36427422159"/>
    <x v="9"/>
    <n v="77333.788091407027"/>
    <n v="30933.515236562846"/>
  </r>
  <r>
    <x v="0"/>
    <x v="2"/>
    <x v="10"/>
    <n v="83207.477619047597"/>
    <n v="62405.608214285727"/>
    <x v="10"/>
    <n v="20801.869404761899"/>
    <n v="8320.747761904755"/>
  </r>
  <r>
    <x v="0"/>
    <x v="5"/>
    <x v="11"/>
    <n v="12106.057500000004"/>
    <n v="9079.5431249999929"/>
    <x v="11"/>
    <n v="3026.5143750000011"/>
    <n v="1210.6057500000002"/>
  </r>
  <r>
    <x v="0"/>
    <x v="5"/>
    <x v="12"/>
    <n v="0"/>
    <n v="0"/>
    <x v="1"/>
    <n v="0"/>
    <n v="0"/>
  </r>
  <r>
    <x v="0"/>
    <x v="2"/>
    <x v="13"/>
    <n v="4538.383333333335"/>
    <n v="3403.7874999999999"/>
    <x v="12"/>
    <n v="1134.5958333333338"/>
    <n v="453.83833333333337"/>
  </r>
  <r>
    <x v="0"/>
    <x v="1"/>
    <x v="14"/>
    <n v="2935.0899999999997"/>
    <n v="2201.3174999999997"/>
    <x v="13"/>
    <n v="733.77249999999992"/>
    <n v="293.50900000000007"/>
  </r>
  <r>
    <x v="0"/>
    <x v="0"/>
    <x v="15"/>
    <n v="467074.56398411881"/>
    <n v="350305.92298808118"/>
    <x v="14"/>
    <n v="116768.6409960297"/>
    <n v="46707.456398411559"/>
  </r>
  <r>
    <x v="0"/>
    <x v="2"/>
    <x v="16"/>
    <n v="152929.31454387298"/>
    <n v="114696.98590790445"/>
    <x v="15"/>
    <n v="38232.328635968246"/>
    <n v="15292.931454387273"/>
  </r>
  <r>
    <x v="0"/>
    <x v="2"/>
    <x v="17"/>
    <n v="51941.221155844156"/>
    <n v="38955.91586688313"/>
    <x v="16"/>
    <n v="12985.305288961039"/>
    <n v="5194.1221155844141"/>
  </r>
  <r>
    <x v="0"/>
    <x v="2"/>
    <x v="18"/>
    <n v="0"/>
    <n v="0"/>
    <x v="1"/>
    <n v="0"/>
    <n v="0"/>
  </r>
  <r>
    <x v="0"/>
    <x v="2"/>
    <x v="19"/>
    <n v="0"/>
    <n v="0"/>
    <x v="1"/>
    <n v="0"/>
    <n v="0"/>
  </r>
  <r>
    <x v="0"/>
    <x v="2"/>
    <x v="20"/>
    <n v="117686.92100000002"/>
    <n v="88265.190750000023"/>
    <x v="17"/>
    <n v="29421.730250000004"/>
    <n v="11768.692100000022"/>
  </r>
  <r>
    <x v="1"/>
    <x v="0"/>
    <x v="0"/>
    <n v="1681893.1854580806"/>
    <n v="1261419.889093691"/>
    <x v="18"/>
    <n v="420473.29636452015"/>
    <n v="168189.31854582977"/>
  </r>
  <r>
    <x v="1"/>
    <x v="1"/>
    <x v="1"/>
    <n v="35.07"/>
    <n v="26.302499999999998"/>
    <x v="19"/>
    <n v="8.7675000000000001"/>
    <n v="3.5070000000000006"/>
  </r>
  <r>
    <x v="1"/>
    <x v="2"/>
    <x v="2"/>
    <n v="51774.064166666642"/>
    <n v="38830.548124999943"/>
    <x v="20"/>
    <n v="12943.51604166666"/>
    <n v="5177.4064166666649"/>
  </r>
  <r>
    <x v="1"/>
    <x v="2"/>
    <x v="3"/>
    <n v="111602.51194465274"/>
    <n v="83701.883958489547"/>
    <x v="21"/>
    <n v="27900.627986163185"/>
    <n v="11160.251194465271"/>
  </r>
  <r>
    <x v="1"/>
    <x v="2"/>
    <x v="4"/>
    <n v="33625.304278860029"/>
    <n v="25218.978209145025"/>
    <x v="22"/>
    <n v="8406.3260697150072"/>
    <n v="3362.5304278860035"/>
  </r>
  <r>
    <x v="1"/>
    <x v="2"/>
    <x v="5"/>
    <n v="155625.43434711071"/>
    <n v="116719.07576033314"/>
    <x v="23"/>
    <n v="38906.358586777678"/>
    <n v="15562.543434711077"/>
  </r>
  <r>
    <x v="1"/>
    <x v="3"/>
    <x v="6"/>
    <n v="287346.82096103899"/>
    <n v="215510.11572077926"/>
    <x v="24"/>
    <n v="71836.705240259747"/>
    <n v="28734.682096103897"/>
  </r>
  <r>
    <x v="1"/>
    <x v="2"/>
    <x v="7"/>
    <n v="47130.734421384201"/>
    <n v="35348.0508160381"/>
    <x v="25"/>
    <n v="11782.68360534605"/>
    <n v="4713.0734421384122"/>
  </r>
  <r>
    <x v="1"/>
    <x v="4"/>
    <x v="8"/>
    <n v="168218.0265800865"/>
    <n v="126163.51993506502"/>
    <x v="26"/>
    <n v="42054.506645021625"/>
    <n v="16821.802658008633"/>
  </r>
  <r>
    <x v="1"/>
    <x v="0"/>
    <x v="9"/>
    <n v="414618.08359172504"/>
    <n v="310963.56269379344"/>
    <x v="27"/>
    <n v="103654.52089793126"/>
    <n v="41461.808359172363"/>
  </r>
  <r>
    <x v="1"/>
    <x v="2"/>
    <x v="10"/>
    <n v="85942.197560051209"/>
    <n v="64456.648170038359"/>
    <x v="28"/>
    <n v="21485.549390012802"/>
    <n v="8594.2197560051263"/>
  </r>
  <r>
    <x v="1"/>
    <x v="5"/>
    <x v="11"/>
    <n v="7209.654166666669"/>
    <n v="5407.2406249999995"/>
    <x v="29"/>
    <n v="1802.4135416666672"/>
    <n v="720.9654166666669"/>
  </r>
  <r>
    <x v="1"/>
    <x v="5"/>
    <x v="12"/>
    <n v="0"/>
    <n v="0"/>
    <x v="1"/>
    <n v="0"/>
    <n v="0"/>
  </r>
  <r>
    <x v="1"/>
    <x v="2"/>
    <x v="13"/>
    <n v="59252.812333333386"/>
    <n v="44439.609249999863"/>
    <x v="30"/>
    <n v="14813.203083333347"/>
    <n v="5925.2812333333222"/>
  </r>
  <r>
    <x v="1"/>
    <x v="1"/>
    <x v="14"/>
    <n v="80651.795833333337"/>
    <n v="60488.84687500001"/>
    <x v="31"/>
    <n v="20162.948958333334"/>
    <n v="8065.1795833333317"/>
  </r>
  <r>
    <x v="1"/>
    <x v="0"/>
    <x v="15"/>
    <n v="1400223.2716090381"/>
    <n v="1050167.4537068873"/>
    <x v="32"/>
    <n v="350055.81790225953"/>
    <n v="140022.32716091725"/>
  </r>
  <r>
    <x v="1"/>
    <x v="2"/>
    <x v="16"/>
    <n v="274395.13417376974"/>
    <n v="205796.35063032576"/>
    <x v="33"/>
    <n v="68598.783543442434"/>
    <n v="27439.513417376882"/>
  </r>
  <r>
    <x v="1"/>
    <x v="2"/>
    <x v="17"/>
    <n v="33974.147377289337"/>
    <n v="25480.610532967043"/>
    <x v="34"/>
    <n v="8493.5368443223342"/>
    <n v="3397.4147377289401"/>
  </r>
  <r>
    <x v="1"/>
    <x v="2"/>
    <x v="18"/>
    <n v="0"/>
    <n v="0"/>
    <x v="1"/>
    <n v="0"/>
    <n v="0"/>
  </r>
  <r>
    <x v="1"/>
    <x v="2"/>
    <x v="19"/>
    <n v="3629.09"/>
    <n v="2721.8175000000001"/>
    <x v="35"/>
    <n v="907.27250000000004"/>
    <n v="362.90899999999999"/>
  </r>
  <r>
    <x v="1"/>
    <x v="2"/>
    <x v="20"/>
    <n v="308457.74409523874"/>
    <n v="231343.30807142862"/>
    <x v="36"/>
    <n v="77114.436023809685"/>
    <n v="30845.774409523903"/>
  </r>
  <r>
    <x v="2"/>
    <x v="0"/>
    <x v="0"/>
    <n v="83712.548231412933"/>
    <n v="62784.411173559041"/>
    <x v="37"/>
    <n v="20928.137057853233"/>
    <n v="8371.2548231411911"/>
  </r>
  <r>
    <x v="2"/>
    <x v="1"/>
    <x v="1"/>
    <n v="742.375"/>
    <n v="556.78125"/>
    <x v="38"/>
    <n v="185.59375"/>
    <n v="74.237499999999997"/>
  </r>
  <r>
    <x v="2"/>
    <x v="2"/>
    <x v="2"/>
    <n v="24407.755269841244"/>
    <n v="18305.816452380943"/>
    <x v="39"/>
    <n v="6101.9388174603109"/>
    <n v="2440.7755269841286"/>
  </r>
  <r>
    <x v="2"/>
    <x v="2"/>
    <x v="3"/>
    <n v="55244.09661806401"/>
    <n v="41433.072463548029"/>
    <x v="40"/>
    <n v="13811.024154516002"/>
    <n v="5524.4096618064059"/>
  </r>
  <r>
    <x v="2"/>
    <x v="2"/>
    <x v="4"/>
    <n v="40963.149280698148"/>
    <n v="30722.361960523558"/>
    <x v="41"/>
    <n v="10240.787320174537"/>
    <n v="4096.314928069809"/>
  </r>
  <r>
    <x v="2"/>
    <x v="2"/>
    <x v="5"/>
    <n v="65418.312664141427"/>
    <n v="49063.734498106089"/>
    <x v="42"/>
    <n v="16354.578166035357"/>
    <n v="6541.8312664141404"/>
  </r>
  <r>
    <x v="2"/>
    <x v="3"/>
    <x v="6"/>
    <n v="58717.920749205136"/>
    <n v="44038.440561903888"/>
    <x v="43"/>
    <n v="14679.480187301284"/>
    <n v="5871.7920749205141"/>
  </r>
  <r>
    <x v="2"/>
    <x v="2"/>
    <x v="7"/>
    <n v="43393.473510795484"/>
    <n v="32545.105133096604"/>
    <x v="44"/>
    <n v="10848.368377698871"/>
    <n v="4339.347351079552"/>
  </r>
  <r>
    <x v="2"/>
    <x v="4"/>
    <x v="8"/>
    <n v="12805.999178571425"/>
    <n v="9604.4993839285798"/>
    <x v="45"/>
    <n v="3201.4997946428562"/>
    <n v="1280.5999178571428"/>
  </r>
  <r>
    <x v="2"/>
    <x v="0"/>
    <x v="9"/>
    <n v="556484.98174975382"/>
    <n v="417363.73631231586"/>
    <x v="46"/>
    <n v="139121.24543743845"/>
    <n v="55648.498174975641"/>
  </r>
  <r>
    <x v="2"/>
    <x v="2"/>
    <x v="10"/>
    <n v="197577.75750341895"/>
    <n v="148183.31812756366"/>
    <x v="47"/>
    <n v="49394.439375854738"/>
    <n v="19757.775750341927"/>
  </r>
  <r>
    <x v="2"/>
    <x v="5"/>
    <x v="11"/>
    <n v="7546.2655777777754"/>
    <n v="5659.699183333335"/>
    <x v="48"/>
    <n v="1886.5663944444439"/>
    <n v="754.62655777777798"/>
  </r>
  <r>
    <x v="2"/>
    <x v="5"/>
    <x v="12"/>
    <n v="0"/>
    <n v="0"/>
    <x v="1"/>
    <n v="0"/>
    <n v="0"/>
  </r>
  <r>
    <x v="2"/>
    <x v="2"/>
    <x v="13"/>
    <n v="14277.777166666672"/>
    <n v="10708.332875"/>
    <x v="49"/>
    <n v="3569.4442916666681"/>
    <n v="1427.7777166666656"/>
  </r>
  <r>
    <x v="2"/>
    <x v="1"/>
    <x v="14"/>
    <n v="37478.82"/>
    <n v="28109.114999999998"/>
    <x v="50"/>
    <n v="9369.7049999999999"/>
    <n v="3747.8820000000001"/>
  </r>
  <r>
    <x v="2"/>
    <x v="0"/>
    <x v="15"/>
    <n v="506319.62569490843"/>
    <n v="379739.71927118872"/>
    <x v="51"/>
    <n v="126579.90642372711"/>
    <n v="50631.962569491356"/>
  </r>
  <r>
    <x v="2"/>
    <x v="2"/>
    <x v="16"/>
    <n v="130673.33220296477"/>
    <n v="98004.999152223885"/>
    <x v="52"/>
    <n v="32668.333050741192"/>
    <n v="13067.333220296436"/>
  </r>
  <r>
    <x v="2"/>
    <x v="2"/>
    <x v="17"/>
    <n v="52058.030626585372"/>
    <n v="39043.522969939033"/>
    <x v="53"/>
    <n v="13014.507656646343"/>
    <n v="5205.803062658536"/>
  </r>
  <r>
    <x v="2"/>
    <x v="2"/>
    <x v="18"/>
    <n v="228.85"/>
    <n v="171.63749999999999"/>
    <x v="54"/>
    <n v="57.212499999999999"/>
    <n v="22.885000000000002"/>
  </r>
  <r>
    <x v="2"/>
    <x v="2"/>
    <x v="19"/>
    <n v="780"/>
    <n v="585"/>
    <x v="55"/>
    <n v="195"/>
    <n v="78"/>
  </r>
  <r>
    <x v="2"/>
    <x v="2"/>
    <x v="20"/>
    <n v="19433.367505952367"/>
    <n v="14575.025629464288"/>
    <x v="56"/>
    <n v="4858.3418764880917"/>
    <n v="1943.3367505952367"/>
  </r>
  <r>
    <x v="3"/>
    <x v="6"/>
    <x v="21"/>
    <s v="PV KW (100%)"/>
    <s v="PV KW (75%)"/>
    <x v="57"/>
    <s v="PV KW (25%)"/>
    <s v="PV KW (10%)"/>
  </r>
  <r>
    <x v="3"/>
    <x v="0"/>
    <x v="0"/>
    <n v="1931631.2762088855"/>
    <n v="1448723.4571564887"/>
    <x v="58"/>
    <n v="482907.81905222137"/>
    <n v="193163.12762083518"/>
  </r>
  <r>
    <x v="3"/>
    <x v="1"/>
    <x v="1"/>
    <n v="981.35047908000979"/>
    <n v="736.01285931000734"/>
    <x v="59"/>
    <n v="245.33761977000245"/>
    <n v="98.135047908000985"/>
  </r>
  <r>
    <x v="3"/>
    <x v="2"/>
    <x v="2"/>
    <n v="49818.244019607831"/>
    <n v="37363.683014705879"/>
    <x v="60"/>
    <n v="12454.561004901958"/>
    <n v="4981.8244019607828"/>
  </r>
  <r>
    <x v="3"/>
    <x v="2"/>
    <x v="3"/>
    <n v="104340.15744047621"/>
    <n v="78255.118080357162"/>
    <x v="61"/>
    <n v="26085.039360119052"/>
    <n v="10434.015744047627"/>
  </r>
  <r>
    <x v="3"/>
    <x v="2"/>
    <x v="4"/>
    <n v="23131.250277663512"/>
    <n v="17348.437708247649"/>
    <x v="62"/>
    <n v="5782.812569415878"/>
    <n v="2313.1250277663512"/>
  </r>
  <r>
    <x v="3"/>
    <x v="2"/>
    <x v="5"/>
    <n v="210381.74083333346"/>
    <n v="157786.30562500015"/>
    <x v="63"/>
    <n v="52595.435208333365"/>
    <n v="21038.17408333331"/>
  </r>
  <r>
    <x v="3"/>
    <x v="3"/>
    <x v="6"/>
    <n v="30880.623918187219"/>
    <n v="23160.467938640406"/>
    <x v="64"/>
    <n v="7720.1559795468047"/>
    <n v="3088.0623918187216"/>
  </r>
  <r>
    <x v="3"/>
    <x v="2"/>
    <x v="7"/>
    <n v="60464.318236020939"/>
    <n v="45348.23867701571"/>
    <x v="65"/>
    <n v="15116.079559005235"/>
    <n v="6046.4318236020972"/>
  </r>
  <r>
    <x v="3"/>
    <x v="4"/>
    <x v="8"/>
    <n v="195524.60310597697"/>
    <n v="146643.45232948291"/>
    <x v="66"/>
    <n v="48881.150776494243"/>
    <n v="19552.460310597718"/>
  </r>
  <r>
    <x v="3"/>
    <x v="0"/>
    <x v="9"/>
    <n v="582733.87323352217"/>
    <n v="437050.40492514183"/>
    <x v="67"/>
    <n v="145683.46830838054"/>
    <n v="58273.387323352123"/>
  </r>
  <r>
    <x v="3"/>
    <x v="2"/>
    <x v="10"/>
    <n v="110846.76869047619"/>
    <n v="83135.076517856985"/>
    <x v="68"/>
    <n v="27711.692172619049"/>
    <n v="11084.6768690476"/>
  </r>
  <r>
    <x v="3"/>
    <x v="5"/>
    <x v="11"/>
    <n v="3447.3466666666664"/>
    <n v="2585.5099999999998"/>
    <x v="69"/>
    <n v="861.83666666666659"/>
    <n v="344.73466666666667"/>
  </r>
  <r>
    <x v="3"/>
    <x v="5"/>
    <x v="12"/>
    <n v="0"/>
    <n v="0"/>
    <x v="1"/>
    <n v="0"/>
    <n v="0"/>
  </r>
  <r>
    <x v="3"/>
    <x v="2"/>
    <x v="13"/>
    <n v="50020.702203943132"/>
    <n v="37515.526652957313"/>
    <x v="70"/>
    <n v="12505.175550985783"/>
    <n v="5002.0702203943047"/>
  </r>
  <r>
    <x v="3"/>
    <x v="1"/>
    <x v="14"/>
    <n v="20"/>
    <n v="15"/>
    <x v="71"/>
    <n v="5"/>
    <n v="2"/>
  </r>
  <r>
    <x v="3"/>
    <x v="0"/>
    <x v="15"/>
    <n v="2704993.8573539141"/>
    <n v="2028745.3930154911"/>
    <x v="72"/>
    <n v="676248.46433847852"/>
    <n v="270499.38573539938"/>
  </r>
  <r>
    <x v="3"/>
    <x v="2"/>
    <x v="16"/>
    <n v="339577.83155952417"/>
    <n v="254683.37366964272"/>
    <x v="73"/>
    <n v="84894.457889881043"/>
    <n v="33957.783155952413"/>
  </r>
  <r>
    <x v="3"/>
    <x v="2"/>
    <x v="17"/>
    <n v="30811.338857142837"/>
    <n v="23108.504142857135"/>
    <x v="74"/>
    <n v="7702.8347142857092"/>
    <n v="3081.1338857142873"/>
  </r>
  <r>
    <x v="3"/>
    <x v="2"/>
    <x v="18"/>
    <n v="73.099999999999994"/>
    <n v="54.825000000000003"/>
    <x v="75"/>
    <n v="18.274999999999999"/>
    <n v="7.31"/>
  </r>
  <r>
    <x v="3"/>
    <x v="2"/>
    <x v="19"/>
    <n v="30.4"/>
    <n v="22.8"/>
    <x v="76"/>
    <n v="7.6"/>
    <n v="3.04"/>
  </r>
  <r>
    <x v="3"/>
    <x v="2"/>
    <x v="20"/>
    <n v="306462.27830835659"/>
    <n v="229846.70873126734"/>
    <x v="77"/>
    <n v="76615.569577089147"/>
    <n v="30646.227830835705"/>
  </r>
  <r>
    <x v="4"/>
    <x v="0"/>
    <x v="0"/>
    <n v="1127864.3667357678"/>
    <n v="845898.27505175781"/>
    <x v="78"/>
    <n v="281966.09168394195"/>
    <n v="112786.43667358205"/>
  </r>
  <r>
    <x v="4"/>
    <x v="1"/>
    <x v="1"/>
    <n v="1279.4000000000001"/>
    <n v="959.55"/>
    <x v="79"/>
    <n v="319.85000000000002"/>
    <n v="127.94"/>
  </r>
  <r>
    <x v="4"/>
    <x v="2"/>
    <x v="2"/>
    <n v="9289.7997101449255"/>
    <n v="6967.3497826086959"/>
    <x v="80"/>
    <n v="2322.4499275362314"/>
    <n v="928.97997101449255"/>
  </r>
  <r>
    <x v="4"/>
    <x v="2"/>
    <x v="3"/>
    <n v="4427.0232222222239"/>
    <n v="3320.2674166666652"/>
    <x v="81"/>
    <n v="1106.755805555556"/>
    <n v="442.70232222222211"/>
  </r>
  <r>
    <x v="4"/>
    <x v="2"/>
    <x v="4"/>
    <n v="530.39333333333332"/>
    <n v="397.79500000000007"/>
    <x v="82"/>
    <n v="132.59833333333333"/>
    <n v="53.03933333333331"/>
  </r>
  <r>
    <x v="4"/>
    <x v="2"/>
    <x v="5"/>
    <n v="10125.106166666672"/>
    <n v="7593.8296250000003"/>
    <x v="83"/>
    <n v="2531.276541666668"/>
    <n v="1012.5106166666665"/>
  </r>
  <r>
    <x v="4"/>
    <x v="3"/>
    <x v="6"/>
    <n v="2650.5075975975974"/>
    <n v="1987.8806981981984"/>
    <x v="84"/>
    <n v="662.62689939939935"/>
    <n v="265.05075975975973"/>
  </r>
  <r>
    <x v="4"/>
    <x v="2"/>
    <x v="7"/>
    <n v="3987.8966666666661"/>
    <n v="2990.9225000000006"/>
    <x v="85"/>
    <n v="996.97416666666652"/>
    <n v="398.78966666666668"/>
  </r>
  <r>
    <x v="4"/>
    <x v="4"/>
    <x v="8"/>
    <n v="1318.0650000000003"/>
    <n v="988.54874999999981"/>
    <x v="86"/>
    <n v="329.51625000000007"/>
    <n v="131.8065"/>
  </r>
  <r>
    <x v="4"/>
    <x v="0"/>
    <x v="9"/>
    <n v="4927.3863043478259"/>
    <n v="3695.5397282608697"/>
    <x v="87"/>
    <n v="1231.8465760869565"/>
    <n v="492.73863043478258"/>
  </r>
  <r>
    <x v="4"/>
    <x v="2"/>
    <x v="10"/>
    <n v="18711.78255854288"/>
    <n v="14033.836918907184"/>
    <x v="88"/>
    <n v="4677.94563963572"/>
    <n v="1871.178255854288"/>
  </r>
  <r>
    <x v="4"/>
    <x v="5"/>
    <x v="11"/>
    <n v="1607.6101428571433"/>
    <n v="1205.7076071428571"/>
    <x v="89"/>
    <n v="401.90253571428582"/>
    <n v="160.76101428571428"/>
  </r>
  <r>
    <x v="4"/>
    <x v="5"/>
    <x v="12"/>
    <n v="0"/>
    <n v="0"/>
    <x v="1"/>
    <n v="0"/>
    <n v="0"/>
  </r>
  <r>
    <x v="4"/>
    <x v="2"/>
    <x v="13"/>
    <n v="2953.8283333333334"/>
    <n v="2215.3712500000006"/>
    <x v="90"/>
    <n v="738.45708333333334"/>
    <n v="295.38283333333317"/>
  </r>
  <r>
    <x v="4"/>
    <x v="1"/>
    <x v="14"/>
    <n v="2335.6802105263159"/>
    <n v="1751.7601578947369"/>
    <x v="91"/>
    <n v="583.92005263157898"/>
    <n v="233.56802105263154"/>
  </r>
  <r>
    <x v="4"/>
    <x v="0"/>
    <x v="15"/>
    <n v="36302.729945828862"/>
    <n v="27227.047459371628"/>
    <x v="92"/>
    <n v="9075.6824864572154"/>
    <n v="3630.2729945828814"/>
  </r>
  <r>
    <x v="4"/>
    <x v="2"/>
    <x v="16"/>
    <n v="16379.230530303037"/>
    <n v="12284.422897727265"/>
    <x v="93"/>
    <n v="4094.8076325757593"/>
    <n v="1637.9230530303028"/>
  </r>
  <r>
    <x v="4"/>
    <x v="2"/>
    <x v="17"/>
    <n v="5965.1333333333332"/>
    <n v="4473.8500000000004"/>
    <x v="94"/>
    <n v="1491.2833333333333"/>
    <n v="596.51333333333332"/>
  </r>
  <r>
    <x v="4"/>
    <x v="2"/>
    <x v="18"/>
    <n v="364.78000000000003"/>
    <n v="273.58499999999998"/>
    <x v="95"/>
    <n v="91.195000000000007"/>
    <n v="36.478000000000002"/>
  </r>
  <r>
    <x v="4"/>
    <x v="2"/>
    <x v="19"/>
    <n v="3069.2849029126214"/>
    <n v="2301.9636771844666"/>
    <x v="96"/>
    <n v="767.32122572815535"/>
    <n v="306.92849029126211"/>
  </r>
  <r>
    <x v="4"/>
    <x v="2"/>
    <x v="20"/>
    <n v="4252.0611446886451"/>
    <n v="3189.0458585164806"/>
    <x v="97"/>
    <n v="1063.0152861721613"/>
    <n v="425.20611446886437"/>
  </r>
  <r>
    <x v="5"/>
    <x v="7"/>
    <x v="22"/>
    <m/>
    <m/>
    <x v="98"/>
    <m/>
    <m/>
  </r>
  <r>
    <x v="5"/>
    <x v="7"/>
    <x v="22"/>
    <m/>
    <m/>
    <x v="98"/>
    <m/>
    <m/>
  </r>
  <r>
    <x v="5"/>
    <x v="7"/>
    <x v="22"/>
    <m/>
    <m/>
    <x v="98"/>
    <m/>
    <m/>
  </r>
  <r>
    <x v="5"/>
    <x v="7"/>
    <x v="22"/>
    <m/>
    <m/>
    <x v="98"/>
    <m/>
    <m/>
  </r>
  <r>
    <x v="5"/>
    <x v="7"/>
    <x v="22"/>
    <m/>
    <m/>
    <x v="98"/>
    <m/>
    <m/>
  </r>
  <r>
    <x v="5"/>
    <x v="7"/>
    <x v="22"/>
    <m/>
    <m/>
    <x v="98"/>
    <m/>
    <m/>
  </r>
  <r>
    <x v="5"/>
    <x v="7"/>
    <x v="22"/>
    <m/>
    <m/>
    <x v="98"/>
    <m/>
    <m/>
  </r>
  <r>
    <x v="5"/>
    <x v="7"/>
    <x v="22"/>
    <m/>
    <m/>
    <x v="98"/>
    <m/>
    <m/>
  </r>
  <r>
    <x v="5"/>
    <x v="7"/>
    <x v="22"/>
    <m/>
    <m/>
    <x v="98"/>
    <m/>
    <m/>
  </r>
  <r>
    <x v="5"/>
    <x v="7"/>
    <x v="22"/>
    <m/>
    <m/>
    <x v="98"/>
    <m/>
    <m/>
  </r>
  <r>
    <x v="5"/>
    <x v="7"/>
    <x v="22"/>
    <m/>
    <m/>
    <x v="98"/>
    <m/>
    <m/>
  </r>
  <r>
    <x v="5"/>
    <x v="7"/>
    <x v="22"/>
    <m/>
    <m/>
    <x v="98"/>
    <m/>
    <m/>
  </r>
  <r>
    <x v="5"/>
    <x v="7"/>
    <x v="22"/>
    <m/>
    <m/>
    <x v="98"/>
    <m/>
    <m/>
  </r>
  <r>
    <x v="5"/>
    <x v="7"/>
    <x v="22"/>
    <m/>
    <m/>
    <x v="98"/>
    <m/>
    <m/>
  </r>
  <r>
    <x v="5"/>
    <x v="7"/>
    <x v="22"/>
    <m/>
    <m/>
    <x v="98"/>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1C00-000000000000}"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K9:R19" firstHeaderRow="1" firstDataRow="2" firstDataCol="1"/>
  <pivotFields count="8">
    <pivotField axis="axisCol" subtotalTop="0" showAll="0">
      <items count="7">
        <item x="0"/>
        <item x="1"/>
        <item x="2"/>
        <item x="3"/>
        <item x="4"/>
        <item x="5"/>
        <item t="default"/>
      </items>
    </pivotField>
    <pivotField axis="axisRow" subtotalTop="0" showAll="0">
      <items count="9">
        <item x="2"/>
        <item x="6"/>
        <item x="3"/>
        <item x="4"/>
        <item x="5"/>
        <item x="0"/>
        <item x="1"/>
        <item x="7"/>
        <item t="default"/>
      </items>
    </pivotField>
    <pivotField subtotalTop="0" showAll="0">
      <items count="24">
        <item x="0"/>
        <item x="1"/>
        <item x="2"/>
        <item x="21"/>
        <item x="3"/>
        <item x="4"/>
        <item x="5"/>
        <item x="6"/>
        <item x="7"/>
        <item x="8"/>
        <item x="9"/>
        <item x="10"/>
        <item x="11"/>
        <item x="12"/>
        <item x="13"/>
        <item x="14"/>
        <item x="15"/>
        <item x="16"/>
        <item x="17"/>
        <item x="18"/>
        <item x="19"/>
        <item x="20"/>
        <item x="22"/>
        <item t="default"/>
      </items>
    </pivotField>
    <pivotField subtotalTop="0" showAll="0"/>
    <pivotField subtotalTop="0" showAll="0"/>
    <pivotField dataField="1" subtotalTop="0" showAll="0">
      <items count="100">
        <item x="1"/>
        <item x="71"/>
        <item x="76"/>
        <item x="19"/>
        <item x="75"/>
        <item x="7"/>
        <item x="54"/>
        <item x="95"/>
        <item x="82"/>
        <item x="38"/>
        <item x="55"/>
        <item x="59"/>
        <item x="79"/>
        <item x="86"/>
        <item x="89"/>
        <item x="91"/>
        <item x="84"/>
        <item x="13"/>
        <item x="90"/>
        <item x="96"/>
        <item x="69"/>
        <item x="35"/>
        <item x="85"/>
        <item x="97"/>
        <item x="81"/>
        <item x="12"/>
        <item x="87"/>
        <item x="94"/>
        <item x="29"/>
        <item x="48"/>
        <item x="80"/>
        <item x="83"/>
        <item x="11"/>
        <item x="45"/>
        <item x="49"/>
        <item x="93"/>
        <item x="88"/>
        <item x="56"/>
        <item x="62"/>
        <item x="39"/>
        <item x="4"/>
        <item x="74"/>
        <item x="64"/>
        <item x="22"/>
        <item x="34"/>
        <item x="92"/>
        <item x="50"/>
        <item x="6"/>
        <item x="41"/>
        <item x="44"/>
        <item x="25"/>
        <item x="60"/>
        <item x="70"/>
        <item x="20"/>
        <item x="3"/>
        <item x="16"/>
        <item x="53"/>
        <item x="40"/>
        <item x="43"/>
        <item x="30"/>
        <item x="65"/>
        <item x="42"/>
        <item x="8"/>
        <item x="2"/>
        <item x="31"/>
        <item x="10"/>
        <item x="37"/>
        <item x="28"/>
        <item x="5"/>
        <item x="61"/>
        <item x="68"/>
        <item x="21"/>
        <item x="17"/>
        <item x="52"/>
        <item x="15"/>
        <item x="23"/>
        <item x="26"/>
        <item x="66"/>
        <item x="47"/>
        <item x="63"/>
        <item x="33"/>
        <item x="24"/>
        <item x="77"/>
        <item x="36"/>
        <item x="9"/>
        <item x="73"/>
        <item x="27"/>
        <item x="14"/>
        <item x="51"/>
        <item x="0"/>
        <item x="46"/>
        <item x="67"/>
        <item x="78"/>
        <item x="32"/>
        <item x="18"/>
        <item x="58"/>
        <item x="72"/>
        <item x="57"/>
        <item x="98"/>
        <item t="default"/>
      </items>
    </pivotField>
    <pivotField subtotalTop="0" showAll="0"/>
    <pivotField subtotalTop="0" showAll="0"/>
  </pivotFields>
  <rowFields count="1">
    <field x="1"/>
  </rowFields>
  <rowItems count="9">
    <i>
      <x/>
    </i>
    <i>
      <x v="1"/>
    </i>
    <i>
      <x v="2"/>
    </i>
    <i>
      <x v="3"/>
    </i>
    <i>
      <x v="4"/>
    </i>
    <i>
      <x v="5"/>
    </i>
    <i>
      <x v="6"/>
    </i>
    <i>
      <x v="7"/>
    </i>
    <i t="grand">
      <x/>
    </i>
  </rowItems>
  <colFields count="1">
    <field x="0"/>
  </colFields>
  <colItems count="7">
    <i>
      <x/>
    </i>
    <i>
      <x v="1"/>
    </i>
    <i>
      <x v="2"/>
    </i>
    <i>
      <x v="3"/>
    </i>
    <i>
      <x v="4"/>
    </i>
    <i>
      <x v="5"/>
    </i>
    <i t="grand">
      <x/>
    </i>
  </colItems>
  <dataFields count="1">
    <dataField name="Sum of PV KW (50%)" fld="5" baseField="1" baseItem="0" numFmtId="2"/>
  </dataFields>
  <formats count="70">
    <format dxfId="71">
      <pivotArea type="all" dataOnly="0" outline="0" fieldPosition="0"/>
    </format>
    <format dxfId="70">
      <pivotArea outline="0" collapsedLevelsAreSubtotals="1" fieldPosition="0"/>
    </format>
    <format dxfId="69">
      <pivotArea type="origin" dataOnly="0" labelOnly="1" outline="0" fieldPosition="0"/>
    </format>
    <format dxfId="68">
      <pivotArea field="0" type="button" dataOnly="0" labelOnly="1" outline="0" axis="axisCol" fieldPosition="0"/>
    </format>
    <format dxfId="67">
      <pivotArea type="topRight" dataOnly="0" labelOnly="1" outline="0" fieldPosition="0"/>
    </format>
    <format dxfId="66">
      <pivotArea field="1" type="button" dataOnly="0" labelOnly="1" outline="0" axis="axisRow" fieldPosition="0"/>
    </format>
    <format dxfId="65">
      <pivotArea dataOnly="0" labelOnly="1" fieldPosition="0">
        <references count="1">
          <reference field="1" count="0"/>
        </references>
      </pivotArea>
    </format>
    <format dxfId="64">
      <pivotArea dataOnly="0" labelOnly="1" grandRow="1" outline="0" fieldPosition="0"/>
    </format>
    <format dxfId="63">
      <pivotArea dataOnly="0" labelOnly="1" fieldPosition="0">
        <references count="1">
          <reference field="0" count="0"/>
        </references>
      </pivotArea>
    </format>
    <format dxfId="62">
      <pivotArea dataOnly="0" labelOnly="1" grandCol="1" outline="0" fieldPosition="0"/>
    </format>
    <format dxfId="61">
      <pivotArea type="all" dataOnly="0" outline="0" fieldPosition="0"/>
    </format>
    <format dxfId="60">
      <pivotArea outline="0" collapsedLevelsAreSubtotals="1" fieldPosition="0"/>
    </format>
    <format dxfId="59">
      <pivotArea type="origin" dataOnly="0" labelOnly="1" outline="0" fieldPosition="0"/>
    </format>
    <format dxfId="58">
      <pivotArea field="0" type="button" dataOnly="0" labelOnly="1" outline="0" axis="axisCol" fieldPosition="0"/>
    </format>
    <format dxfId="57">
      <pivotArea type="topRight" dataOnly="0" labelOnly="1" outline="0" fieldPosition="0"/>
    </format>
    <format dxfId="56">
      <pivotArea field="1" type="button" dataOnly="0" labelOnly="1" outline="0" axis="axisRow" fieldPosition="0"/>
    </format>
    <format dxfId="55">
      <pivotArea dataOnly="0" labelOnly="1" fieldPosition="0">
        <references count="1">
          <reference field="1" count="0"/>
        </references>
      </pivotArea>
    </format>
    <format dxfId="54">
      <pivotArea dataOnly="0" labelOnly="1" grandRow="1" outline="0" fieldPosition="0"/>
    </format>
    <format dxfId="53">
      <pivotArea dataOnly="0" labelOnly="1" fieldPosition="0">
        <references count="1">
          <reference field="0" count="0"/>
        </references>
      </pivotArea>
    </format>
    <format dxfId="52">
      <pivotArea dataOnly="0" labelOnly="1" grandCol="1" outline="0" fieldPosition="0"/>
    </format>
    <format dxfId="51">
      <pivotArea type="all" dataOnly="0" outline="0" fieldPosition="0"/>
    </format>
    <format dxfId="50">
      <pivotArea outline="0" collapsedLevelsAreSubtotals="1" fieldPosition="0"/>
    </format>
    <format dxfId="49">
      <pivotArea type="origin" dataOnly="0" labelOnly="1" outline="0" fieldPosition="0"/>
    </format>
    <format dxfId="48">
      <pivotArea field="0" type="button" dataOnly="0" labelOnly="1" outline="0" axis="axisCol" fieldPosition="0"/>
    </format>
    <format dxfId="47">
      <pivotArea type="topRight" dataOnly="0" labelOnly="1" outline="0" fieldPosition="0"/>
    </format>
    <format dxfId="46">
      <pivotArea field="1" type="button" dataOnly="0" labelOnly="1" outline="0" axis="axisRow" fieldPosition="0"/>
    </format>
    <format dxfId="45">
      <pivotArea dataOnly="0" labelOnly="1" fieldPosition="0">
        <references count="1">
          <reference field="1" count="0"/>
        </references>
      </pivotArea>
    </format>
    <format dxfId="44">
      <pivotArea dataOnly="0" labelOnly="1" grandRow="1" outline="0" fieldPosition="0"/>
    </format>
    <format dxfId="43">
      <pivotArea dataOnly="0" labelOnly="1" fieldPosition="0">
        <references count="1">
          <reference field="0" count="0"/>
        </references>
      </pivotArea>
    </format>
    <format dxfId="42">
      <pivotArea dataOnly="0" labelOnly="1" grandCol="1" outline="0" fieldPosition="0"/>
    </format>
    <format dxfId="41">
      <pivotArea type="all" dataOnly="0" outline="0" fieldPosition="0"/>
    </format>
    <format dxfId="40">
      <pivotArea outline="0" collapsedLevelsAreSubtotals="1" fieldPosition="0"/>
    </format>
    <format dxfId="39">
      <pivotArea type="origin" dataOnly="0" labelOnly="1" outline="0" fieldPosition="0"/>
    </format>
    <format dxfId="38">
      <pivotArea field="0" type="button" dataOnly="0" labelOnly="1" outline="0" axis="axisCol" fieldPosition="0"/>
    </format>
    <format dxfId="37">
      <pivotArea type="topRight" dataOnly="0" labelOnly="1" outline="0" fieldPosition="0"/>
    </format>
    <format dxfId="36">
      <pivotArea field="1" type="button" dataOnly="0" labelOnly="1" outline="0" axis="axisRow" fieldPosition="0"/>
    </format>
    <format dxfId="35">
      <pivotArea dataOnly="0" labelOnly="1" fieldPosition="0">
        <references count="1">
          <reference field="1" count="0"/>
        </references>
      </pivotArea>
    </format>
    <format dxfId="34">
      <pivotArea dataOnly="0" labelOnly="1" grandRow="1" outline="0" fieldPosition="0"/>
    </format>
    <format dxfId="33">
      <pivotArea dataOnly="0" labelOnly="1" fieldPosition="0">
        <references count="1">
          <reference field="0" count="0"/>
        </references>
      </pivotArea>
    </format>
    <format dxfId="32">
      <pivotArea dataOnly="0" labelOnly="1" grandCol="1" outline="0" fieldPosition="0"/>
    </format>
    <format dxfId="31">
      <pivotArea type="all" dataOnly="0" outline="0" fieldPosition="0"/>
    </format>
    <format dxfId="30">
      <pivotArea outline="0" collapsedLevelsAreSubtotals="1" fieldPosition="0"/>
    </format>
    <format dxfId="29">
      <pivotArea type="origin" dataOnly="0" labelOnly="1" outline="0" fieldPosition="0"/>
    </format>
    <format dxfId="28">
      <pivotArea field="0" type="button" dataOnly="0" labelOnly="1" outline="0" axis="axisCol" fieldPosition="0"/>
    </format>
    <format dxfId="27">
      <pivotArea type="topRight" dataOnly="0" labelOnly="1" outline="0" fieldPosition="0"/>
    </format>
    <format dxfId="26">
      <pivotArea field="1" type="button" dataOnly="0" labelOnly="1" outline="0" axis="axisRow" fieldPosition="0"/>
    </format>
    <format dxfId="25">
      <pivotArea dataOnly="0" labelOnly="1" fieldPosition="0">
        <references count="1">
          <reference field="1" count="0"/>
        </references>
      </pivotArea>
    </format>
    <format dxfId="24">
      <pivotArea dataOnly="0" labelOnly="1" grandRow="1" outline="0" fieldPosition="0"/>
    </format>
    <format dxfId="23">
      <pivotArea dataOnly="0" labelOnly="1" fieldPosition="0">
        <references count="1">
          <reference field="0" count="0"/>
        </references>
      </pivotArea>
    </format>
    <format dxfId="22">
      <pivotArea dataOnly="0" labelOnly="1" grandCol="1" outline="0" fieldPosition="0"/>
    </format>
    <format dxfId="21">
      <pivotArea type="all" dataOnly="0" outline="0" fieldPosition="0"/>
    </format>
    <format dxfId="20">
      <pivotArea outline="0" collapsedLevelsAreSubtotals="1" fieldPosition="0"/>
    </format>
    <format dxfId="19">
      <pivotArea type="origin" dataOnly="0" labelOnly="1" outline="0" fieldPosition="0"/>
    </format>
    <format dxfId="18">
      <pivotArea field="0" type="button" dataOnly="0" labelOnly="1" outline="0" axis="axisCol" fieldPosition="0"/>
    </format>
    <format dxfId="17">
      <pivotArea type="topRight" dataOnly="0" labelOnly="1" outline="0" fieldPosition="0"/>
    </format>
    <format dxfId="16">
      <pivotArea field="1" type="button" dataOnly="0" labelOnly="1" outline="0" axis="axisRow" fieldPosition="0"/>
    </format>
    <format dxfId="15">
      <pivotArea dataOnly="0" labelOnly="1" fieldPosition="0">
        <references count="1">
          <reference field="1" count="0"/>
        </references>
      </pivotArea>
    </format>
    <format dxfId="14">
      <pivotArea dataOnly="0" labelOnly="1" grandRow="1" outline="0" fieldPosition="0"/>
    </format>
    <format dxfId="13">
      <pivotArea dataOnly="0" labelOnly="1" fieldPosition="0">
        <references count="1">
          <reference field="0" count="0"/>
        </references>
      </pivotArea>
    </format>
    <format dxfId="12">
      <pivotArea dataOnly="0" labelOnly="1" grandCol="1" outline="0" fieldPosition="0"/>
    </format>
    <format dxfId="11">
      <pivotArea type="all" dataOnly="0" outline="0" fieldPosition="0"/>
    </format>
    <format dxfId="10">
      <pivotArea outline="0" collapsedLevelsAreSubtotals="1" fieldPosition="0"/>
    </format>
    <format dxfId="9">
      <pivotArea type="origin" dataOnly="0" labelOnly="1" outline="0" fieldPosition="0"/>
    </format>
    <format dxfId="8">
      <pivotArea field="0" type="button" dataOnly="0" labelOnly="1" outline="0" axis="axisCol" fieldPosition="0"/>
    </format>
    <format dxfId="7">
      <pivotArea type="topRight" dataOnly="0" labelOnly="1" outline="0" fieldPosition="0"/>
    </format>
    <format dxfId="6">
      <pivotArea field="1" type="button" dataOnly="0" labelOnly="1" outline="0" axis="axisRow" fieldPosition="0"/>
    </format>
    <format dxfId="5">
      <pivotArea dataOnly="0" labelOnly="1" fieldPosition="0">
        <references count="1">
          <reference field="1" count="0"/>
        </references>
      </pivotArea>
    </format>
    <format dxfId="4">
      <pivotArea dataOnly="0" labelOnly="1" grandRow="1" outline="0" fieldPosition="0"/>
    </format>
    <format dxfId="3">
      <pivotArea dataOnly="0" labelOnly="1" fieldPosition="0">
        <references count="1">
          <reference field="0" count="0"/>
        </references>
      </pivotArea>
    </format>
    <format dxfId="2">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ontrol" Target="../activeX/activeX3.xml"/><Relationship Id="rId13" Type="http://schemas.openxmlformats.org/officeDocument/2006/relationships/image" Target="../media/image5.emf"/><Relationship Id="rId18" Type="http://schemas.openxmlformats.org/officeDocument/2006/relationships/control" Target="../activeX/activeX8.xml"/><Relationship Id="rId3" Type="http://schemas.openxmlformats.org/officeDocument/2006/relationships/vmlDrawing" Target="../drawings/vmlDrawing1.vml"/><Relationship Id="rId7" Type="http://schemas.openxmlformats.org/officeDocument/2006/relationships/image" Target="../media/image2.emf"/><Relationship Id="rId12" Type="http://schemas.openxmlformats.org/officeDocument/2006/relationships/control" Target="../activeX/activeX5.xml"/><Relationship Id="rId17" Type="http://schemas.openxmlformats.org/officeDocument/2006/relationships/image" Target="../media/image7.emf"/><Relationship Id="rId2" Type="http://schemas.openxmlformats.org/officeDocument/2006/relationships/drawing" Target="../drawings/drawing1.xml"/><Relationship Id="rId16" Type="http://schemas.openxmlformats.org/officeDocument/2006/relationships/control" Target="../activeX/activeX7.xml"/><Relationship Id="rId1" Type="http://schemas.openxmlformats.org/officeDocument/2006/relationships/printerSettings" Target="../printerSettings/printerSettings1.bin"/><Relationship Id="rId6" Type="http://schemas.openxmlformats.org/officeDocument/2006/relationships/control" Target="../activeX/activeX2.xml"/><Relationship Id="rId11" Type="http://schemas.openxmlformats.org/officeDocument/2006/relationships/image" Target="../media/image4.emf"/><Relationship Id="rId5" Type="http://schemas.openxmlformats.org/officeDocument/2006/relationships/image" Target="../media/image1.emf"/><Relationship Id="rId15" Type="http://schemas.openxmlformats.org/officeDocument/2006/relationships/image" Target="../media/image6.emf"/><Relationship Id="rId10" Type="http://schemas.openxmlformats.org/officeDocument/2006/relationships/control" Target="../activeX/activeX4.xml"/><Relationship Id="rId19" Type="http://schemas.openxmlformats.org/officeDocument/2006/relationships/image" Target="../media/image8.emf"/><Relationship Id="rId4" Type="http://schemas.openxmlformats.org/officeDocument/2006/relationships/control" Target="../activeX/activeX1.xml"/><Relationship Id="rId9" Type="http://schemas.openxmlformats.org/officeDocument/2006/relationships/image" Target="../media/image3.emf"/><Relationship Id="rId14" Type="http://schemas.openxmlformats.org/officeDocument/2006/relationships/control" Target="../activeX/activeX6.xml"/></Relationships>
</file>

<file path=xl/worksheets/_rels/sheet2.xml.rels><?xml version="1.0" encoding="UTF-8" standalone="yes"?>
<Relationships xmlns="http://schemas.openxmlformats.org/package/2006/relationships"><Relationship Id="rId8" Type="http://schemas.openxmlformats.org/officeDocument/2006/relationships/control" Target="../activeX/activeX11.xml"/><Relationship Id="rId13" Type="http://schemas.openxmlformats.org/officeDocument/2006/relationships/image" Target="../media/image13.emf"/><Relationship Id="rId3" Type="http://schemas.openxmlformats.org/officeDocument/2006/relationships/vmlDrawing" Target="../drawings/vmlDrawing2.vml"/><Relationship Id="rId7" Type="http://schemas.openxmlformats.org/officeDocument/2006/relationships/image" Target="../media/image10.emf"/><Relationship Id="rId12" Type="http://schemas.openxmlformats.org/officeDocument/2006/relationships/control" Target="../activeX/activeX13.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ntrol" Target="../activeX/activeX10.xml"/><Relationship Id="rId11" Type="http://schemas.openxmlformats.org/officeDocument/2006/relationships/image" Target="../media/image12.emf"/><Relationship Id="rId5" Type="http://schemas.openxmlformats.org/officeDocument/2006/relationships/image" Target="../media/image9.emf"/><Relationship Id="rId10" Type="http://schemas.openxmlformats.org/officeDocument/2006/relationships/control" Target="../activeX/activeX12.xml"/><Relationship Id="rId4" Type="http://schemas.openxmlformats.org/officeDocument/2006/relationships/control" Target="../activeX/activeX9.xml"/><Relationship Id="rId9" Type="http://schemas.openxmlformats.org/officeDocument/2006/relationships/image" Target="../media/image11.emf"/></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12.bin"/><Relationship Id="rId4" Type="http://schemas.openxmlformats.org/officeDocument/2006/relationships/comments" Target="../comments1.xml"/></Relationships>
</file>

<file path=xl/worksheets/_rels/sheet1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4.vml"/></Relationships>
</file>

<file path=xl/worksheets/_rels/sheet18.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5.v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6.vml"/><Relationship Id="rId1" Type="http://schemas.openxmlformats.org/officeDocument/2006/relationships/printerSettings" Target="../printerSettings/printerSettings13.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6.xml"/><Relationship Id="rId1" Type="http://schemas.openxmlformats.org/officeDocument/2006/relationships/printerSettings" Target="../printerSettings/printerSettings15.bin"/><Relationship Id="rId4" Type="http://schemas.openxmlformats.org/officeDocument/2006/relationships/comments" Target="../comments5.xm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4.xml.rels><?xml version="1.0" encoding="UTF-8" standalone="yes"?>
<Relationships xmlns="http://schemas.openxmlformats.org/package/2006/relationships"><Relationship Id="rId8" Type="http://schemas.openxmlformats.org/officeDocument/2006/relationships/control" Target="../activeX/activeX16.xml"/><Relationship Id="rId3" Type="http://schemas.openxmlformats.org/officeDocument/2006/relationships/vmlDrawing" Target="../drawings/vmlDrawing8.vml"/><Relationship Id="rId7" Type="http://schemas.openxmlformats.org/officeDocument/2006/relationships/image" Target="../media/image16.emf"/><Relationship Id="rId2" Type="http://schemas.openxmlformats.org/officeDocument/2006/relationships/drawing" Target="../drawings/drawing7.xml"/><Relationship Id="rId1" Type="http://schemas.openxmlformats.org/officeDocument/2006/relationships/printerSettings" Target="../printerSettings/printerSettings17.bin"/><Relationship Id="rId6" Type="http://schemas.openxmlformats.org/officeDocument/2006/relationships/control" Target="../activeX/activeX15.xml"/><Relationship Id="rId11" Type="http://schemas.openxmlformats.org/officeDocument/2006/relationships/image" Target="../media/image18.emf"/><Relationship Id="rId5" Type="http://schemas.openxmlformats.org/officeDocument/2006/relationships/image" Target="../media/image15.emf"/><Relationship Id="rId10" Type="http://schemas.openxmlformats.org/officeDocument/2006/relationships/control" Target="../activeX/activeX17.xml"/><Relationship Id="rId4" Type="http://schemas.openxmlformats.org/officeDocument/2006/relationships/control" Target="../activeX/activeX14.xml"/><Relationship Id="rId9" Type="http://schemas.openxmlformats.org/officeDocument/2006/relationships/image" Target="../media/image17.emf"/></Relationships>
</file>

<file path=xl/worksheets/_rels/sheet25.xml.rels><?xml version="1.0" encoding="UTF-8" standalone="yes"?>
<Relationships xmlns="http://schemas.openxmlformats.org/package/2006/relationships"><Relationship Id="rId8" Type="http://schemas.openxmlformats.org/officeDocument/2006/relationships/control" Target="../activeX/activeX20.xml"/><Relationship Id="rId13" Type="http://schemas.openxmlformats.org/officeDocument/2006/relationships/image" Target="../media/image23.emf"/><Relationship Id="rId3" Type="http://schemas.openxmlformats.org/officeDocument/2006/relationships/vmlDrawing" Target="../drawings/vmlDrawing9.vml"/><Relationship Id="rId7" Type="http://schemas.openxmlformats.org/officeDocument/2006/relationships/image" Target="../media/image20.emf"/><Relationship Id="rId12" Type="http://schemas.openxmlformats.org/officeDocument/2006/relationships/control" Target="../activeX/activeX22.xml"/><Relationship Id="rId2" Type="http://schemas.openxmlformats.org/officeDocument/2006/relationships/drawing" Target="../drawings/drawing8.xml"/><Relationship Id="rId1" Type="http://schemas.openxmlformats.org/officeDocument/2006/relationships/printerSettings" Target="../printerSettings/printerSettings18.bin"/><Relationship Id="rId6" Type="http://schemas.openxmlformats.org/officeDocument/2006/relationships/control" Target="../activeX/activeX19.xml"/><Relationship Id="rId11" Type="http://schemas.openxmlformats.org/officeDocument/2006/relationships/image" Target="../media/image22.emf"/><Relationship Id="rId5" Type="http://schemas.openxmlformats.org/officeDocument/2006/relationships/image" Target="../media/image19.emf"/><Relationship Id="rId10" Type="http://schemas.openxmlformats.org/officeDocument/2006/relationships/control" Target="../activeX/activeX21.xml"/><Relationship Id="rId4" Type="http://schemas.openxmlformats.org/officeDocument/2006/relationships/control" Target="../activeX/activeX18.xml"/><Relationship Id="rId9" Type="http://schemas.openxmlformats.org/officeDocument/2006/relationships/image" Target="../media/image21.emf"/></Relationships>
</file>

<file path=xl/worksheets/_rels/sheet26.xml.rels><?xml version="1.0" encoding="UTF-8" standalone="yes"?>
<Relationships xmlns="http://schemas.openxmlformats.org/package/2006/relationships"><Relationship Id="rId8" Type="http://schemas.openxmlformats.org/officeDocument/2006/relationships/control" Target="../activeX/activeX25.xml"/><Relationship Id="rId13" Type="http://schemas.openxmlformats.org/officeDocument/2006/relationships/image" Target="../media/image28.emf"/><Relationship Id="rId3" Type="http://schemas.openxmlformats.org/officeDocument/2006/relationships/vmlDrawing" Target="../drawings/vmlDrawing10.vml"/><Relationship Id="rId7" Type="http://schemas.openxmlformats.org/officeDocument/2006/relationships/image" Target="../media/image25.emf"/><Relationship Id="rId12" Type="http://schemas.openxmlformats.org/officeDocument/2006/relationships/control" Target="../activeX/activeX27.xml"/><Relationship Id="rId17" Type="http://schemas.openxmlformats.org/officeDocument/2006/relationships/image" Target="../media/image30.emf"/><Relationship Id="rId2" Type="http://schemas.openxmlformats.org/officeDocument/2006/relationships/drawing" Target="../drawings/drawing9.xml"/><Relationship Id="rId16" Type="http://schemas.openxmlformats.org/officeDocument/2006/relationships/control" Target="../activeX/activeX29.xml"/><Relationship Id="rId1" Type="http://schemas.openxmlformats.org/officeDocument/2006/relationships/printerSettings" Target="../printerSettings/printerSettings19.bin"/><Relationship Id="rId6" Type="http://schemas.openxmlformats.org/officeDocument/2006/relationships/control" Target="../activeX/activeX24.xml"/><Relationship Id="rId11" Type="http://schemas.openxmlformats.org/officeDocument/2006/relationships/image" Target="../media/image27.emf"/><Relationship Id="rId5" Type="http://schemas.openxmlformats.org/officeDocument/2006/relationships/image" Target="../media/image24.emf"/><Relationship Id="rId15" Type="http://schemas.openxmlformats.org/officeDocument/2006/relationships/image" Target="../media/image29.emf"/><Relationship Id="rId10" Type="http://schemas.openxmlformats.org/officeDocument/2006/relationships/control" Target="../activeX/activeX26.xml"/><Relationship Id="rId4" Type="http://schemas.openxmlformats.org/officeDocument/2006/relationships/control" Target="../activeX/activeX23.xml"/><Relationship Id="rId9" Type="http://schemas.openxmlformats.org/officeDocument/2006/relationships/image" Target="../media/image26.emf"/><Relationship Id="rId14" Type="http://schemas.openxmlformats.org/officeDocument/2006/relationships/control" Target="../activeX/activeX28.xml"/></Relationships>
</file>

<file path=xl/worksheets/_rels/sheet27.xml.rels><?xml version="1.0" encoding="UTF-8" standalone="yes"?>
<Relationships xmlns="http://schemas.openxmlformats.org/package/2006/relationships"><Relationship Id="rId8" Type="http://schemas.openxmlformats.org/officeDocument/2006/relationships/control" Target="../activeX/activeX32.xml"/><Relationship Id="rId13" Type="http://schemas.openxmlformats.org/officeDocument/2006/relationships/image" Target="../media/image35.emf"/><Relationship Id="rId3" Type="http://schemas.openxmlformats.org/officeDocument/2006/relationships/vmlDrawing" Target="../drawings/vmlDrawing11.vml"/><Relationship Id="rId7" Type="http://schemas.openxmlformats.org/officeDocument/2006/relationships/image" Target="../media/image32.emf"/><Relationship Id="rId12" Type="http://schemas.openxmlformats.org/officeDocument/2006/relationships/control" Target="../activeX/activeX34.xml"/><Relationship Id="rId2" Type="http://schemas.openxmlformats.org/officeDocument/2006/relationships/drawing" Target="../drawings/drawing10.xml"/><Relationship Id="rId1" Type="http://schemas.openxmlformats.org/officeDocument/2006/relationships/printerSettings" Target="../printerSettings/printerSettings20.bin"/><Relationship Id="rId6" Type="http://schemas.openxmlformats.org/officeDocument/2006/relationships/control" Target="../activeX/activeX31.xml"/><Relationship Id="rId11" Type="http://schemas.openxmlformats.org/officeDocument/2006/relationships/image" Target="../media/image34.emf"/><Relationship Id="rId5" Type="http://schemas.openxmlformats.org/officeDocument/2006/relationships/image" Target="../media/image31.emf"/><Relationship Id="rId15" Type="http://schemas.openxmlformats.org/officeDocument/2006/relationships/image" Target="../media/image36.emf"/><Relationship Id="rId10" Type="http://schemas.openxmlformats.org/officeDocument/2006/relationships/control" Target="../activeX/activeX33.xml"/><Relationship Id="rId4" Type="http://schemas.openxmlformats.org/officeDocument/2006/relationships/control" Target="../activeX/activeX30.xml"/><Relationship Id="rId9" Type="http://schemas.openxmlformats.org/officeDocument/2006/relationships/image" Target="../media/image33.emf"/><Relationship Id="rId14" Type="http://schemas.openxmlformats.org/officeDocument/2006/relationships/control" Target="../activeX/activeX35.xml"/></Relationships>
</file>

<file path=xl/worksheets/_rels/sheet28.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hyperlink" Target="https://nysolarmap.com/" TargetMode="External"/><Relationship Id="rId1" Type="http://schemas.openxmlformats.org/officeDocument/2006/relationships/pivotTable" Target="../pivotTables/pivotTable1.xml"/><Relationship Id="rId5" Type="http://schemas.openxmlformats.org/officeDocument/2006/relationships/comments" Target="../comments6.xml"/><Relationship Id="rId4" Type="http://schemas.openxmlformats.org/officeDocument/2006/relationships/vmlDrawing" Target="../drawings/vmlDrawing12.vml"/></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30.xml.rels><?xml version="1.0" encoding="UTF-8" standalone="yes"?>
<Relationships xmlns="http://schemas.openxmlformats.org/package/2006/relationships"><Relationship Id="rId2" Type="http://schemas.openxmlformats.org/officeDocument/2006/relationships/printerSettings" Target="../printerSettings/printerSettings22.bin"/><Relationship Id="rId1" Type="http://schemas.openxmlformats.org/officeDocument/2006/relationships/hyperlink" Target="http://www.bea.gov/national/nipaweb/SelectTable.asp?Selected=Y" TargetMode="External"/></Relationships>
</file>

<file path=xl/worksheets/_rels/sheet31.xml.rels><?xml version="1.0" encoding="UTF-8" standalone="yes"?>
<Relationships xmlns="http://schemas.openxmlformats.org/package/2006/relationships"><Relationship Id="rId8" Type="http://schemas.openxmlformats.org/officeDocument/2006/relationships/control" Target="../activeX/activeX38.xml"/><Relationship Id="rId13" Type="http://schemas.openxmlformats.org/officeDocument/2006/relationships/image" Target="../media/image43.emf"/><Relationship Id="rId3" Type="http://schemas.openxmlformats.org/officeDocument/2006/relationships/vmlDrawing" Target="../drawings/vmlDrawing13.vml"/><Relationship Id="rId7" Type="http://schemas.openxmlformats.org/officeDocument/2006/relationships/image" Target="../media/image40.emf"/><Relationship Id="rId12" Type="http://schemas.openxmlformats.org/officeDocument/2006/relationships/control" Target="../activeX/activeX40.xml"/><Relationship Id="rId2" Type="http://schemas.openxmlformats.org/officeDocument/2006/relationships/drawing" Target="../drawings/drawing12.xml"/><Relationship Id="rId1" Type="http://schemas.openxmlformats.org/officeDocument/2006/relationships/printerSettings" Target="../printerSettings/printerSettings23.bin"/><Relationship Id="rId6" Type="http://schemas.openxmlformats.org/officeDocument/2006/relationships/control" Target="../activeX/activeX37.xml"/><Relationship Id="rId11" Type="http://schemas.openxmlformats.org/officeDocument/2006/relationships/image" Target="../media/image42.emf"/><Relationship Id="rId5" Type="http://schemas.openxmlformats.org/officeDocument/2006/relationships/image" Target="../media/image39.emf"/><Relationship Id="rId15" Type="http://schemas.openxmlformats.org/officeDocument/2006/relationships/image" Target="../media/image44.emf"/><Relationship Id="rId10" Type="http://schemas.openxmlformats.org/officeDocument/2006/relationships/control" Target="../activeX/activeX39.xml"/><Relationship Id="rId4" Type="http://schemas.openxmlformats.org/officeDocument/2006/relationships/control" Target="../activeX/activeX36.xml"/><Relationship Id="rId9" Type="http://schemas.openxmlformats.org/officeDocument/2006/relationships/image" Target="../media/image41.emf"/><Relationship Id="rId14" Type="http://schemas.openxmlformats.org/officeDocument/2006/relationships/control" Target="../activeX/activeX41.xml"/></Relationships>
</file>

<file path=xl/worksheets/_rels/sheet32.xml.rels><?xml version="1.0" encoding="UTF-8" standalone="yes"?>
<Relationships xmlns="http://schemas.openxmlformats.org/package/2006/relationships"><Relationship Id="rId8" Type="http://schemas.openxmlformats.org/officeDocument/2006/relationships/control" Target="../activeX/activeX44.xml"/><Relationship Id="rId13" Type="http://schemas.openxmlformats.org/officeDocument/2006/relationships/image" Target="../media/image49.emf"/><Relationship Id="rId3" Type="http://schemas.openxmlformats.org/officeDocument/2006/relationships/vmlDrawing" Target="../drawings/vmlDrawing14.vml"/><Relationship Id="rId7" Type="http://schemas.openxmlformats.org/officeDocument/2006/relationships/image" Target="../media/image46.emf"/><Relationship Id="rId12" Type="http://schemas.openxmlformats.org/officeDocument/2006/relationships/control" Target="../activeX/activeX46.xml"/><Relationship Id="rId17" Type="http://schemas.openxmlformats.org/officeDocument/2006/relationships/image" Target="../media/image51.emf"/><Relationship Id="rId2" Type="http://schemas.openxmlformats.org/officeDocument/2006/relationships/drawing" Target="../drawings/drawing13.xml"/><Relationship Id="rId16" Type="http://schemas.openxmlformats.org/officeDocument/2006/relationships/control" Target="../activeX/activeX48.xml"/><Relationship Id="rId1" Type="http://schemas.openxmlformats.org/officeDocument/2006/relationships/printerSettings" Target="../printerSettings/printerSettings24.bin"/><Relationship Id="rId6" Type="http://schemas.openxmlformats.org/officeDocument/2006/relationships/control" Target="../activeX/activeX43.xml"/><Relationship Id="rId11" Type="http://schemas.openxmlformats.org/officeDocument/2006/relationships/image" Target="../media/image48.emf"/><Relationship Id="rId5" Type="http://schemas.openxmlformats.org/officeDocument/2006/relationships/image" Target="../media/image45.emf"/><Relationship Id="rId15" Type="http://schemas.openxmlformats.org/officeDocument/2006/relationships/image" Target="../media/image50.emf"/><Relationship Id="rId10" Type="http://schemas.openxmlformats.org/officeDocument/2006/relationships/control" Target="../activeX/activeX45.xml"/><Relationship Id="rId4" Type="http://schemas.openxmlformats.org/officeDocument/2006/relationships/control" Target="../activeX/activeX42.xml"/><Relationship Id="rId9" Type="http://schemas.openxmlformats.org/officeDocument/2006/relationships/image" Target="../media/image47.emf"/><Relationship Id="rId14" Type="http://schemas.openxmlformats.org/officeDocument/2006/relationships/control" Target="../activeX/activeX47.xml"/></Relationships>
</file>

<file path=xl/worksheets/_rels/sheet33.xml.rels><?xml version="1.0" encoding="UTF-8" standalone="yes"?>
<Relationships xmlns="http://schemas.openxmlformats.org/package/2006/relationships"><Relationship Id="rId8" Type="http://schemas.openxmlformats.org/officeDocument/2006/relationships/control" Target="../activeX/activeX51.xml"/><Relationship Id="rId13" Type="http://schemas.openxmlformats.org/officeDocument/2006/relationships/image" Target="../media/image56.emf"/><Relationship Id="rId3" Type="http://schemas.openxmlformats.org/officeDocument/2006/relationships/vmlDrawing" Target="../drawings/vmlDrawing15.vml"/><Relationship Id="rId7" Type="http://schemas.openxmlformats.org/officeDocument/2006/relationships/image" Target="../media/image53.emf"/><Relationship Id="rId12" Type="http://schemas.openxmlformats.org/officeDocument/2006/relationships/control" Target="../activeX/activeX53.xml"/><Relationship Id="rId2" Type="http://schemas.openxmlformats.org/officeDocument/2006/relationships/drawing" Target="../drawings/drawing14.xml"/><Relationship Id="rId1" Type="http://schemas.openxmlformats.org/officeDocument/2006/relationships/printerSettings" Target="../printerSettings/printerSettings25.bin"/><Relationship Id="rId6" Type="http://schemas.openxmlformats.org/officeDocument/2006/relationships/control" Target="../activeX/activeX50.xml"/><Relationship Id="rId11" Type="http://schemas.openxmlformats.org/officeDocument/2006/relationships/image" Target="../media/image55.emf"/><Relationship Id="rId5" Type="http://schemas.openxmlformats.org/officeDocument/2006/relationships/image" Target="../media/image52.emf"/><Relationship Id="rId10" Type="http://schemas.openxmlformats.org/officeDocument/2006/relationships/control" Target="../activeX/activeX52.xml"/><Relationship Id="rId4" Type="http://schemas.openxmlformats.org/officeDocument/2006/relationships/control" Target="../activeX/activeX49.xml"/><Relationship Id="rId9" Type="http://schemas.openxmlformats.org/officeDocument/2006/relationships/image" Target="../media/image54.emf"/></Relationships>
</file>

<file path=xl/worksheets/_rels/sheet34.xml.rels><?xml version="1.0" encoding="UTF-8" standalone="yes"?>
<Relationships xmlns="http://schemas.openxmlformats.org/package/2006/relationships"><Relationship Id="rId8" Type="http://schemas.openxmlformats.org/officeDocument/2006/relationships/control" Target="../activeX/activeX56.xml"/><Relationship Id="rId3" Type="http://schemas.openxmlformats.org/officeDocument/2006/relationships/vmlDrawing" Target="../drawings/vmlDrawing16.vml"/><Relationship Id="rId7" Type="http://schemas.openxmlformats.org/officeDocument/2006/relationships/image" Target="../media/image58.emf"/><Relationship Id="rId2" Type="http://schemas.openxmlformats.org/officeDocument/2006/relationships/drawing" Target="../drawings/drawing15.xml"/><Relationship Id="rId1" Type="http://schemas.openxmlformats.org/officeDocument/2006/relationships/printerSettings" Target="../printerSettings/printerSettings26.bin"/><Relationship Id="rId6" Type="http://schemas.openxmlformats.org/officeDocument/2006/relationships/control" Target="../activeX/activeX55.xml"/><Relationship Id="rId11" Type="http://schemas.openxmlformats.org/officeDocument/2006/relationships/image" Target="../media/image60.emf"/><Relationship Id="rId5" Type="http://schemas.openxmlformats.org/officeDocument/2006/relationships/image" Target="../media/image57.emf"/><Relationship Id="rId10" Type="http://schemas.openxmlformats.org/officeDocument/2006/relationships/control" Target="../activeX/activeX57.xml"/><Relationship Id="rId4" Type="http://schemas.openxmlformats.org/officeDocument/2006/relationships/control" Target="../activeX/activeX54.xml"/><Relationship Id="rId9" Type="http://schemas.openxmlformats.org/officeDocument/2006/relationships/image" Target="../media/image59.emf"/></Relationships>
</file>

<file path=xl/worksheets/_rels/sheet35.xml.rels><?xml version="1.0" encoding="UTF-8" standalone="yes"?>
<Relationships xmlns="http://schemas.openxmlformats.org/package/2006/relationships"><Relationship Id="rId8" Type="http://schemas.openxmlformats.org/officeDocument/2006/relationships/control" Target="../activeX/activeX60.xml"/><Relationship Id="rId13" Type="http://schemas.openxmlformats.org/officeDocument/2006/relationships/image" Target="../media/image65.emf"/><Relationship Id="rId3" Type="http://schemas.openxmlformats.org/officeDocument/2006/relationships/vmlDrawing" Target="../drawings/vmlDrawing17.vml"/><Relationship Id="rId7" Type="http://schemas.openxmlformats.org/officeDocument/2006/relationships/image" Target="../media/image62.emf"/><Relationship Id="rId12" Type="http://schemas.openxmlformats.org/officeDocument/2006/relationships/control" Target="../activeX/activeX62.xml"/><Relationship Id="rId2" Type="http://schemas.openxmlformats.org/officeDocument/2006/relationships/drawing" Target="../drawings/drawing16.xml"/><Relationship Id="rId1" Type="http://schemas.openxmlformats.org/officeDocument/2006/relationships/printerSettings" Target="../printerSettings/printerSettings27.bin"/><Relationship Id="rId6" Type="http://schemas.openxmlformats.org/officeDocument/2006/relationships/control" Target="../activeX/activeX59.xml"/><Relationship Id="rId11" Type="http://schemas.openxmlformats.org/officeDocument/2006/relationships/image" Target="../media/image64.emf"/><Relationship Id="rId5" Type="http://schemas.openxmlformats.org/officeDocument/2006/relationships/image" Target="../media/image61.emf"/><Relationship Id="rId10" Type="http://schemas.openxmlformats.org/officeDocument/2006/relationships/control" Target="../activeX/activeX61.xml"/><Relationship Id="rId4" Type="http://schemas.openxmlformats.org/officeDocument/2006/relationships/control" Target="../activeX/activeX58.xml"/><Relationship Id="rId9" Type="http://schemas.openxmlformats.org/officeDocument/2006/relationships/image" Target="../media/image63.emf"/></Relationships>
</file>

<file path=xl/worksheets/_rels/sheet36.xml.rels><?xml version="1.0" encoding="UTF-8" standalone="yes"?>
<Relationships xmlns="http://schemas.openxmlformats.org/package/2006/relationships"><Relationship Id="rId8" Type="http://schemas.openxmlformats.org/officeDocument/2006/relationships/control" Target="../activeX/activeX65.xml"/><Relationship Id="rId13" Type="http://schemas.openxmlformats.org/officeDocument/2006/relationships/image" Target="../media/image70.emf"/><Relationship Id="rId3" Type="http://schemas.openxmlformats.org/officeDocument/2006/relationships/vmlDrawing" Target="../drawings/vmlDrawing18.vml"/><Relationship Id="rId7" Type="http://schemas.openxmlformats.org/officeDocument/2006/relationships/image" Target="../media/image67.emf"/><Relationship Id="rId12" Type="http://schemas.openxmlformats.org/officeDocument/2006/relationships/control" Target="../activeX/activeX67.xml"/><Relationship Id="rId17" Type="http://schemas.openxmlformats.org/officeDocument/2006/relationships/image" Target="../media/image72.emf"/><Relationship Id="rId2" Type="http://schemas.openxmlformats.org/officeDocument/2006/relationships/drawing" Target="../drawings/drawing17.xml"/><Relationship Id="rId16" Type="http://schemas.openxmlformats.org/officeDocument/2006/relationships/control" Target="../activeX/activeX69.xml"/><Relationship Id="rId1" Type="http://schemas.openxmlformats.org/officeDocument/2006/relationships/printerSettings" Target="../printerSettings/printerSettings28.bin"/><Relationship Id="rId6" Type="http://schemas.openxmlformats.org/officeDocument/2006/relationships/control" Target="../activeX/activeX64.xml"/><Relationship Id="rId11" Type="http://schemas.openxmlformats.org/officeDocument/2006/relationships/image" Target="../media/image69.emf"/><Relationship Id="rId5" Type="http://schemas.openxmlformats.org/officeDocument/2006/relationships/image" Target="../media/image66.emf"/><Relationship Id="rId15" Type="http://schemas.openxmlformats.org/officeDocument/2006/relationships/image" Target="../media/image71.emf"/><Relationship Id="rId10" Type="http://schemas.openxmlformats.org/officeDocument/2006/relationships/control" Target="../activeX/activeX66.xml"/><Relationship Id="rId4" Type="http://schemas.openxmlformats.org/officeDocument/2006/relationships/control" Target="../activeX/activeX63.xml"/><Relationship Id="rId9" Type="http://schemas.openxmlformats.org/officeDocument/2006/relationships/image" Target="../media/image68.emf"/><Relationship Id="rId14" Type="http://schemas.openxmlformats.org/officeDocument/2006/relationships/control" Target="../activeX/activeX68.xml"/></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F32"/>
  <sheetViews>
    <sheetView workbookViewId="0">
      <pane xSplit="3" ySplit="7" topLeftCell="D8" activePane="bottomRight" state="frozen"/>
      <selection pane="topRight" activeCell="D1" sqref="D1"/>
      <selection pane="bottomLeft" activeCell="A8" sqref="A8"/>
      <selection pane="bottomRight" activeCell="A2" sqref="A2"/>
    </sheetView>
  </sheetViews>
  <sheetFormatPr defaultRowHeight="12.5"/>
  <cols>
    <col min="1" max="1" width="12.54296875" customWidth="1"/>
    <col min="2" max="2" width="12.26953125" customWidth="1"/>
    <col min="3" max="3" width="29.7265625" customWidth="1"/>
    <col min="4" max="4" width="10.26953125" customWidth="1"/>
    <col min="5" max="5" width="29.7265625" customWidth="1"/>
    <col min="6" max="6" width="10.26953125" customWidth="1"/>
  </cols>
  <sheetData>
    <row r="1" spans="1:6" ht="13">
      <c r="A1" s="1" t="s">
        <v>0</v>
      </c>
      <c r="B1" s="12"/>
    </row>
    <row r="4" spans="1:6" ht="17.25" customHeight="1"/>
    <row r="5" spans="1:6" ht="17.25" customHeight="1">
      <c r="C5" s="2"/>
    </row>
    <row r="6" spans="1:6" ht="15.75" customHeight="1"/>
    <row r="7" spans="1:6" ht="13">
      <c r="B7" s="3" t="s">
        <v>1</v>
      </c>
      <c r="C7" s="1" t="s">
        <v>2</v>
      </c>
      <c r="D7" s="1" t="s">
        <v>3</v>
      </c>
      <c r="E7" s="1" t="s">
        <v>4</v>
      </c>
      <c r="F7" s="1" t="s">
        <v>5</v>
      </c>
    </row>
    <row r="8" spans="1:6" ht="13">
      <c r="B8" s="1"/>
      <c r="C8" s="1"/>
      <c r="D8" s="1"/>
      <c r="E8" s="2"/>
      <c r="F8" s="1"/>
    </row>
    <row r="9" spans="1:6">
      <c r="D9" s="2"/>
      <c r="E9" s="2"/>
    </row>
    <row r="11" spans="1:6" ht="13">
      <c r="B11" s="2"/>
      <c r="C11" s="2"/>
      <c r="D11" s="11"/>
      <c r="E11" s="11"/>
    </row>
    <row r="12" spans="1:6">
      <c r="B12" s="2"/>
      <c r="C12" s="2"/>
      <c r="E12" s="2"/>
    </row>
    <row r="13" spans="1:6">
      <c r="B13" s="2"/>
      <c r="C13" s="2"/>
    </row>
    <row r="14" spans="1:6">
      <c r="B14" s="2"/>
      <c r="C14" s="2"/>
      <c r="D14" s="5"/>
    </row>
    <row r="15" spans="1:6">
      <c r="B15" s="2"/>
      <c r="C15" s="2"/>
      <c r="E15" s="2"/>
    </row>
    <row r="16" spans="1:6">
      <c r="B16" s="2"/>
      <c r="C16" s="2"/>
      <c r="E16" s="2"/>
    </row>
    <row r="17" spans="2:5">
      <c r="B17" s="2"/>
      <c r="C17" s="2"/>
      <c r="E17" s="2"/>
    </row>
    <row r="18" spans="2:5">
      <c r="B18" s="2"/>
      <c r="C18" s="2"/>
      <c r="E18" s="2"/>
    </row>
    <row r="19" spans="2:5">
      <c r="B19" s="2"/>
      <c r="C19" s="2"/>
      <c r="E19" s="2"/>
    </row>
    <row r="20" spans="2:5">
      <c r="D20" s="5"/>
    </row>
    <row r="21" spans="2:5">
      <c r="E21" s="2"/>
    </row>
    <row r="23" spans="2:5">
      <c r="B23" s="2"/>
      <c r="C23" s="2"/>
      <c r="D23" s="2"/>
      <c r="E23" s="2"/>
    </row>
    <row r="24" spans="2:5">
      <c r="B24" s="2"/>
      <c r="C24" s="2"/>
    </row>
    <row r="25" spans="2:5">
      <c r="B25" s="2"/>
      <c r="C25" s="2"/>
      <c r="D25" s="5"/>
      <c r="E25" s="2"/>
    </row>
    <row r="26" spans="2:5" ht="13">
      <c r="B26" s="3"/>
      <c r="C26" s="2"/>
      <c r="E26" s="2"/>
    </row>
    <row r="27" spans="2:5">
      <c r="E27" s="2"/>
    </row>
    <row r="29" spans="2:5">
      <c r="B29" s="2"/>
      <c r="C29" s="2"/>
      <c r="D29" s="2"/>
      <c r="E29" s="2"/>
    </row>
    <row r="30" spans="2:5">
      <c r="B30" s="2"/>
      <c r="C30" s="2"/>
    </row>
    <row r="31" spans="2:5">
      <c r="B31" s="2"/>
      <c r="C31" s="2"/>
      <c r="E31" s="2"/>
    </row>
    <row r="32" spans="2:5">
      <c r="B32" s="2"/>
      <c r="C32" s="2"/>
      <c r="E32" s="2"/>
    </row>
  </sheetData>
  <phoneticPr fontId="0" type="noConversion"/>
  <pageMargins left="0.75" right="0.75" top="1" bottom="1" header="0.5" footer="0.5"/>
  <pageSetup paperSize="9" orientation="portrait" horizontalDpi="1200" r:id="rId1"/>
  <headerFooter alignWithMargins="0"/>
  <drawing r:id="rId2"/>
  <legacyDrawing r:id="rId3"/>
  <controls>
    <mc:AlternateContent xmlns:mc="http://schemas.openxmlformats.org/markup-compatibility/2006">
      <mc:Choice Requires="x14">
        <control shapeId="2074" r:id="rId4" name="cmdTaxSubSets">
          <controlPr defaultSize="0" autoLine="0" r:id="rId5">
            <anchor moveWithCells="1">
              <from>
                <xdr:col>4</xdr:col>
                <xdr:colOff>552450</xdr:colOff>
                <xdr:row>2</xdr:row>
                <xdr:rowOff>0</xdr:rowOff>
              </from>
              <to>
                <xdr:col>4</xdr:col>
                <xdr:colOff>1524000</xdr:colOff>
                <xdr:row>3</xdr:row>
                <xdr:rowOff>76200</xdr:rowOff>
              </to>
            </anchor>
          </controlPr>
        </control>
      </mc:Choice>
      <mc:Fallback>
        <control shapeId="2074" r:id="rId4" name="cmdTaxSubSets"/>
      </mc:Fallback>
    </mc:AlternateContent>
    <mc:AlternateContent xmlns:mc="http://schemas.openxmlformats.org/markup-compatibility/2006">
      <mc:Choice Requires="x14">
        <control shapeId="2073" r:id="rId6" name="cmdRefreshUnits">
          <controlPr defaultSize="0" autoLine="0" r:id="rId7">
            <anchor moveWithCells="1">
              <from>
                <xdr:col>3</xdr:col>
                <xdr:colOff>69850</xdr:colOff>
                <xdr:row>2</xdr:row>
                <xdr:rowOff>114300</xdr:rowOff>
              </from>
              <to>
                <xdr:col>3</xdr:col>
                <xdr:colOff>622300</xdr:colOff>
                <xdr:row>4</xdr:row>
                <xdr:rowOff>114300</xdr:rowOff>
              </to>
            </anchor>
          </controlPr>
        </control>
      </mc:Choice>
      <mc:Fallback>
        <control shapeId="2073" r:id="rId6" name="cmdRefreshUnits"/>
      </mc:Fallback>
    </mc:AlternateContent>
    <mc:AlternateContent xmlns:mc="http://schemas.openxmlformats.org/markup-compatibility/2006">
      <mc:Choice Requires="x14">
        <control shapeId="2063" r:id="rId8" name="cmdCommUnit">
          <controlPr defaultSize="0" autoLine="0" r:id="rId9">
            <anchor moveWithCells="1">
              <from>
                <xdr:col>3</xdr:col>
                <xdr:colOff>19050</xdr:colOff>
                <xdr:row>4</xdr:row>
                <xdr:rowOff>171450</xdr:rowOff>
              </from>
              <to>
                <xdr:col>3</xdr:col>
                <xdr:colOff>685800</xdr:colOff>
                <xdr:row>5</xdr:row>
                <xdr:rowOff>190500</xdr:rowOff>
              </to>
            </anchor>
          </controlPr>
        </control>
      </mc:Choice>
      <mc:Fallback>
        <control shapeId="2063" r:id="rId8" name="cmdCommUnit"/>
      </mc:Fallback>
    </mc:AlternateContent>
    <mc:AlternateContent xmlns:mc="http://schemas.openxmlformats.org/markup-compatibility/2006">
      <mc:Choice Requires="x14">
        <control shapeId="2061" r:id="rId10" name="cmdCheckCommoditiesSheet">
          <controlPr defaultSize="0" autoLine="0" autoPict="0" r:id="rId11">
            <anchor moveWithCells="1">
              <from>
                <xdr:col>0</xdr:col>
                <xdr:colOff>19050</xdr:colOff>
                <xdr:row>2</xdr:row>
                <xdr:rowOff>146050</xdr:rowOff>
              </from>
              <to>
                <xdr:col>0</xdr:col>
                <xdr:colOff>831850</xdr:colOff>
                <xdr:row>4</xdr:row>
                <xdr:rowOff>0</xdr:rowOff>
              </to>
            </anchor>
          </controlPr>
        </control>
      </mc:Choice>
      <mc:Fallback>
        <control shapeId="2061" r:id="rId10" name="cmdCheckCommoditiesSheet"/>
      </mc:Fallback>
    </mc:AlternateContent>
    <mc:AlternateContent xmlns:mc="http://schemas.openxmlformats.org/markup-compatibility/2006">
      <mc:Choice Requires="x14">
        <control shapeId="2053" r:id="rId12" name="cmdMaterialSets">
          <controlPr defaultSize="0" autoLine="0" r:id="rId13">
            <anchor moveWithCells="1">
              <from>
                <xdr:col>4</xdr:col>
                <xdr:colOff>1009650</xdr:colOff>
                <xdr:row>3</xdr:row>
                <xdr:rowOff>95250</xdr:rowOff>
              </from>
              <to>
                <xdr:col>4</xdr:col>
                <xdr:colOff>1981200</xdr:colOff>
                <xdr:row>4</xdr:row>
                <xdr:rowOff>114300</xdr:rowOff>
              </to>
            </anchor>
          </controlPr>
        </control>
      </mc:Choice>
      <mc:Fallback>
        <control shapeId="2053" r:id="rId12" name="cmdMaterialSets"/>
      </mc:Fallback>
    </mc:AlternateContent>
    <mc:AlternateContent xmlns:mc="http://schemas.openxmlformats.org/markup-compatibility/2006">
      <mc:Choice Requires="x14">
        <control shapeId="2052" r:id="rId14" name="cmdEmissionSets">
          <controlPr defaultSize="0" autoLine="0" r:id="rId15">
            <anchor moveWithCells="1">
              <from>
                <xdr:col>4</xdr:col>
                <xdr:colOff>1009650</xdr:colOff>
                <xdr:row>4</xdr:row>
                <xdr:rowOff>171450</xdr:rowOff>
              </from>
              <to>
                <xdr:col>4</xdr:col>
                <xdr:colOff>1981200</xdr:colOff>
                <xdr:row>5</xdr:row>
                <xdr:rowOff>190500</xdr:rowOff>
              </to>
            </anchor>
          </controlPr>
        </control>
      </mc:Choice>
      <mc:Fallback>
        <control shapeId="2052" r:id="rId14" name="cmdEmissionSets"/>
      </mc:Fallback>
    </mc:AlternateContent>
    <mc:AlternateContent xmlns:mc="http://schemas.openxmlformats.org/markup-compatibility/2006">
      <mc:Choice Requires="x14">
        <control shapeId="2051" r:id="rId16" name="cmdDemandSets">
          <controlPr defaultSize="0" autoLine="0" r:id="rId17">
            <anchor moveWithCells="1">
              <from>
                <xdr:col>4</xdr:col>
                <xdr:colOff>19050</xdr:colOff>
                <xdr:row>4</xdr:row>
                <xdr:rowOff>171450</xdr:rowOff>
              </from>
              <to>
                <xdr:col>4</xdr:col>
                <xdr:colOff>990600</xdr:colOff>
                <xdr:row>5</xdr:row>
                <xdr:rowOff>190500</xdr:rowOff>
              </to>
            </anchor>
          </controlPr>
        </control>
      </mc:Choice>
      <mc:Fallback>
        <control shapeId="2051" r:id="rId16" name="cmdDemandSets"/>
      </mc:Fallback>
    </mc:AlternateContent>
    <mc:AlternateContent xmlns:mc="http://schemas.openxmlformats.org/markup-compatibility/2006">
      <mc:Choice Requires="x14">
        <control shapeId="2049" r:id="rId18" name="cmdEnergySets">
          <controlPr defaultSize="0" autoLine="0" r:id="rId19">
            <anchor moveWithCells="1">
              <from>
                <xdr:col>4</xdr:col>
                <xdr:colOff>19050</xdr:colOff>
                <xdr:row>3</xdr:row>
                <xdr:rowOff>95250</xdr:rowOff>
              </from>
              <to>
                <xdr:col>4</xdr:col>
                <xdr:colOff>990600</xdr:colOff>
                <xdr:row>4</xdr:row>
                <xdr:rowOff>114300</xdr:rowOff>
              </to>
            </anchor>
          </controlPr>
        </control>
      </mc:Choice>
      <mc:Fallback>
        <control shapeId="2049" r:id="rId18" name="cmdEnergySets"/>
      </mc:Fallback>
    </mc:AlternateContent>
  </control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L38"/>
  <sheetViews>
    <sheetView workbookViewId="0">
      <pane xSplit="3" ySplit="7" topLeftCell="D8" activePane="bottomRight" state="frozen"/>
      <selection pane="topRight" activeCell="D1" sqref="D1"/>
      <selection pane="bottomLeft" activeCell="A8" sqref="A8"/>
      <selection pane="bottomRight"/>
    </sheetView>
  </sheetViews>
  <sheetFormatPr defaultRowHeight="12.5"/>
  <cols>
    <col min="1" max="1" width="12.453125" customWidth="1"/>
    <col min="2" max="2" width="11.26953125" customWidth="1"/>
    <col min="3" max="3" width="27.26953125" customWidth="1"/>
    <col min="4" max="5" width="9.7265625" customWidth="1"/>
    <col min="6" max="6" width="30.453125" customWidth="1"/>
    <col min="7" max="7" width="10.453125" customWidth="1"/>
  </cols>
  <sheetData>
    <row r="1" spans="1:12" ht="13">
      <c r="A1" s="1" t="s">
        <v>6</v>
      </c>
      <c r="B1" s="12"/>
    </row>
    <row r="4" spans="1:12" ht="18" customHeight="1"/>
    <row r="7" spans="1:12" ht="13">
      <c r="B7" s="1" t="s">
        <v>7</v>
      </c>
      <c r="C7" s="1" t="s">
        <v>8</v>
      </c>
      <c r="D7" s="1" t="s">
        <v>9</v>
      </c>
      <c r="E7" s="1" t="s">
        <v>10</v>
      </c>
      <c r="F7" s="1" t="s">
        <v>4</v>
      </c>
      <c r="G7" s="1" t="s">
        <v>5</v>
      </c>
    </row>
    <row r="8" spans="1:12" ht="13">
      <c r="B8" s="1"/>
      <c r="C8" s="1"/>
      <c r="D8" s="1"/>
      <c r="E8" s="1"/>
      <c r="F8" s="1"/>
      <c r="G8" s="1"/>
    </row>
    <row r="9" spans="1:12">
      <c r="D9" s="2"/>
      <c r="E9" s="2"/>
      <c r="F9" s="2"/>
    </row>
    <row r="10" spans="1:12">
      <c r="F10" s="2"/>
    </row>
    <row r="11" spans="1:12" ht="13">
      <c r="B11" s="1"/>
      <c r="C11" s="1"/>
      <c r="D11" s="11"/>
      <c r="E11" s="11"/>
    </row>
    <row r="12" spans="1:12" ht="13">
      <c r="B12" s="7"/>
      <c r="C12" s="2"/>
      <c r="F12" s="11"/>
    </row>
    <row r="13" spans="1:12">
      <c r="B13" s="2"/>
      <c r="C13" s="2"/>
    </row>
    <row r="14" spans="1:12">
      <c r="B14" s="2"/>
      <c r="C14" s="2"/>
      <c r="D14" s="5"/>
      <c r="F14" s="2"/>
      <c r="L14" s="4"/>
    </row>
    <row r="15" spans="1:12">
      <c r="B15" s="2"/>
      <c r="C15" s="2"/>
      <c r="E15" s="5"/>
      <c r="F15" s="2"/>
    </row>
    <row r="16" spans="1:12">
      <c r="B16" s="2"/>
      <c r="C16" s="2"/>
      <c r="F16" s="2"/>
    </row>
    <row r="17" spans="2:6">
      <c r="D17" s="5"/>
    </row>
    <row r="18" spans="2:6">
      <c r="E18" s="5"/>
    </row>
    <row r="20" spans="2:6">
      <c r="B20" s="2"/>
      <c r="C20" s="2"/>
      <c r="F20" s="8"/>
    </row>
    <row r="21" spans="2:6">
      <c r="B21" s="2"/>
      <c r="C21" s="2"/>
    </row>
    <row r="22" spans="2:6">
      <c r="B22" s="2"/>
      <c r="C22" s="2"/>
      <c r="D22" s="2"/>
      <c r="E22" s="2"/>
      <c r="F22" s="2"/>
    </row>
    <row r="23" spans="2:6">
      <c r="B23" s="2"/>
      <c r="C23" s="2"/>
    </row>
    <row r="24" spans="2:6">
      <c r="B24" s="2"/>
      <c r="C24" s="2"/>
    </row>
    <row r="25" spans="2:6">
      <c r="D25" s="5"/>
      <c r="E25" s="5"/>
    </row>
    <row r="26" spans="2:6">
      <c r="F26" s="2"/>
    </row>
    <row r="27" spans="2:6" ht="13">
      <c r="B27" s="3"/>
      <c r="C27" s="2"/>
      <c r="D27" s="5"/>
      <c r="E27" s="5"/>
    </row>
    <row r="28" spans="2:6">
      <c r="B28" s="2"/>
      <c r="C28" s="2"/>
      <c r="D28" s="8"/>
      <c r="E28" s="2"/>
      <c r="F28" s="2"/>
    </row>
    <row r="29" spans="2:6">
      <c r="B29" s="2"/>
      <c r="C29" s="2"/>
    </row>
    <row r="30" spans="2:6">
      <c r="B30" s="2"/>
      <c r="C30" s="2"/>
    </row>
    <row r="31" spans="2:6">
      <c r="B31" s="2"/>
      <c r="C31" s="2"/>
    </row>
    <row r="32" spans="2:6">
      <c r="B32" s="2"/>
      <c r="C32" s="2"/>
    </row>
    <row r="33" spans="2:6">
      <c r="B33" s="2"/>
      <c r="C33" s="2"/>
    </row>
    <row r="37" spans="2:6">
      <c r="B37" s="2"/>
      <c r="C37" s="2"/>
      <c r="F37" s="2"/>
    </row>
    <row r="38" spans="2:6" ht="13">
      <c r="B38" s="3"/>
      <c r="C38" s="2"/>
    </row>
  </sheetData>
  <phoneticPr fontId="0" type="noConversion"/>
  <pageMargins left="0.75" right="0.75" top="1" bottom="1" header="0.5" footer="0.5"/>
  <pageSetup paperSize="9" orientation="portrait" horizontalDpi="1200" r:id="rId1"/>
  <headerFooter alignWithMargins="0"/>
  <drawing r:id="rId2"/>
  <legacyDrawing r:id="rId3"/>
  <controls>
    <mc:AlternateContent xmlns:mc="http://schemas.openxmlformats.org/markup-compatibility/2006">
      <mc:Choice Requires="x14">
        <control shapeId="1135" r:id="rId4" name="cmdRefreshUnits">
          <controlPr defaultSize="0" autoLine="0" r:id="rId5">
            <anchor moveWithCells="1">
              <from>
                <xdr:col>3</xdr:col>
                <xdr:colOff>381000</xdr:colOff>
                <xdr:row>1</xdr:row>
                <xdr:rowOff>152400</xdr:rowOff>
              </from>
              <to>
                <xdr:col>4</xdr:col>
                <xdr:colOff>254000</xdr:colOff>
                <xdr:row>3</xdr:row>
                <xdr:rowOff>209550</xdr:rowOff>
              </to>
            </anchor>
          </controlPr>
        </control>
      </mc:Choice>
      <mc:Fallback>
        <control shapeId="1135" r:id="rId4" name="cmdRefreshUnits"/>
      </mc:Fallback>
    </mc:AlternateContent>
    <mc:AlternateContent xmlns:mc="http://schemas.openxmlformats.org/markup-compatibility/2006">
      <mc:Choice Requires="x14">
        <control shapeId="1036" r:id="rId6" name="cmdTCAPUnit">
          <controlPr defaultSize="0" autoLine="0" r:id="rId7">
            <anchor moveWithCells="1">
              <from>
                <xdr:col>4</xdr:col>
                <xdr:colOff>19050</xdr:colOff>
                <xdr:row>4</xdr:row>
                <xdr:rowOff>19050</xdr:rowOff>
              </from>
              <to>
                <xdr:col>4</xdr:col>
                <xdr:colOff>660400</xdr:colOff>
                <xdr:row>5</xdr:row>
                <xdr:rowOff>95250</xdr:rowOff>
              </to>
            </anchor>
          </controlPr>
        </control>
      </mc:Choice>
      <mc:Fallback>
        <control shapeId="1036" r:id="rId6" name="cmdTCAPUnit"/>
      </mc:Fallback>
    </mc:AlternateContent>
    <mc:AlternateContent xmlns:mc="http://schemas.openxmlformats.org/markup-compatibility/2006">
      <mc:Choice Requires="x14">
        <control shapeId="1035" r:id="rId8" name="cmdTACTUnit">
          <controlPr defaultSize="0" autoLine="0" r:id="rId9">
            <anchor moveWithCells="1">
              <from>
                <xdr:col>3</xdr:col>
                <xdr:colOff>19050</xdr:colOff>
                <xdr:row>4</xdr:row>
                <xdr:rowOff>19050</xdr:rowOff>
              </from>
              <to>
                <xdr:col>3</xdr:col>
                <xdr:colOff>660400</xdr:colOff>
                <xdr:row>5</xdr:row>
                <xdr:rowOff>95250</xdr:rowOff>
              </to>
            </anchor>
          </controlPr>
        </control>
      </mc:Choice>
      <mc:Fallback>
        <control shapeId="1035" r:id="rId8" name="cmdTACTUnit"/>
      </mc:Fallback>
    </mc:AlternateContent>
    <mc:AlternateContent xmlns:mc="http://schemas.openxmlformats.org/markup-compatibility/2006">
      <mc:Choice Requires="x14">
        <control shapeId="1034" r:id="rId10" name="cmdCheckTechnologiesSheet">
          <controlPr defaultSize="0" autoLine="0" autoPict="0" r:id="rId11">
            <anchor moveWithCells="1">
              <from>
                <xdr:col>0</xdr:col>
                <xdr:colOff>19050</xdr:colOff>
                <xdr:row>2</xdr:row>
                <xdr:rowOff>152400</xdr:rowOff>
              </from>
              <to>
                <xdr:col>1</xdr:col>
                <xdr:colOff>0</xdr:colOff>
                <xdr:row>4</xdr:row>
                <xdr:rowOff>0</xdr:rowOff>
              </to>
            </anchor>
          </controlPr>
        </control>
      </mc:Choice>
      <mc:Fallback>
        <control shapeId="1034" r:id="rId10" name="cmdCheckTechnologiesSheet"/>
      </mc:Fallback>
    </mc:AlternateContent>
    <mc:AlternateContent xmlns:mc="http://schemas.openxmlformats.org/markup-compatibility/2006">
      <mc:Choice Requires="x14">
        <control shapeId="1025" r:id="rId12" name="cmdTechnologySets">
          <controlPr defaultSize="0" autoLine="0" r:id="rId13">
            <anchor moveWithCells="1">
              <from>
                <xdr:col>5</xdr:col>
                <xdr:colOff>19050</xdr:colOff>
                <xdr:row>4</xdr:row>
                <xdr:rowOff>19050</xdr:rowOff>
              </from>
              <to>
                <xdr:col>5</xdr:col>
                <xdr:colOff>1822450</xdr:colOff>
                <xdr:row>5</xdr:row>
                <xdr:rowOff>95250</xdr:rowOff>
              </to>
            </anchor>
          </controlPr>
        </control>
      </mc:Choice>
      <mc:Fallback>
        <control shapeId="1025" r:id="rId12" name="cmdTechnologySets"/>
      </mc:Fallback>
    </mc:AlternateContent>
  </control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FFC000"/>
  </sheetPr>
  <dimension ref="B1:J11"/>
  <sheetViews>
    <sheetView workbookViewId="0">
      <pane xSplit="5" ySplit="7" topLeftCell="F8" activePane="bottomRight" state="frozen"/>
      <selection pane="topRight" activeCell="C33" sqref="C33"/>
      <selection pane="bottomLeft" activeCell="C33" sqref="C33"/>
      <selection pane="bottomRight" activeCell="B65" sqref="B65"/>
    </sheetView>
  </sheetViews>
  <sheetFormatPr defaultColWidth="9.26953125" defaultRowHeight="12.5"/>
  <cols>
    <col min="1" max="1" width="9.26953125" style="12"/>
    <col min="2" max="2" width="25.54296875" style="12" customWidth="1"/>
    <col min="3" max="3" width="29.7265625" style="12" customWidth="1"/>
    <col min="4" max="4" width="29" style="12" bestFit="1" customWidth="1"/>
    <col min="5" max="5" width="55" style="12" bestFit="1" customWidth="1"/>
    <col min="6" max="7" width="10.26953125" style="12" customWidth="1"/>
    <col min="8" max="13" width="9.26953125" style="12"/>
    <col min="14" max="14" width="19.453125" style="12" customWidth="1"/>
    <col min="15" max="16384" width="9.26953125" style="12"/>
  </cols>
  <sheetData>
    <row r="1" spans="2:10" ht="13">
      <c r="B1" s="1" t="s">
        <v>11</v>
      </c>
      <c r="D1" s="523" t="s">
        <v>12</v>
      </c>
    </row>
    <row r="4" spans="2:10" ht="17.25" customHeight="1"/>
    <row r="5" spans="2:10" ht="17.25" customHeight="1">
      <c r="E5" s="2"/>
    </row>
    <row r="6" spans="2:10" s="525" customFormat="1" ht="15.75" customHeight="1">
      <c r="B6" s="527" t="s">
        <v>13</v>
      </c>
      <c r="C6" s="12"/>
      <c r="D6"/>
      <c r="E6"/>
      <c r="F6" s="12"/>
      <c r="G6"/>
      <c r="H6"/>
      <c r="I6"/>
      <c r="J6"/>
    </row>
    <row r="7" spans="2:10" s="525" customFormat="1" ht="13">
      <c r="B7" s="528" t="s">
        <v>14</v>
      </c>
      <c r="C7" s="528" t="s">
        <v>15</v>
      </c>
      <c r="D7" s="528" t="s">
        <v>1</v>
      </c>
      <c r="E7" s="528" t="s">
        <v>2</v>
      </c>
      <c r="F7" s="528" t="s">
        <v>16</v>
      </c>
      <c r="G7" s="528" t="s">
        <v>17</v>
      </c>
      <c r="H7" s="528" t="s">
        <v>18</v>
      </c>
      <c r="I7" s="528" t="s">
        <v>19</v>
      </c>
      <c r="J7" s="528" t="s">
        <v>20</v>
      </c>
    </row>
    <row r="8" spans="2:10">
      <c r="B8" s="525"/>
      <c r="C8" s="525"/>
      <c r="D8" s="525"/>
      <c r="E8" s="525"/>
      <c r="F8" s="526"/>
    </row>
    <row r="9" spans="2:10">
      <c r="B9" s="525"/>
      <c r="C9" s="525"/>
      <c r="D9" s="525"/>
      <c r="E9" s="525"/>
      <c r="F9" s="526"/>
    </row>
    <row r="10" spans="2:10">
      <c r="B10" s="525"/>
      <c r="C10" s="525"/>
      <c r="D10" s="525"/>
      <c r="E10" s="525"/>
      <c r="F10" s="526"/>
    </row>
    <row r="11" spans="2:10">
      <c r="B11" s="525"/>
      <c r="C11" s="525"/>
      <c r="D11" s="525"/>
      <c r="E11" s="525"/>
      <c r="F11" s="526"/>
    </row>
  </sheetData>
  <phoneticPr fontId="0" type="noConversion"/>
  <pageMargins left="0.75" right="0.75" top="1" bottom="1" header="0.5" footer="0.5"/>
  <pageSetup paperSize="9" orientation="portrait" horizontalDpi="12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8">
    <tabColor rgb="FFFFC000"/>
  </sheetPr>
  <dimension ref="B1:K429"/>
  <sheetViews>
    <sheetView zoomScale="80" zoomScaleNormal="80" workbookViewId="0">
      <pane xSplit="4" ySplit="7" topLeftCell="E71" activePane="bottomRight" state="frozen"/>
      <selection pane="topRight" activeCell="C33" sqref="C33"/>
      <selection pane="bottomLeft" activeCell="C33" sqref="C33"/>
      <selection pane="bottomRight" activeCell="C87" sqref="C87:C91"/>
    </sheetView>
  </sheetViews>
  <sheetFormatPr defaultColWidth="9.26953125" defaultRowHeight="12.5"/>
  <cols>
    <col min="1" max="1" width="9.26953125" style="12"/>
    <col min="2" max="2" width="30.453125" style="12" customWidth="1"/>
    <col min="3" max="3" width="39.26953125" style="12" bestFit="1" customWidth="1"/>
    <col min="4" max="4" width="44.453125" style="12" customWidth="1"/>
    <col min="5" max="6" width="9.7265625" style="12" customWidth="1"/>
    <col min="7" max="7" width="10.453125" style="12" customWidth="1"/>
    <col min="8" max="9" width="14.453125" style="12" customWidth="1"/>
    <col min="10" max="10" width="9.26953125" style="12"/>
    <col min="11" max="11" width="16.26953125" style="12" customWidth="1"/>
    <col min="12" max="16384" width="9.26953125" style="12"/>
  </cols>
  <sheetData>
    <row r="1" spans="2:11" ht="13">
      <c r="C1" s="12" t="s">
        <v>12</v>
      </c>
      <c r="K1" s="1" t="s">
        <v>21</v>
      </c>
    </row>
    <row r="4" spans="2:11" ht="18" customHeight="1"/>
    <row r="6" spans="2:11" s="525" customFormat="1" ht="13">
      <c r="B6" s="527" t="s">
        <v>22</v>
      </c>
      <c r="C6" s="12"/>
      <c r="D6" s="12"/>
      <c r="E6"/>
      <c r="F6"/>
      <c r="G6"/>
      <c r="H6"/>
      <c r="I6"/>
      <c r="K6" s="527"/>
    </row>
    <row r="7" spans="2:11" s="525" customFormat="1" ht="13">
      <c r="B7" s="528" t="s">
        <v>23</v>
      </c>
      <c r="C7" s="615" t="s">
        <v>7</v>
      </c>
      <c r="D7" s="615" t="s">
        <v>8</v>
      </c>
      <c r="E7" s="529" t="s">
        <v>24</v>
      </c>
      <c r="F7" s="529" t="s">
        <v>25</v>
      </c>
      <c r="G7" s="529" t="s">
        <v>26</v>
      </c>
      <c r="H7" s="529" t="s">
        <v>27</v>
      </c>
      <c r="I7" s="592" t="s">
        <v>28</v>
      </c>
      <c r="K7" s="528" t="s">
        <v>14</v>
      </c>
    </row>
    <row r="8" spans="2:11" s="525" customFormat="1" ht="13">
      <c r="B8" s="590" t="s">
        <v>29</v>
      </c>
      <c r="C8" s="616"/>
      <c r="D8" s="616"/>
      <c r="E8" s="591"/>
      <c r="F8" s="591"/>
      <c r="G8" s="591"/>
      <c r="H8" s="591"/>
      <c r="I8" s="591"/>
      <c r="K8" s="590"/>
    </row>
    <row r="9" spans="2:11" s="525" customFormat="1" ht="13">
      <c r="B9" s="590" t="s">
        <v>30</v>
      </c>
      <c r="C9" s="616"/>
      <c r="D9" s="616"/>
      <c r="E9" s="591"/>
      <c r="F9" s="591"/>
      <c r="G9" s="591"/>
      <c r="H9" s="591"/>
      <c r="I9" s="591"/>
      <c r="K9" s="590"/>
    </row>
    <row r="10" spans="2:11">
      <c r="B10" s="12" t="s">
        <v>31</v>
      </c>
      <c r="C10" s="614" t="str">
        <f>TechData_DMD!A10</f>
        <v>RSHERDBS10</v>
      </c>
      <c r="D10" s="614" t="str">
        <f>TechData_DMD!B10</f>
        <v>Electric Radiant Base.RSH.ELC.10</v>
      </c>
      <c r="E10" s="12" t="s">
        <v>32</v>
      </c>
      <c r="F10" s="12" t="s">
        <v>33</v>
      </c>
      <c r="K10" s="12" t="str">
        <f>TechData_DMD!BF10</f>
        <v>R2,R3,R4,R5,R6</v>
      </c>
    </row>
    <row r="11" spans="2:11">
      <c r="B11" s="12" t="s">
        <v>31</v>
      </c>
      <c r="C11" s="614" t="str">
        <f>TechData_DMD!A11</f>
        <v>RSHERUV115</v>
      </c>
      <c r="D11" s="614" t="str">
        <f>TechData_DMD!B11</f>
        <v>Electric Resistance Unit Heater Ver1.RSH.ELC.15</v>
      </c>
      <c r="E11" s="12" t="s">
        <v>32</v>
      </c>
      <c r="F11" s="12" t="s">
        <v>33</v>
      </c>
      <c r="K11" s="12" t="str">
        <f>TechData_DMD!BF11</f>
        <v>R2,R3,R4,R5,R6</v>
      </c>
    </row>
    <row r="12" spans="2:11">
      <c r="B12" s="12" t="s">
        <v>31</v>
      </c>
      <c r="C12" s="614" t="str">
        <f>TechData_DMD!A12</f>
        <v>RSHERUV120</v>
      </c>
      <c r="D12" s="614" t="str">
        <f>TechData_DMD!B12</f>
        <v>Electric Resistance Unit Heater Ver1.RSH.ELC.20</v>
      </c>
      <c r="E12" s="12" t="s">
        <v>32</v>
      </c>
      <c r="F12" s="12" t="s">
        <v>33</v>
      </c>
      <c r="K12" s="12" t="str">
        <f>TechData_DMD!BF12</f>
        <v>R2,R3,R4,R5,R6</v>
      </c>
    </row>
    <row r="13" spans="2:11">
      <c r="B13" s="12" t="s">
        <v>31</v>
      </c>
      <c r="C13" s="614" t="str">
        <f>TechData_DMD!A13</f>
        <v>RSHERUV122</v>
      </c>
      <c r="D13" s="614" t="str">
        <f>TechData_DMD!B13</f>
        <v>Electric Resistance Unit Heater Ver1.RSH.ELC.22</v>
      </c>
      <c r="E13" s="12" t="s">
        <v>32</v>
      </c>
      <c r="F13" s="12" t="s">
        <v>33</v>
      </c>
      <c r="K13" s="12" t="str">
        <f>TechData_DMD!BF13</f>
        <v>R2,R3,R4,R5,R6</v>
      </c>
    </row>
    <row r="14" spans="2:11" ht="13">
      <c r="B14" s="1" t="s">
        <v>34</v>
      </c>
      <c r="C14" s="614"/>
      <c r="D14" s="614"/>
    </row>
    <row r="15" spans="2:11">
      <c r="B15" s="12" t="s">
        <v>31</v>
      </c>
      <c r="C15" s="614" t="str">
        <f>TechData_DMD!A15</f>
        <v>RSHEFRV115</v>
      </c>
      <c r="D15" s="614" t="str">
        <f>TechData_DMD!B15</f>
        <v>Electric Furnace Ver1.RSH.ELC.15</v>
      </c>
      <c r="E15" s="12" t="s">
        <v>32</v>
      </c>
      <c r="F15" s="12" t="s">
        <v>33</v>
      </c>
      <c r="K15" s="12" t="str">
        <f>TechData_DMD!BF15</f>
        <v>R2,R3,R4,R5,R6</v>
      </c>
    </row>
    <row r="16" spans="2:11">
      <c r="B16" s="12" t="s">
        <v>31</v>
      </c>
      <c r="C16" s="614" t="str">
        <f>TechData_DMD!A16</f>
        <v>RSHEFRV120</v>
      </c>
      <c r="D16" s="614" t="str">
        <f>TechData_DMD!B16</f>
        <v>Electric Furnace Ver1.RSH.ELC.20</v>
      </c>
      <c r="E16" s="12" t="s">
        <v>32</v>
      </c>
      <c r="F16" s="12" t="s">
        <v>33</v>
      </c>
      <c r="K16" s="12" t="str">
        <f>TechData_DMD!BF16</f>
        <v>R2,R3,R4,R5,R6</v>
      </c>
    </row>
    <row r="17" spans="2:11">
      <c r="B17" s="12" t="s">
        <v>31</v>
      </c>
      <c r="C17" s="614" t="str">
        <f>TechData_DMD!A17</f>
        <v>RSHEFRV122</v>
      </c>
      <c r="D17" s="614" t="str">
        <f>TechData_DMD!B17</f>
        <v>Electric Furnace Ver1.RSH.ELC.22</v>
      </c>
      <c r="E17" s="12" t="s">
        <v>32</v>
      </c>
      <c r="F17" s="12" t="s">
        <v>33</v>
      </c>
      <c r="K17" s="12" t="str">
        <f>TechData_DMD!BF17</f>
        <v>R2,R3,R4,R5,R6</v>
      </c>
    </row>
    <row r="18" spans="2:11" ht="13">
      <c r="B18" s="1" t="s">
        <v>35</v>
      </c>
      <c r="C18" s="614"/>
      <c r="D18" s="614"/>
    </row>
    <row r="19" spans="2:11">
      <c r="B19" s="12" t="s">
        <v>31</v>
      </c>
      <c r="C19" s="614" t="str">
        <f>TechData_DMD!A19</f>
        <v>RSHEHPBS15</v>
      </c>
      <c r="D19" s="614" t="str">
        <f>TechData_DMD!B19</f>
        <v>Electric Heat Pump Base.RSH.ELC.15</v>
      </c>
      <c r="E19" s="12" t="s">
        <v>32</v>
      </c>
      <c r="F19" s="12" t="s">
        <v>33</v>
      </c>
      <c r="I19" s="593" t="s">
        <v>36</v>
      </c>
      <c r="K19" s="12" t="str">
        <f>TechData_DMD!BF19</f>
        <v>R2,R3,R4,R5,R6</v>
      </c>
    </row>
    <row r="20" spans="2:11">
      <c r="B20" s="12" t="s">
        <v>31</v>
      </c>
      <c r="C20" s="614" t="str">
        <f>TechData_DMD!A22</f>
        <v>RSHEHPB120</v>
      </c>
      <c r="D20" s="614" t="str">
        <f>TechData_DMD!B22</f>
        <v>Electric Heat Pump Base.RSH.ELC.20</v>
      </c>
      <c r="E20" s="12" t="s">
        <v>32</v>
      </c>
      <c r="F20" s="12" t="s">
        <v>33</v>
      </c>
      <c r="I20" s="593" t="s">
        <v>36</v>
      </c>
      <c r="K20" s="12" t="str">
        <f>TechData_DMD!BF22</f>
        <v>R2,R3,R4,R5,R6</v>
      </c>
    </row>
    <row r="21" spans="2:11">
      <c r="B21" s="12" t="s">
        <v>31</v>
      </c>
      <c r="C21" s="614" t="str">
        <f>TechData_DMD!A25</f>
        <v>RSHEHPBS22</v>
      </c>
      <c r="D21" s="614" t="str">
        <f>TechData_DMD!B25</f>
        <v>Electric Heat Pump Base.RSH.ELC.22</v>
      </c>
      <c r="E21" s="12" t="s">
        <v>32</v>
      </c>
      <c r="F21" s="12" t="s">
        <v>33</v>
      </c>
      <c r="I21" s="593" t="s">
        <v>36</v>
      </c>
      <c r="K21" s="12" t="str">
        <f>TechData_DMD!BF25</f>
        <v>R2,R3,R4,R5,R6</v>
      </c>
    </row>
    <row r="22" spans="2:11">
      <c r="B22" s="12" t="s">
        <v>31</v>
      </c>
      <c r="C22" s="614" t="str">
        <f>TechData_DMD!A28</f>
        <v>RSHEHPV122</v>
      </c>
      <c r="D22" s="614" t="str">
        <f>TechData_DMD!B28</f>
        <v>Electric Heat Pump Ver1.RSH.ELC.22</v>
      </c>
      <c r="E22" s="12" t="s">
        <v>32</v>
      </c>
      <c r="F22" s="12" t="s">
        <v>33</v>
      </c>
      <c r="I22" s="593" t="s">
        <v>36</v>
      </c>
      <c r="K22" s="12" t="s">
        <v>37</v>
      </c>
    </row>
    <row r="23" spans="2:11">
      <c r="B23" s="12" t="s">
        <v>31</v>
      </c>
      <c r="C23" s="614" t="str">
        <f>TechData_DMD!A31</f>
        <v>RSHEHPV123</v>
      </c>
      <c r="D23" s="614" t="str">
        <f>TechData_DMD!B31</f>
        <v>Electric Heat Pump Ver1.RSH.ELC.23</v>
      </c>
      <c r="E23" s="12" t="s">
        <v>32</v>
      </c>
      <c r="F23" s="12" t="s">
        <v>33</v>
      </c>
      <c r="I23" s="593" t="s">
        <v>36</v>
      </c>
      <c r="K23" s="12" t="str">
        <f>TechData_DMD!BF31</f>
        <v>R2,R3,R4,R5,R6</v>
      </c>
    </row>
    <row r="24" spans="2:11">
      <c r="B24" s="12" t="s">
        <v>31</v>
      </c>
      <c r="C24" s="614" t="str">
        <f>TechData_DMD!A34</f>
        <v>RSHEHPV223</v>
      </c>
      <c r="D24" s="614" t="str">
        <f>TechData_DMD!B34</f>
        <v>Electric Heat Pump Ver2.RSH.ELC.23</v>
      </c>
      <c r="E24" s="12" t="s">
        <v>32</v>
      </c>
      <c r="F24" s="12" t="s">
        <v>33</v>
      </c>
      <c r="I24" s="593" t="s">
        <v>36</v>
      </c>
      <c r="K24" s="12" t="str">
        <f>TechData_DMD!BF34</f>
        <v>R2,R3,R4,R5,R6</v>
      </c>
    </row>
    <row r="25" spans="2:11">
      <c r="B25" s="12" t="s">
        <v>31</v>
      </c>
      <c r="C25" s="614" t="str">
        <f>TechData_DMD!A37</f>
        <v>RSHEHPV323</v>
      </c>
      <c r="D25" s="614" t="str">
        <f>TechData_DMD!B37</f>
        <v>Electric Heat Pump Ver3.RSH.ELC.23</v>
      </c>
      <c r="E25" s="12" t="s">
        <v>32</v>
      </c>
      <c r="F25" s="12" t="s">
        <v>33</v>
      </c>
      <c r="I25" s="593" t="s">
        <v>36</v>
      </c>
      <c r="K25" s="12" t="str">
        <f>TechData_DMD!BF37</f>
        <v>R2,R3,R4,R5,R6</v>
      </c>
    </row>
    <row r="26" spans="2:11">
      <c r="B26" s="12" t="s">
        <v>31</v>
      </c>
      <c r="C26" s="614" t="str">
        <f>TechData_DMD!A40</f>
        <v>RSHEHPV130</v>
      </c>
      <c r="D26" s="614" t="str">
        <f>TechData_DMD!B40</f>
        <v>Electric Heat Pump Ver1.RSH.ELC.30</v>
      </c>
      <c r="E26" s="12" t="s">
        <v>32</v>
      </c>
      <c r="F26" s="12" t="s">
        <v>33</v>
      </c>
      <c r="I26" s="593" t="s">
        <v>36</v>
      </c>
      <c r="K26" s="12" t="str">
        <f>TechData_DMD!BF40</f>
        <v>R2,R3,R4,R5,R6</v>
      </c>
    </row>
    <row r="27" spans="2:11">
      <c r="B27" s="12" t="s">
        <v>31</v>
      </c>
      <c r="C27" s="614" t="str">
        <f>TechData_DMD!A43</f>
        <v>RSHEHPV230</v>
      </c>
      <c r="D27" s="614" t="str">
        <f>TechData_DMD!B43</f>
        <v>Electric Heat Pump Ver2.RSH.ELC.30</v>
      </c>
      <c r="E27" s="12" t="s">
        <v>32</v>
      </c>
      <c r="F27" s="12" t="s">
        <v>33</v>
      </c>
      <c r="I27" s="593" t="s">
        <v>36</v>
      </c>
      <c r="K27" s="12" t="str">
        <f>TechData_DMD!BF43</f>
        <v>R2,R3,R4,R5,R6</v>
      </c>
    </row>
    <row r="28" spans="2:11">
      <c r="B28" s="12" t="s">
        <v>31</v>
      </c>
      <c r="C28" s="614" t="str">
        <f>TechData_DMD!A46</f>
        <v>RSHEHPV140</v>
      </c>
      <c r="D28" s="614" t="str">
        <f>TechData_DMD!B46</f>
        <v>Electric Heat Pump Ver1.RSH.ELC.40</v>
      </c>
      <c r="E28" s="12" t="s">
        <v>32</v>
      </c>
      <c r="F28" s="12" t="s">
        <v>33</v>
      </c>
      <c r="I28" s="593" t="s">
        <v>36</v>
      </c>
      <c r="K28" s="12" t="str">
        <f>TechData_DMD!BF46</f>
        <v>R2,R3,R4,R5,R6</v>
      </c>
    </row>
    <row r="29" spans="2:11">
      <c r="B29" s="12" t="s">
        <v>31</v>
      </c>
      <c r="C29" s="614" t="str">
        <f>TechData_DMD!A49</f>
        <v>RSHEHPV240</v>
      </c>
      <c r="D29" s="614" t="str">
        <f>TechData_DMD!B49</f>
        <v>Electric Heat Pump Ver2.RSH.ELC.40</v>
      </c>
      <c r="E29" s="12" t="s">
        <v>32</v>
      </c>
      <c r="F29" s="12" t="s">
        <v>33</v>
      </c>
      <c r="I29" s="593" t="s">
        <v>36</v>
      </c>
      <c r="K29" s="12" t="s">
        <v>37</v>
      </c>
    </row>
    <row r="30" spans="2:11">
      <c r="B30" s="12" t="s">
        <v>31</v>
      </c>
      <c r="C30" s="614" t="str">
        <f>TechData_DMD!A52</f>
        <v>RSHEHPV150</v>
      </c>
      <c r="D30" s="614" t="str">
        <f>TechData_DMD!B52</f>
        <v>Electric Heat Pump Ver1.RSH.ELC.50</v>
      </c>
      <c r="E30" s="12" t="s">
        <v>32</v>
      </c>
      <c r="F30" s="12" t="s">
        <v>33</v>
      </c>
      <c r="I30" s="593" t="s">
        <v>36</v>
      </c>
      <c r="K30" s="12" t="str">
        <f>TechData_DMD!BF52</f>
        <v>R2,R3,R4,R5,R6</v>
      </c>
    </row>
    <row r="31" spans="2:11">
      <c r="B31" s="12" t="s">
        <v>31</v>
      </c>
      <c r="C31" s="614" t="str">
        <f>TechData_DMD!A55</f>
        <v>RSHEHPV250</v>
      </c>
      <c r="D31" s="614" t="str">
        <f>TechData_DMD!B55</f>
        <v>Electric Heat Pump Ver2.RSH.ELC.50</v>
      </c>
      <c r="E31" s="12" t="s">
        <v>32</v>
      </c>
      <c r="F31" s="12" t="s">
        <v>33</v>
      </c>
      <c r="I31" s="593" t="s">
        <v>36</v>
      </c>
      <c r="K31" s="12" t="str">
        <f>TechData_DMD!BF55</f>
        <v>R2,R3,R4,R5,R6</v>
      </c>
    </row>
    <row r="32" spans="2:11" ht="13">
      <c r="B32" s="1" t="s">
        <v>38</v>
      </c>
      <c r="C32" s="614"/>
      <c r="D32" s="614"/>
    </row>
    <row r="33" spans="2:11">
      <c r="B33" s="12" t="s">
        <v>31</v>
      </c>
      <c r="C33" s="614" t="str">
        <f>TechData_DMD!A59</f>
        <v>RSHNFRBS15</v>
      </c>
      <c r="D33" s="614" t="str">
        <f>TechData_DMD!B59</f>
        <v>Natural Gas Furnace Base.RSH.NGA.15</v>
      </c>
      <c r="E33" s="12" t="s">
        <v>32</v>
      </c>
      <c r="F33" s="12" t="s">
        <v>33</v>
      </c>
      <c r="K33" s="12" t="str">
        <f>TechData_DMD!BF59</f>
        <v>R2,R3,R4,R5,R6</v>
      </c>
    </row>
    <row r="34" spans="2:11">
      <c r="B34" s="12" t="s">
        <v>31</v>
      </c>
      <c r="C34" s="614" t="str">
        <f>TechData_DMD!A60</f>
        <v>RSHNFRBS20</v>
      </c>
      <c r="D34" s="614" t="str">
        <f>TechData_DMD!B60</f>
        <v>Natural Gas Furnace Base.RSH.NGA.20</v>
      </c>
      <c r="E34" s="12" t="s">
        <v>32</v>
      </c>
      <c r="F34" s="12" t="s">
        <v>33</v>
      </c>
      <c r="K34" s="12" t="str">
        <f>TechData_DMD!BF60</f>
        <v>R2,R3,R4,R5,R6</v>
      </c>
    </row>
    <row r="35" spans="2:11">
      <c r="B35" s="12" t="s">
        <v>31</v>
      </c>
      <c r="C35" s="614" t="str">
        <f>TechData_DMD!A61</f>
        <v>RSHNFRV122</v>
      </c>
      <c r="D35" s="614" t="str">
        <f>TechData_DMD!B61</f>
        <v>Natural Gas Furnace Ver1.RSH.NGA.22</v>
      </c>
      <c r="E35" s="12" t="s">
        <v>32</v>
      </c>
      <c r="F35" s="12" t="s">
        <v>33</v>
      </c>
      <c r="K35" s="12" t="str">
        <f>TechData_DMD!BF61</f>
        <v>R2,R3,R4,R5,R6</v>
      </c>
    </row>
    <row r="36" spans="2:11">
      <c r="B36" s="12" t="s">
        <v>31</v>
      </c>
      <c r="C36" s="614" t="str">
        <f>TechData_DMD!A62</f>
        <v>RSHNFRV222</v>
      </c>
      <c r="D36" s="614" t="str">
        <f>TechData_DMD!B62</f>
        <v>Natural Gas Furnace Ver2.RSH.NGA.22</v>
      </c>
      <c r="E36" s="12" t="s">
        <v>32</v>
      </c>
      <c r="F36" s="12" t="s">
        <v>33</v>
      </c>
      <c r="K36" s="12" t="str">
        <f>TechData_DMD!BF62</f>
        <v>R2,R3,R4,R5,R6</v>
      </c>
    </row>
    <row r="37" spans="2:11">
      <c r="B37" s="12" t="s">
        <v>31</v>
      </c>
      <c r="C37" s="614" t="str">
        <f>TechData_DMD!A63</f>
        <v>RSHNFRV322</v>
      </c>
      <c r="D37" s="614" t="str">
        <f>TechData_DMD!B63</f>
        <v>Natural Gas Furnace Ver3.RSH.NGA.22</v>
      </c>
      <c r="E37" s="12" t="s">
        <v>32</v>
      </c>
      <c r="F37" s="12" t="s">
        <v>33</v>
      </c>
      <c r="K37" s="12" t="str">
        <f>TechData_DMD!BF63</f>
        <v>R2,R3,R4,R5,R6</v>
      </c>
    </row>
    <row r="38" spans="2:11">
      <c r="B38" s="12" t="s">
        <v>31</v>
      </c>
      <c r="C38" s="614" t="str">
        <f>TechData_DMD!A64</f>
        <v>RSHNFRV422</v>
      </c>
      <c r="D38" s="614" t="str">
        <f>TechData_DMD!B64</f>
        <v>Natural Gas Furnace Ver4.RSH.NGA.22</v>
      </c>
      <c r="E38" s="12" t="s">
        <v>32</v>
      </c>
      <c r="F38" s="12" t="s">
        <v>33</v>
      </c>
      <c r="K38" s="12" t="str">
        <f>TechData_DMD!BF64</f>
        <v>R2,R3,R4,R5,R6</v>
      </c>
    </row>
    <row r="39" spans="2:11" ht="13">
      <c r="B39" s="1" t="s">
        <v>39</v>
      </c>
      <c r="C39" s="614"/>
      <c r="D39" s="614"/>
    </row>
    <row r="40" spans="2:11">
      <c r="B40" s="12" t="s">
        <v>31</v>
      </c>
      <c r="C40" s="614" t="str">
        <f>TechData_DMD!A66</f>
        <v>RSHNBRBS15</v>
      </c>
      <c r="D40" s="614" t="str">
        <f>TechData_DMD!B66</f>
        <v>Natural Gas Boiler Radiant Base.RSH.NGA.15</v>
      </c>
      <c r="E40" s="12" t="s">
        <v>32</v>
      </c>
      <c r="F40" s="12" t="s">
        <v>33</v>
      </c>
      <c r="K40" s="12" t="str">
        <f>TechData_DMD!BF66</f>
        <v>R2,R3,R4,R5,R6</v>
      </c>
    </row>
    <row r="41" spans="2:11">
      <c r="B41" s="12" t="s">
        <v>31</v>
      </c>
      <c r="C41" s="614" t="str">
        <f>TechData_DMD!A67</f>
        <v>RSHNBRBS20</v>
      </c>
      <c r="D41" s="614" t="str">
        <f>TechData_DMD!B67</f>
        <v>Natural Gas Boiler Radiant Base.RSH.NGA.20</v>
      </c>
      <c r="E41" s="12" t="s">
        <v>32</v>
      </c>
      <c r="F41" s="12" t="s">
        <v>33</v>
      </c>
      <c r="K41" s="12" t="str">
        <f>TechData_DMD!BF67</f>
        <v>R2,R3,R4,R5,R6</v>
      </c>
    </row>
    <row r="42" spans="2:11">
      <c r="B42" s="12" t="s">
        <v>31</v>
      </c>
      <c r="C42" s="614" t="str">
        <f>TechData_DMD!A68</f>
        <v>RSHNBRV122</v>
      </c>
      <c r="D42" s="614" t="str">
        <f>TechData_DMD!B68</f>
        <v>Natural Gas Boiler Radiant Ver 1.RSH.NGA.22</v>
      </c>
      <c r="E42" s="12" t="s">
        <v>32</v>
      </c>
      <c r="F42" s="12" t="s">
        <v>33</v>
      </c>
      <c r="K42" s="12" t="str">
        <f>TechData_DMD!BF68</f>
        <v>R2,R3,R4,R5,R6</v>
      </c>
    </row>
    <row r="43" spans="2:11">
      <c r="B43" s="12" t="s">
        <v>31</v>
      </c>
      <c r="C43" s="614" t="str">
        <f>TechData_DMD!A69</f>
        <v>RSHNBRV222</v>
      </c>
      <c r="D43" s="614" t="str">
        <f>TechData_DMD!B69</f>
        <v>Natural Gas Boiler Radiant Ver 2.RSH.NGA.22</v>
      </c>
      <c r="E43" s="12" t="s">
        <v>32</v>
      </c>
      <c r="F43" s="12" t="s">
        <v>33</v>
      </c>
      <c r="K43" s="12" t="str">
        <f>TechData_DMD!BF69</f>
        <v>R2,R3,R4,R5,R6</v>
      </c>
    </row>
    <row r="44" spans="2:11">
      <c r="B44" s="12" t="s">
        <v>31</v>
      </c>
      <c r="C44" s="614" t="str">
        <f>TechData_DMD!A70</f>
        <v>RSHNBRV322</v>
      </c>
      <c r="D44" s="614" t="str">
        <f>TechData_DMD!B70</f>
        <v>Natural Gas Boiler Radiant Ver 3.RSH.NGA.22</v>
      </c>
      <c r="E44" s="12" t="s">
        <v>32</v>
      </c>
      <c r="F44" s="12" t="s">
        <v>33</v>
      </c>
      <c r="K44" s="12" t="str">
        <f>TechData_DMD!BF70</f>
        <v>R2,R3,R4,R5,R6</v>
      </c>
    </row>
    <row r="45" spans="2:11">
      <c r="B45" s="12" t="s">
        <v>31</v>
      </c>
      <c r="C45" s="614" t="str">
        <f>TechData_DMD!A71</f>
        <v>RSHNBRV422</v>
      </c>
      <c r="D45" s="614" t="str">
        <f>TechData_DMD!B71</f>
        <v>Natural Gas Boiler Radiant Ver 4.RSH.NGA.22</v>
      </c>
      <c r="E45" s="12" t="s">
        <v>32</v>
      </c>
      <c r="F45" s="12" t="s">
        <v>33</v>
      </c>
      <c r="K45" s="12" t="str">
        <f>TechData_DMD!BF71</f>
        <v>R2,R3,R4,R5,R6</v>
      </c>
    </row>
    <row r="46" spans="2:11">
      <c r="B46" s="12" t="s">
        <v>31</v>
      </c>
      <c r="C46" s="614" t="str">
        <f>TechData_DMD!A72</f>
        <v>RSHNBRV130</v>
      </c>
      <c r="D46" s="614" t="str">
        <f>TechData_DMD!B72</f>
        <v>Natural Gas Boiler Radiant Ver 1.RSH.NGA.30</v>
      </c>
      <c r="E46" s="12" t="s">
        <v>32</v>
      </c>
      <c r="F46" s="12" t="s">
        <v>33</v>
      </c>
      <c r="K46" s="12" t="str">
        <f>TechData_DMD!BF72</f>
        <v>R2,R3,R4,R5,R6</v>
      </c>
    </row>
    <row r="47" spans="2:11">
      <c r="B47" s="12" t="s">
        <v>31</v>
      </c>
      <c r="C47" s="614" t="str">
        <f>TechData_DMD!A73</f>
        <v>RSHNBRV230</v>
      </c>
      <c r="D47" s="614" t="str">
        <f>TechData_DMD!B73</f>
        <v>Natural Gas Boiler Radiant Ver 2.RSH.NGA.30</v>
      </c>
      <c r="E47" s="12" t="s">
        <v>32</v>
      </c>
      <c r="F47" s="12" t="s">
        <v>33</v>
      </c>
      <c r="K47" s="12" t="str">
        <f>TechData_DMD!BF73</f>
        <v>R2,R3,R4,R5,R6</v>
      </c>
    </row>
    <row r="48" spans="2:11" ht="13">
      <c r="B48" s="1" t="s">
        <v>40</v>
      </c>
      <c r="C48" s="614"/>
      <c r="D48" s="614"/>
    </row>
    <row r="49" spans="2:11">
      <c r="B49" s="12" t="s">
        <v>31</v>
      </c>
      <c r="C49" s="614" t="str">
        <f>TechData_DMD!A75</f>
        <v>RSHDRDBS15</v>
      </c>
      <c r="D49" s="614" t="str">
        <f>TechData_DMD!B75</f>
        <v>Distillate Radiant Base.RSH.DST.15</v>
      </c>
      <c r="E49" s="12" t="s">
        <v>32</v>
      </c>
      <c r="F49" s="12" t="s">
        <v>33</v>
      </c>
      <c r="K49" s="12" t="str">
        <f>TechData_DMD!BF75</f>
        <v>R2,R3,R4,R5,R6</v>
      </c>
    </row>
    <row r="50" spans="2:11">
      <c r="B50" s="12" t="s">
        <v>31</v>
      </c>
      <c r="C50" s="614" t="str">
        <f>TechData_DMD!A76</f>
        <v>RSHDRDBS20</v>
      </c>
      <c r="D50" s="614" t="str">
        <f>TechData_DMD!B76</f>
        <v>Distillate Radiant Ver1.RSH.DST.20</v>
      </c>
      <c r="E50" s="12" t="s">
        <v>32</v>
      </c>
      <c r="F50" s="12" t="s">
        <v>33</v>
      </c>
      <c r="K50" s="12" t="s">
        <v>37</v>
      </c>
    </row>
    <row r="51" spans="2:11">
      <c r="B51" s="12" t="s">
        <v>31</v>
      </c>
      <c r="C51" s="614" t="str">
        <f>TechData_DMD!A77</f>
        <v>RSHDRDV122</v>
      </c>
      <c r="D51" s="614" t="str">
        <f>TechData_DMD!B77</f>
        <v>Distillate Radiant Ver1.RSH.DST.22</v>
      </c>
      <c r="E51" s="12" t="s">
        <v>32</v>
      </c>
      <c r="F51" s="12" t="s">
        <v>33</v>
      </c>
      <c r="K51" s="12" t="s">
        <v>37</v>
      </c>
    </row>
    <row r="52" spans="2:11">
      <c r="B52" s="12" t="s">
        <v>31</v>
      </c>
      <c r="C52" s="614" t="str">
        <f>TechData_DMD!A78</f>
        <v>RSHDRDV222</v>
      </c>
      <c r="D52" s="614" t="str">
        <f>TechData_DMD!B78</f>
        <v>Distillate Radiant Ver2.RSH.DST.22</v>
      </c>
      <c r="E52" s="12" t="s">
        <v>32</v>
      </c>
      <c r="F52" s="12" t="s">
        <v>33</v>
      </c>
      <c r="K52" s="12" t="s">
        <v>37</v>
      </c>
    </row>
    <row r="53" spans="2:11">
      <c r="B53" s="12" t="s">
        <v>31</v>
      </c>
      <c r="C53" s="614" t="str">
        <f>TechData_DMD!A79</f>
        <v>RSHDRDV322</v>
      </c>
      <c r="D53" s="614" t="str">
        <f>TechData_DMD!B79</f>
        <v>Distillate Radiant Ver3.RSH.DST.22</v>
      </c>
      <c r="E53" s="12" t="s">
        <v>32</v>
      </c>
      <c r="F53" s="12" t="s">
        <v>33</v>
      </c>
      <c r="K53" s="12" t="s">
        <v>37</v>
      </c>
    </row>
    <row r="54" spans="2:11">
      <c r="B54" s="12" t="s">
        <v>31</v>
      </c>
      <c r="C54" s="614" t="str">
        <f>TechData_DMD!A80</f>
        <v>RSHDRDV422</v>
      </c>
      <c r="D54" s="614" t="str">
        <f>TechData_DMD!B80</f>
        <v>Distillate Radiant Ver4.RSH.DST.22</v>
      </c>
      <c r="E54" s="12" t="s">
        <v>32</v>
      </c>
      <c r="F54" s="12" t="s">
        <v>33</v>
      </c>
      <c r="K54" s="12" t="s">
        <v>37</v>
      </c>
    </row>
    <row r="55" spans="2:11">
      <c r="B55" s="12" t="s">
        <v>31</v>
      </c>
      <c r="C55" s="614" t="str">
        <f>TechData_DMD!A81</f>
        <v>RSHDRDV130</v>
      </c>
      <c r="D55" s="614" t="str">
        <f>TechData_DMD!B81</f>
        <v>Distillate Radiant Ver1.RSH.DST.30</v>
      </c>
      <c r="E55" s="12" t="s">
        <v>32</v>
      </c>
      <c r="F55" s="12" t="s">
        <v>33</v>
      </c>
      <c r="K55" s="12" t="s">
        <v>37</v>
      </c>
    </row>
    <row r="56" spans="2:11">
      <c r="B56" s="12" t="s">
        <v>31</v>
      </c>
      <c r="C56" s="614" t="str">
        <f>TechData_DMD!A82</f>
        <v>RSHDRDV230</v>
      </c>
      <c r="D56" s="614" t="str">
        <f>TechData_DMD!B82</f>
        <v>Distillate Radiant Ver2.RSH.DST.30</v>
      </c>
      <c r="E56" s="12" t="s">
        <v>32</v>
      </c>
      <c r="F56" s="12" t="s">
        <v>33</v>
      </c>
      <c r="K56" s="12" t="s">
        <v>37</v>
      </c>
    </row>
    <row r="57" spans="2:11" ht="13">
      <c r="B57" s="1" t="s">
        <v>41</v>
      </c>
      <c r="C57" s="614"/>
      <c r="D57" s="614"/>
    </row>
    <row r="58" spans="2:11">
      <c r="B58" s="12" t="s">
        <v>31</v>
      </c>
      <c r="C58" s="614" t="str">
        <f>TechData_DMD!A84</f>
        <v>RSHDFRBS15</v>
      </c>
      <c r="D58" s="614" t="str">
        <f>TechData_DMD!B84</f>
        <v>Distillate Furnace Base.RSH.DST.15</v>
      </c>
      <c r="E58" s="12" t="s">
        <v>32</v>
      </c>
      <c r="F58" s="12" t="s">
        <v>33</v>
      </c>
      <c r="K58" s="12" t="s">
        <v>37</v>
      </c>
    </row>
    <row r="59" spans="2:11">
      <c r="B59" s="12" t="s">
        <v>31</v>
      </c>
      <c r="C59" s="614" t="str">
        <f>TechData_DMD!A85</f>
        <v>RSHDFRBS20</v>
      </c>
      <c r="D59" s="614" t="str">
        <f>TechData_DMD!B85</f>
        <v>Distillate Furnace Base.RSH.DST.20</v>
      </c>
      <c r="E59" s="12" t="s">
        <v>32</v>
      </c>
      <c r="F59" s="12" t="s">
        <v>33</v>
      </c>
      <c r="K59" s="12" t="s">
        <v>37</v>
      </c>
    </row>
    <row r="60" spans="2:11">
      <c r="B60" s="12" t="s">
        <v>31</v>
      </c>
      <c r="C60" s="614" t="str">
        <f>TechData_DMD!A86</f>
        <v>RSHDFRV122</v>
      </c>
      <c r="D60" s="614" t="str">
        <f>TechData_DMD!B86</f>
        <v>Distillate Furnace Ver1.RSH.DST.22</v>
      </c>
      <c r="E60" s="12" t="s">
        <v>32</v>
      </c>
      <c r="F60" s="12" t="s">
        <v>33</v>
      </c>
      <c r="K60" s="12" t="s">
        <v>37</v>
      </c>
    </row>
    <row r="61" spans="2:11">
      <c r="B61" s="12" t="s">
        <v>31</v>
      </c>
      <c r="C61" s="614" t="str">
        <f>TechData_DMD!A87</f>
        <v>RSHDFRV222</v>
      </c>
      <c r="D61" s="614" t="str">
        <f>TechData_DMD!B87</f>
        <v>Distillate Furnace Ver2.RSH.DST.22</v>
      </c>
      <c r="E61" s="12" t="s">
        <v>32</v>
      </c>
      <c r="F61" s="12" t="s">
        <v>33</v>
      </c>
      <c r="K61" s="12" t="s">
        <v>37</v>
      </c>
    </row>
    <row r="62" spans="2:11">
      <c r="B62" s="12" t="s">
        <v>31</v>
      </c>
      <c r="C62" s="614" t="str">
        <f>TechData_DMD!A88</f>
        <v>RSHDFRV322</v>
      </c>
      <c r="D62" s="614" t="str">
        <f>TechData_DMD!B88</f>
        <v>Distillate Furnace Ver3.RSH.DST.22</v>
      </c>
      <c r="E62" s="12" t="s">
        <v>32</v>
      </c>
      <c r="F62" s="12" t="s">
        <v>33</v>
      </c>
      <c r="K62" s="12" t="s">
        <v>37</v>
      </c>
    </row>
    <row r="63" spans="2:11">
      <c r="B63" s="12" t="s">
        <v>31</v>
      </c>
      <c r="C63" s="614" t="str">
        <f>TechData_DMD!A89</f>
        <v>RSHDFRV422</v>
      </c>
      <c r="D63" s="614" t="str">
        <f>TechData_DMD!B89</f>
        <v>Distillate Furnace Ver4.RSH.DST.22</v>
      </c>
      <c r="E63" s="12" t="s">
        <v>32</v>
      </c>
      <c r="F63" s="12" t="s">
        <v>33</v>
      </c>
      <c r="K63" s="12" t="s">
        <v>37</v>
      </c>
    </row>
    <row r="64" spans="2:11">
      <c r="B64" s="12" t="s">
        <v>31</v>
      </c>
      <c r="C64" s="614" t="str">
        <f>TechData_DMD!A90</f>
        <v>RSHDFRV130</v>
      </c>
      <c r="D64" s="614" t="str">
        <f>TechData_DMD!B90</f>
        <v>Distillate Furnace Ver1.RSH.DST.30</v>
      </c>
      <c r="E64" s="12" t="s">
        <v>32</v>
      </c>
      <c r="F64" s="12" t="s">
        <v>33</v>
      </c>
      <c r="K64" s="12" t="s">
        <v>37</v>
      </c>
    </row>
    <row r="65" spans="2:11">
      <c r="B65" s="12" t="s">
        <v>31</v>
      </c>
      <c r="C65" s="614" t="str">
        <f>TechData_DMD!A91</f>
        <v>RSHDFRV230</v>
      </c>
      <c r="D65" s="614" t="str">
        <f>TechData_DMD!B91</f>
        <v>Distillate Furnace Ver2.RSH.DST.30</v>
      </c>
      <c r="E65" s="12" t="s">
        <v>32</v>
      </c>
      <c r="F65" s="12" t="s">
        <v>33</v>
      </c>
      <c r="K65" s="12" t="s">
        <v>37</v>
      </c>
    </row>
    <row r="66" spans="2:11" ht="13">
      <c r="B66" s="1" t="s">
        <v>42</v>
      </c>
      <c r="C66" s="614"/>
      <c r="D66" s="614"/>
    </row>
    <row r="67" spans="2:11">
      <c r="B67" s="12" t="s">
        <v>31</v>
      </c>
      <c r="C67" s="614" t="str">
        <f>TechData_DMD!A93</f>
        <v>RSCGHPBS15</v>
      </c>
      <c r="D67" s="614" t="str">
        <f>TechData_DMD!B93</f>
        <v>Ground Source Heat Pump Base.RSC.ELC.15</v>
      </c>
      <c r="E67" s="12" t="s">
        <v>32</v>
      </c>
      <c r="F67" s="12" t="s">
        <v>33</v>
      </c>
      <c r="I67" s="593" t="s">
        <v>36</v>
      </c>
      <c r="K67" s="12" t="s">
        <v>37</v>
      </c>
    </row>
    <row r="68" spans="2:11">
      <c r="B68" s="12" t="s">
        <v>31</v>
      </c>
      <c r="C68" s="614" t="str">
        <f>TechData_DMD!A96</f>
        <v>RSCGHPBS20</v>
      </c>
      <c r="D68" s="614" t="str">
        <f>TechData_DMD!B96</f>
        <v>Ground Source  Heat Pump Base.RSC.ELC.20</v>
      </c>
      <c r="E68" s="12" t="s">
        <v>32</v>
      </c>
      <c r="F68" s="12" t="s">
        <v>33</v>
      </c>
      <c r="I68" s="593" t="s">
        <v>36</v>
      </c>
      <c r="K68" s="12" t="s">
        <v>37</v>
      </c>
    </row>
    <row r="69" spans="2:11">
      <c r="B69" s="12" t="s">
        <v>31</v>
      </c>
      <c r="C69" s="614" t="str">
        <f>TechData_DMD!A99</f>
        <v>RSCGHPV122</v>
      </c>
      <c r="D69" s="614" t="str">
        <f>TechData_DMD!B99</f>
        <v>Ground Source Heat Pump Ver1.RSC.ELC.22</v>
      </c>
      <c r="E69" s="12" t="s">
        <v>32</v>
      </c>
      <c r="F69" s="12" t="s">
        <v>33</v>
      </c>
      <c r="I69" s="593" t="s">
        <v>36</v>
      </c>
      <c r="K69" s="12" t="s">
        <v>37</v>
      </c>
    </row>
    <row r="70" spans="2:11">
      <c r="B70" s="12" t="s">
        <v>31</v>
      </c>
      <c r="C70" s="614" t="str">
        <f>TechData_DMD!A102</f>
        <v>RSCGHPV222</v>
      </c>
      <c r="D70" s="614" t="str">
        <f>TechData_DMD!B102</f>
        <v>Ground Source Heat Pump Ver2.RSC.ELC.22</v>
      </c>
      <c r="E70" s="12" t="s">
        <v>32</v>
      </c>
      <c r="F70" s="12" t="s">
        <v>33</v>
      </c>
      <c r="I70" s="593" t="s">
        <v>36</v>
      </c>
      <c r="K70" s="12" t="s">
        <v>37</v>
      </c>
    </row>
    <row r="71" spans="2:11">
      <c r="B71" s="12" t="s">
        <v>31</v>
      </c>
      <c r="C71" s="614" t="str">
        <f>TechData_DMD!A105</f>
        <v>RSCGHPV322</v>
      </c>
      <c r="D71" s="614" t="str">
        <f>TechData_DMD!B105</f>
        <v>Ground Source Heat Pump Ver3.RSC.ELC.22</v>
      </c>
      <c r="E71" s="12" t="s">
        <v>32</v>
      </c>
      <c r="F71" s="12" t="s">
        <v>33</v>
      </c>
      <c r="I71" s="593" t="s">
        <v>36</v>
      </c>
      <c r="K71" s="12" t="s">
        <v>37</v>
      </c>
    </row>
    <row r="72" spans="2:11">
      <c r="B72" s="12" t="s">
        <v>31</v>
      </c>
      <c r="C72" s="614" t="str">
        <f>TechData_DMD!A108</f>
        <v>RSCGHPV422</v>
      </c>
      <c r="D72" s="614" t="str">
        <f>TechData_DMD!B108</f>
        <v>Ground Source Heat Pump Ver4.RSC.ELC.22</v>
      </c>
      <c r="E72" s="12" t="s">
        <v>32</v>
      </c>
      <c r="F72" s="12" t="s">
        <v>33</v>
      </c>
      <c r="I72" s="593" t="s">
        <v>36</v>
      </c>
      <c r="K72" s="12" t="s">
        <v>37</v>
      </c>
    </row>
    <row r="73" spans="2:11">
      <c r="B73" s="12" t="s">
        <v>31</v>
      </c>
      <c r="C73" s="614" t="str">
        <f>TechData_DMD!A111</f>
        <v>RSCGHPV130</v>
      </c>
      <c r="D73" s="614" t="str">
        <f>TechData_DMD!B111</f>
        <v>Ground Source Heat Pump Ver1.RSC.ELC.30</v>
      </c>
      <c r="E73" s="12" t="s">
        <v>32</v>
      </c>
      <c r="F73" s="12" t="s">
        <v>33</v>
      </c>
      <c r="I73" s="593" t="s">
        <v>36</v>
      </c>
      <c r="K73" s="12" t="s">
        <v>37</v>
      </c>
    </row>
    <row r="74" spans="2:11">
      <c r="B74" s="12" t="s">
        <v>31</v>
      </c>
      <c r="C74" s="614" t="str">
        <f>TechData_DMD!A114</f>
        <v>RSCGHPV230</v>
      </c>
      <c r="D74" s="614" t="str">
        <f>TechData_DMD!B114</f>
        <v>Ground Source Heat Pump Ver2.RSC.ELC.30</v>
      </c>
      <c r="E74" s="12" t="s">
        <v>32</v>
      </c>
      <c r="F74" s="12" t="s">
        <v>33</v>
      </c>
      <c r="I74" s="593" t="s">
        <v>36</v>
      </c>
      <c r="K74" s="12" t="s">
        <v>37</v>
      </c>
    </row>
    <row r="75" spans="2:11" ht="13">
      <c r="B75" s="1" t="s">
        <v>43</v>
      </c>
      <c r="C75" s="614"/>
      <c r="D75" s="614"/>
    </row>
    <row r="76" spans="2:11">
      <c r="B76" s="12" t="s">
        <v>31</v>
      </c>
      <c r="C76" s="614" t="str">
        <f>TechData_DMD!A118</f>
        <v>RSHNHPBS09</v>
      </c>
      <c r="D76" s="614" t="str">
        <f>TechData_DMD!B118</f>
        <v>Natural Gas Heat Pump Base.RSH.NGA.09</v>
      </c>
      <c r="E76" s="12" t="s">
        <v>32</v>
      </c>
      <c r="F76" s="12" t="s">
        <v>33</v>
      </c>
      <c r="K76" s="12" t="s">
        <v>37</v>
      </c>
    </row>
    <row r="77" spans="2:11">
      <c r="B77" s="12" t="s">
        <v>31</v>
      </c>
      <c r="C77" s="614" t="str">
        <f>TechData_DMD!A119</f>
        <v>RSHNHPBS20</v>
      </c>
      <c r="D77" s="614" t="str">
        <f>TechData_DMD!B119</f>
        <v>Natural Gas Heat Pump Base.RSH.NGA.20</v>
      </c>
      <c r="E77" s="12" t="s">
        <v>32</v>
      </c>
      <c r="F77" s="12" t="s">
        <v>33</v>
      </c>
      <c r="K77" s="12" t="s">
        <v>37</v>
      </c>
    </row>
    <row r="78" spans="2:11">
      <c r="B78" s="12" t="s">
        <v>31</v>
      </c>
      <c r="C78" s="614" t="str">
        <f>TechData_DMD!A120</f>
        <v>RSHNHPV122</v>
      </c>
      <c r="D78" s="614" t="str">
        <f>TechData_DMD!B120</f>
        <v>Natural Gas Heat Pump Ver1.RSH.NGA.22</v>
      </c>
      <c r="E78" s="12" t="s">
        <v>32</v>
      </c>
      <c r="F78" s="12" t="s">
        <v>33</v>
      </c>
      <c r="K78" s="12" t="s">
        <v>37</v>
      </c>
    </row>
    <row r="79" spans="2:11">
      <c r="B79" s="12" t="s">
        <v>31</v>
      </c>
      <c r="C79" s="614" t="str">
        <f>TechData_DMD!A121</f>
        <v>RSHNHPV130</v>
      </c>
      <c r="D79" s="614" t="str">
        <f>TechData_DMD!B121</f>
        <v>Natural Gas Heat Pump Ver1.RSH.NGA.30</v>
      </c>
      <c r="E79" s="12" t="s">
        <v>32</v>
      </c>
      <c r="F79" s="12" t="s">
        <v>33</v>
      </c>
      <c r="K79" s="12" t="s">
        <v>37</v>
      </c>
    </row>
    <row r="80" spans="2:11">
      <c r="B80" s="12" t="s">
        <v>31</v>
      </c>
      <c r="C80" s="614" t="str">
        <f>TechData_DMD!A122</f>
        <v>RSHNHPV140</v>
      </c>
      <c r="D80" s="614" t="str">
        <f>TechData_DMD!B122</f>
        <v>Natural Gas Heat Pump Ver1.RSH.NGA.40</v>
      </c>
      <c r="E80" s="12" t="s">
        <v>32</v>
      </c>
      <c r="F80" s="12" t="s">
        <v>33</v>
      </c>
      <c r="K80" s="12" t="s">
        <v>37</v>
      </c>
    </row>
    <row r="81" spans="2:11">
      <c r="B81" s="12" t="s">
        <v>31</v>
      </c>
      <c r="C81" s="614" t="str">
        <f>TechData_DMD!A123</f>
        <v>RSHNHPV150</v>
      </c>
      <c r="D81" s="614" t="str">
        <f>TechData_DMD!B123</f>
        <v>Natural Gas Heat Pump Ver1.RSH.NGA.50</v>
      </c>
      <c r="E81" s="12" t="s">
        <v>32</v>
      </c>
      <c r="F81" s="12" t="s">
        <v>33</v>
      </c>
      <c r="K81" s="12" t="s">
        <v>37</v>
      </c>
    </row>
    <row r="82" spans="2:11" ht="13">
      <c r="B82" s="1" t="str">
        <f>TechData_DMD!A124</f>
        <v>*UTILITY SCALE CHP - SH</v>
      </c>
      <c r="C82" s="614"/>
      <c r="D82" s="614"/>
    </row>
    <row r="83" spans="2:11">
      <c r="B83" s="12" t="s">
        <v>31</v>
      </c>
      <c r="C83" s="12" t="str">
        <f>TechData_DMD!A125</f>
        <v>RSHNUTIBOI15</v>
      </c>
      <c r="D83" s="12" t="str">
        <f>TechData_DMD!B125</f>
        <v>RSH.NG.UTILITY.BOILER</v>
      </c>
      <c r="E83" s="12" t="s">
        <v>32</v>
      </c>
      <c r="F83" s="12" t="s">
        <v>33</v>
      </c>
      <c r="K83" s="12" t="s">
        <v>37</v>
      </c>
    </row>
    <row r="84" spans="2:11">
      <c r="B84" s="12" t="s">
        <v>31</v>
      </c>
      <c r="C84" s="12" t="str">
        <f>TechData_DMD!A126</f>
        <v>RSHNUTICHP15</v>
      </c>
      <c r="D84" s="12" t="str">
        <f>TechData_DMD!B126</f>
        <v>RSH.NG.UTILITY.CHP</v>
      </c>
      <c r="E84" s="12" t="s">
        <v>32</v>
      </c>
      <c r="F84" s="12" t="s">
        <v>33</v>
      </c>
      <c r="K84" s="12" t="s">
        <v>37</v>
      </c>
    </row>
    <row r="85" spans="2:11">
      <c r="B85" s="12" t="s">
        <v>31</v>
      </c>
      <c r="C85" s="12" t="str">
        <f>TechData_DMD!A127</f>
        <v>RSHBUTICHP15</v>
      </c>
      <c r="D85" s="12" t="str">
        <f>TechData_DMD!B127</f>
        <v>RSH.DSL.UTILITY.CHP</v>
      </c>
      <c r="E85" s="12" t="s">
        <v>32</v>
      </c>
      <c r="F85" s="12" t="s">
        <v>33</v>
      </c>
      <c r="K85" s="12" t="s">
        <v>37</v>
      </c>
    </row>
    <row r="86" spans="2:11" ht="13">
      <c r="B86" s="1" t="str">
        <f>TechData_DMD!A128</f>
        <v>*Heating retrofit</v>
      </c>
      <c r="E86" s="12" t="s">
        <v>32</v>
      </c>
      <c r="F86" s="12" t="s">
        <v>33</v>
      </c>
    </row>
    <row r="87" spans="2:11">
      <c r="B87" s="12" t="s">
        <v>31</v>
      </c>
      <c r="C87" s="12" t="str">
        <f>TechData_DMD!A129</f>
        <v>RSHRETSMT</v>
      </c>
      <c r="D87" s="12" t="str">
        <f>TechData_DMD!B129</f>
        <v>Retrofit.Smart Thermostats</v>
      </c>
      <c r="E87" s="12" t="s">
        <v>32</v>
      </c>
      <c r="F87" s="12" t="s">
        <v>33</v>
      </c>
      <c r="K87" s="12" t="s">
        <v>37</v>
      </c>
    </row>
    <row r="88" spans="2:11">
      <c r="B88" s="12" t="s">
        <v>31</v>
      </c>
      <c r="C88" s="12" t="str">
        <f>TechData_DMD!A130</f>
        <v>RSHRETVEO</v>
      </c>
      <c r="D88" s="12" t="str">
        <f>TechData_DMD!B130</f>
        <v>Retrofit.Ventilation Overhaul</v>
      </c>
      <c r="E88" s="12" t="s">
        <v>32</v>
      </c>
      <c r="F88" s="12" t="s">
        <v>33</v>
      </c>
      <c r="K88" s="12" t="s">
        <v>37</v>
      </c>
    </row>
    <row r="89" spans="2:11">
      <c r="B89" s="12" t="s">
        <v>31</v>
      </c>
      <c r="C89" s="12" t="str">
        <f>TechData_DMD!A131</f>
        <v>RSHRETINR</v>
      </c>
      <c r="D89" s="12" t="str">
        <f>TechData_DMD!B131</f>
        <v>Retrofit.Insulation - roof</v>
      </c>
      <c r="E89" s="12" t="s">
        <v>32</v>
      </c>
      <c r="F89" s="12" t="s">
        <v>33</v>
      </c>
      <c r="K89" s="12" t="s">
        <v>37</v>
      </c>
    </row>
    <row r="90" spans="2:11">
      <c r="B90" s="12" t="s">
        <v>31</v>
      </c>
      <c r="C90" s="12" t="str">
        <f>TechData_DMD!A132</f>
        <v>RSHRETWIR</v>
      </c>
      <c r="D90" s="12" t="str">
        <f>TechData_DMD!B132</f>
        <v>Retrofit.Window replacement</v>
      </c>
      <c r="E90" s="12" t="s">
        <v>32</v>
      </c>
      <c r="F90" s="12" t="s">
        <v>33</v>
      </c>
      <c r="K90" s="12" t="s">
        <v>37</v>
      </c>
    </row>
    <row r="91" spans="2:11">
      <c r="B91" s="12" t="s">
        <v>31</v>
      </c>
      <c r="C91" s="12" t="str">
        <f>TechData_DMD!A133</f>
        <v>RSHRETINW</v>
      </c>
      <c r="D91" s="12" t="str">
        <f>TechData_DMD!B133</f>
        <v>Retrofit.Insulation - walls</v>
      </c>
      <c r="E91" s="12" t="s">
        <v>32</v>
      </c>
      <c r="F91" s="12" t="s">
        <v>33</v>
      </c>
      <c r="K91" s="12" t="s">
        <v>37</v>
      </c>
    </row>
    <row r="92" spans="2:11" ht="13">
      <c r="B92" s="1" t="s">
        <v>44</v>
      </c>
      <c r="C92" s="614"/>
      <c r="D92" s="614"/>
    </row>
    <row r="93" spans="2:11" ht="13">
      <c r="B93" s="1" t="s">
        <v>45</v>
      </c>
      <c r="C93" s="614"/>
      <c r="D93" s="614"/>
    </row>
    <row r="94" spans="2:11">
      <c r="B94" s="12" t="s">
        <v>31</v>
      </c>
      <c r="C94" s="614" t="str">
        <f>TechData_DMD!A136</f>
        <v>RSCRACBS15</v>
      </c>
      <c r="D94" s="614" t="str">
        <f>TechData_DMD!B136</f>
        <v>Room AC Base.RSC.ELC.15</v>
      </c>
      <c r="E94" s="12" t="s">
        <v>32</v>
      </c>
      <c r="F94" s="12" t="s">
        <v>33</v>
      </c>
      <c r="K94" s="12" t="s">
        <v>37</v>
      </c>
    </row>
    <row r="95" spans="2:11">
      <c r="B95" s="12" t="s">
        <v>31</v>
      </c>
      <c r="C95" s="614" t="str">
        <f>TechData_DMD!A137</f>
        <v>RSCRACBS20</v>
      </c>
      <c r="D95" s="614" t="str">
        <f>TechData_DMD!B137</f>
        <v>Room AC Base.RSC.ELC.20</v>
      </c>
      <c r="E95" s="12" t="s">
        <v>32</v>
      </c>
      <c r="F95" s="12" t="s">
        <v>33</v>
      </c>
      <c r="K95" s="12" t="s">
        <v>37</v>
      </c>
    </row>
    <row r="96" spans="2:11">
      <c r="B96" s="12" t="s">
        <v>31</v>
      </c>
      <c r="C96" s="614" t="str">
        <f>TechData_DMD!A138</f>
        <v>RSCRACV122</v>
      </c>
      <c r="D96" s="614" t="str">
        <f>TechData_DMD!B138</f>
        <v>Room AC Ver1.RSC.ELC.22</v>
      </c>
      <c r="E96" s="12" t="s">
        <v>32</v>
      </c>
      <c r="F96" s="12" t="s">
        <v>33</v>
      </c>
      <c r="K96" s="12" t="s">
        <v>37</v>
      </c>
    </row>
    <row r="97" spans="2:11">
      <c r="B97" s="12" t="s">
        <v>31</v>
      </c>
      <c r="C97" s="614" t="str">
        <f>TechData_DMD!A139</f>
        <v>RSCRACV222</v>
      </c>
      <c r="D97" s="614" t="str">
        <f>TechData_DMD!B139</f>
        <v>Room AC Ver2.RSC.ELC.22</v>
      </c>
      <c r="E97" s="12" t="s">
        <v>32</v>
      </c>
      <c r="F97" s="12" t="s">
        <v>33</v>
      </c>
      <c r="K97" s="12" t="s">
        <v>37</v>
      </c>
    </row>
    <row r="98" spans="2:11">
      <c r="B98" s="12" t="s">
        <v>31</v>
      </c>
      <c r="C98" s="614" t="str">
        <f>TechData_DMD!A140</f>
        <v>RSCRACV322</v>
      </c>
      <c r="D98" s="614" t="str">
        <f>TechData_DMD!B140</f>
        <v>Room AC Ver3.RSC.ELC.22</v>
      </c>
      <c r="E98" s="12" t="s">
        <v>32</v>
      </c>
      <c r="F98" s="12" t="s">
        <v>33</v>
      </c>
      <c r="K98" s="12" t="s">
        <v>37</v>
      </c>
    </row>
    <row r="99" spans="2:11">
      <c r="B99" s="12" t="s">
        <v>31</v>
      </c>
      <c r="C99" s="614" t="str">
        <f>TechData_DMD!A141</f>
        <v>RSCRACV422</v>
      </c>
      <c r="D99" s="614" t="str">
        <f>TechData_DMD!B141</f>
        <v>Room AC Ver4.RSC.ELC.22</v>
      </c>
      <c r="E99" s="12" t="s">
        <v>32</v>
      </c>
      <c r="F99" s="12" t="s">
        <v>33</v>
      </c>
      <c r="K99" s="12" t="s">
        <v>37</v>
      </c>
    </row>
    <row r="100" spans="2:11" ht="13">
      <c r="B100" s="1" t="s">
        <v>46</v>
      </c>
      <c r="C100" s="614"/>
      <c r="D100" s="614"/>
    </row>
    <row r="101" spans="2:11">
      <c r="B101" s="12" t="s">
        <v>31</v>
      </c>
      <c r="C101" s="614" t="str">
        <f>TechData_DMD!A143</f>
        <v>RSCCACBS15</v>
      </c>
      <c r="D101" s="614" t="str">
        <f>TechData_DMD!B143</f>
        <v>Central AC Base.RSC.ELC.15</v>
      </c>
      <c r="E101" s="12" t="s">
        <v>32</v>
      </c>
      <c r="F101" s="12" t="s">
        <v>33</v>
      </c>
      <c r="K101" s="12" t="s">
        <v>37</v>
      </c>
    </row>
    <row r="102" spans="2:11">
      <c r="B102" s="12" t="s">
        <v>31</v>
      </c>
      <c r="C102" s="614" t="str">
        <f>TechData_DMD!A144</f>
        <v>RSCCACBS20</v>
      </c>
      <c r="D102" s="614" t="str">
        <f>TechData_DMD!B144</f>
        <v>Central AC Base.RSC.ELC.20</v>
      </c>
      <c r="E102" s="12" t="s">
        <v>32</v>
      </c>
      <c r="F102" s="12" t="s">
        <v>33</v>
      </c>
      <c r="K102" s="12" t="s">
        <v>37</v>
      </c>
    </row>
    <row r="103" spans="2:11">
      <c r="B103" s="12" t="s">
        <v>31</v>
      </c>
      <c r="C103" s="614" t="str">
        <f>TechData_DMD!A145</f>
        <v>RSCCACV122</v>
      </c>
      <c r="D103" s="614" t="str">
        <f>TechData_DMD!B145</f>
        <v>Central AC Ver1.RSC.ELC.22</v>
      </c>
      <c r="E103" s="12" t="s">
        <v>32</v>
      </c>
      <c r="F103" s="12" t="s">
        <v>33</v>
      </c>
      <c r="K103" s="12" t="s">
        <v>37</v>
      </c>
    </row>
    <row r="104" spans="2:11">
      <c r="B104" s="12" t="s">
        <v>31</v>
      </c>
      <c r="C104" s="614" t="str">
        <f>TechData_DMD!A146</f>
        <v>RSCCACV222</v>
      </c>
      <c r="D104" s="614" t="str">
        <f>TechData_DMD!B146</f>
        <v>Central AC Ver2.RSC.ELC.22</v>
      </c>
      <c r="E104" s="12" t="s">
        <v>32</v>
      </c>
      <c r="F104" s="12" t="s">
        <v>33</v>
      </c>
      <c r="K104" s="12" t="s">
        <v>37</v>
      </c>
    </row>
    <row r="105" spans="2:11">
      <c r="B105" s="12" t="s">
        <v>31</v>
      </c>
      <c r="C105" s="614" t="str">
        <f>TechData_DMD!A147</f>
        <v>RSCCACV322</v>
      </c>
      <c r="D105" s="614" t="str">
        <f>TechData_DMD!B147</f>
        <v>Central AC Ver3.RSC.ELC.22</v>
      </c>
      <c r="E105" s="12" t="s">
        <v>32</v>
      </c>
      <c r="F105" s="12" t="s">
        <v>33</v>
      </c>
      <c r="K105" s="12" t="s">
        <v>37</v>
      </c>
    </row>
    <row r="106" spans="2:11">
      <c r="B106" s="12" t="s">
        <v>31</v>
      </c>
      <c r="C106" s="614" t="str">
        <f>TechData_DMD!A148</f>
        <v>RSCCACV422</v>
      </c>
      <c r="D106" s="614" t="str">
        <f>TechData_DMD!B148</f>
        <v>Central AC Ver4.RSC.ELC.22</v>
      </c>
      <c r="E106" s="12" t="s">
        <v>32</v>
      </c>
      <c r="F106" s="12" t="s">
        <v>33</v>
      </c>
      <c r="K106" s="12" t="s">
        <v>37</v>
      </c>
    </row>
    <row r="107" spans="2:11">
      <c r="B107" s="12" t="s">
        <v>31</v>
      </c>
      <c r="C107" s="614" t="str">
        <f>TechData_DMD!A149</f>
        <v>RSCCACV130</v>
      </c>
      <c r="D107" s="614" t="str">
        <f>TechData_DMD!B149</f>
        <v>Central AC Ver1.RSC.ELC.30</v>
      </c>
      <c r="E107" s="12" t="s">
        <v>32</v>
      </c>
      <c r="F107" s="12" t="s">
        <v>33</v>
      </c>
      <c r="K107" s="12" t="s">
        <v>37</v>
      </c>
    </row>
    <row r="108" spans="2:11">
      <c r="B108" s="12" t="s">
        <v>31</v>
      </c>
      <c r="C108" s="614" t="str">
        <f>TechData_DMD!A150</f>
        <v>RSCCACV230</v>
      </c>
      <c r="D108" s="614" t="str">
        <f>TechData_DMD!B150</f>
        <v>Central AC Ver2.RSC.ELC.30</v>
      </c>
      <c r="E108" s="12" t="s">
        <v>32</v>
      </c>
      <c r="F108" s="12" t="s">
        <v>33</v>
      </c>
      <c r="K108" s="12" t="s">
        <v>37</v>
      </c>
    </row>
    <row r="109" spans="2:11" ht="13">
      <c r="B109" s="1" t="s">
        <v>47</v>
      </c>
      <c r="C109" s="614"/>
      <c r="D109" s="614"/>
    </row>
    <row r="110" spans="2:11">
      <c r="B110" s="12" t="s">
        <v>31</v>
      </c>
      <c r="C110" s="614" t="str">
        <f>TechData_DMD!A152</f>
        <v>RSCCACP115</v>
      </c>
      <c r="D110" s="614" t="str">
        <f>TechData_DMD!B152</f>
        <v>Portable AC Ver1.RSC.ELC.15</v>
      </c>
      <c r="E110" s="12" t="s">
        <v>32</v>
      </c>
      <c r="F110" s="12" t="s">
        <v>33</v>
      </c>
      <c r="K110" s="12" t="s">
        <v>37</v>
      </c>
    </row>
    <row r="111" spans="2:11">
      <c r="B111" s="12" t="s">
        <v>31</v>
      </c>
      <c r="C111" s="614" t="str">
        <f>TechData_DMD!A153</f>
        <v>RSCCACP120</v>
      </c>
      <c r="D111" s="614" t="str">
        <f>TechData_DMD!B153</f>
        <v>Portable AC Ver1.RSC.ELC.20</v>
      </c>
      <c r="E111" s="12" t="s">
        <v>32</v>
      </c>
      <c r="F111" s="12" t="s">
        <v>33</v>
      </c>
      <c r="K111" s="12" t="s">
        <v>37</v>
      </c>
    </row>
    <row r="112" spans="2:11">
      <c r="B112" s="12" t="s">
        <v>31</v>
      </c>
      <c r="C112" s="614" t="str">
        <f>TechData_DMD!A154</f>
        <v>RSCCACP122</v>
      </c>
      <c r="D112" s="614" t="str">
        <f>TechData_DMD!B154</f>
        <v>Portable AC Ver1.RSC.ELC.22</v>
      </c>
      <c r="E112" s="12" t="s">
        <v>32</v>
      </c>
      <c r="F112" s="12" t="s">
        <v>33</v>
      </c>
      <c r="K112" s="12" t="s">
        <v>37</v>
      </c>
    </row>
    <row r="113" spans="2:11">
      <c r="B113" s="12" t="s">
        <v>31</v>
      </c>
      <c r="C113" s="614" t="str">
        <f>TechData_DMD!A155</f>
        <v>RSCCACP222</v>
      </c>
      <c r="D113" s="614" t="str">
        <f>TechData_DMD!B155</f>
        <v>Portable AC Ver2.RSC.ELC.22</v>
      </c>
      <c r="E113" s="12" t="s">
        <v>32</v>
      </c>
      <c r="F113" s="12" t="s">
        <v>33</v>
      </c>
      <c r="K113" s="12" t="s">
        <v>37</v>
      </c>
    </row>
    <row r="114" spans="2:11">
      <c r="B114" s="12" t="s">
        <v>31</v>
      </c>
      <c r="C114" s="614" t="str">
        <f>TechData_DMD!A156</f>
        <v>RSCCACP125</v>
      </c>
      <c r="D114" s="614" t="str">
        <f>TechData_DMD!B156</f>
        <v>Portable AC Ver1.RSC.ELC.25</v>
      </c>
      <c r="E114" s="12" t="s">
        <v>32</v>
      </c>
      <c r="F114" s="12" t="s">
        <v>33</v>
      </c>
      <c r="K114" s="12" t="s">
        <v>37</v>
      </c>
    </row>
    <row r="115" spans="2:11">
      <c r="B115" s="12" t="s">
        <v>31</v>
      </c>
      <c r="C115" s="614" t="str">
        <f>TechData_DMD!A157</f>
        <v>RSCCACP225</v>
      </c>
      <c r="D115" s="614" t="str">
        <f>TechData_DMD!B157</f>
        <v>Portable AC Ver2.RSC.ELC.25</v>
      </c>
      <c r="E115" s="12" t="s">
        <v>32</v>
      </c>
      <c r="F115" s="12" t="s">
        <v>33</v>
      </c>
      <c r="K115" s="12" t="s">
        <v>37</v>
      </c>
    </row>
    <row r="116" spans="2:11" ht="13">
      <c r="B116" s="1" t="s">
        <v>48</v>
      </c>
      <c r="C116" s="614"/>
      <c r="D116" s="614"/>
    </row>
    <row r="117" spans="2:11" ht="13">
      <c r="B117" s="1" t="s">
        <v>49</v>
      </c>
      <c r="C117" s="614"/>
      <c r="D117" s="614"/>
    </row>
    <row r="118" spans="2:11" ht="13">
      <c r="B118" s="1" t="s">
        <v>50</v>
      </c>
      <c r="C118" s="614"/>
      <c r="D118" s="614"/>
    </row>
    <row r="119" spans="2:11">
      <c r="B119" s="12" t="s">
        <v>31</v>
      </c>
      <c r="C119" s="614" t="str">
        <f>TechData_DMD!A161</f>
        <v>RWHNGSV115</v>
      </c>
      <c r="D119" s="614" t="str">
        <f>TechData_DMD!B161</f>
        <v>Natural Gas Ver1.RWH.NGA.15</v>
      </c>
      <c r="E119" s="12" t="s">
        <v>32</v>
      </c>
      <c r="F119" s="12" t="s">
        <v>33</v>
      </c>
      <c r="K119" s="12" t="s">
        <v>37</v>
      </c>
    </row>
    <row r="120" spans="2:11">
      <c r="B120" s="12" t="s">
        <v>31</v>
      </c>
      <c r="C120" s="614" t="str">
        <f>TechData_DMD!A162</f>
        <v>RWHNGSV120</v>
      </c>
      <c r="D120" s="614" t="str">
        <f>TechData_DMD!B162</f>
        <v>Natural Gas Ver1.RWH.NGA.20</v>
      </c>
      <c r="E120" s="12" t="s">
        <v>32</v>
      </c>
      <c r="F120" s="12" t="s">
        <v>33</v>
      </c>
      <c r="K120" s="12" t="s">
        <v>37</v>
      </c>
    </row>
    <row r="121" spans="2:11">
      <c r="B121" s="12" t="s">
        <v>31</v>
      </c>
      <c r="C121" s="614" t="str">
        <f>TechData_DMD!A163</f>
        <v>RWHNGSV122</v>
      </c>
      <c r="D121" s="614" t="str">
        <f>TechData_DMD!B163</f>
        <v>Natural Gas Ver1.RWH.NGA.22</v>
      </c>
      <c r="E121" s="12" t="s">
        <v>32</v>
      </c>
      <c r="F121" s="12" t="s">
        <v>33</v>
      </c>
      <c r="K121" s="12" t="s">
        <v>37</v>
      </c>
    </row>
    <row r="122" spans="2:11">
      <c r="B122" s="12" t="s">
        <v>31</v>
      </c>
      <c r="C122" s="614" t="str">
        <f>TechData_DMD!A164</f>
        <v>RWHNGSV222</v>
      </c>
      <c r="D122" s="614" t="str">
        <f>TechData_DMD!B164</f>
        <v>Natural Gas Ver2.RWH.NGA.22</v>
      </c>
      <c r="E122" s="12" t="s">
        <v>32</v>
      </c>
      <c r="F122" s="12" t="s">
        <v>33</v>
      </c>
      <c r="K122" s="12" t="s">
        <v>37</v>
      </c>
    </row>
    <row r="123" spans="2:11">
      <c r="B123" s="12" t="s">
        <v>31</v>
      </c>
      <c r="C123" s="614" t="str">
        <f>TechData_DMD!A165</f>
        <v>RWHNGSV322</v>
      </c>
      <c r="D123" s="614" t="str">
        <f>TechData_DMD!B165</f>
        <v>Natural Gas Ver3.RWH.NGA.22</v>
      </c>
      <c r="E123" s="12" t="s">
        <v>32</v>
      </c>
      <c r="F123" s="12" t="s">
        <v>33</v>
      </c>
      <c r="K123" s="12" t="s">
        <v>37</v>
      </c>
    </row>
    <row r="124" spans="2:11">
      <c r="B124" s="12" t="s">
        <v>31</v>
      </c>
      <c r="C124" s="614" t="str">
        <f>TechData_DMD!A166</f>
        <v>RWHNGSV422</v>
      </c>
      <c r="D124" s="614" t="str">
        <f>TechData_DMD!B166</f>
        <v>Natural Gas Ver4.RWH.NGA.22</v>
      </c>
      <c r="E124" s="12" t="s">
        <v>32</v>
      </c>
      <c r="F124" s="12" t="s">
        <v>33</v>
      </c>
      <c r="K124" s="12" t="s">
        <v>37</v>
      </c>
    </row>
    <row r="125" spans="2:11">
      <c r="B125" s="12" t="s">
        <v>31</v>
      </c>
      <c r="C125" s="614" t="str">
        <f>TechData_DMD!A167</f>
        <v>RWHNGSV423</v>
      </c>
      <c r="D125" s="614" t="str">
        <f>TechData_DMD!B167</f>
        <v>Natural Gas Ver5.RWH.NGA.23</v>
      </c>
      <c r="E125" s="12" t="s">
        <v>32</v>
      </c>
      <c r="F125" s="12" t="s">
        <v>33</v>
      </c>
      <c r="K125" s="12" t="s">
        <v>37</v>
      </c>
    </row>
    <row r="126" spans="2:11">
      <c r="B126" s="12" t="s">
        <v>31</v>
      </c>
      <c r="C126" s="614" t="str">
        <f>TechData_DMD!A168</f>
        <v>RWHNGSV130</v>
      </c>
      <c r="D126" s="614" t="str">
        <f>TechData_DMD!B168</f>
        <v>Natural Gas Ver1.RWH.NGA.30</v>
      </c>
      <c r="E126" s="12" t="s">
        <v>32</v>
      </c>
      <c r="F126" s="12" t="s">
        <v>33</v>
      </c>
      <c r="K126" s="12" t="s">
        <v>37</v>
      </c>
    </row>
    <row r="127" spans="2:11">
      <c r="B127" s="12" t="s">
        <v>31</v>
      </c>
      <c r="C127" s="614" t="str">
        <f>TechData_DMD!A169</f>
        <v>RWHNGSV230</v>
      </c>
      <c r="D127" s="614" t="str">
        <f>TechData_DMD!B169</f>
        <v>Natural Gas Ver2.RWH.NGA.30</v>
      </c>
      <c r="E127" s="12" t="s">
        <v>32</v>
      </c>
      <c r="F127" s="12" t="s">
        <v>33</v>
      </c>
      <c r="K127" s="12" t="s">
        <v>37</v>
      </c>
    </row>
    <row r="128" spans="2:11">
      <c r="B128" s="12" t="s">
        <v>31</v>
      </c>
      <c r="C128" s="614" t="str">
        <f>TechData_DMD!A170</f>
        <v>RWHNNGV140</v>
      </c>
      <c r="D128" s="614" t="str">
        <f>TechData_DMD!B170</f>
        <v>Natural Gas Ver1.RWH.NGA.40</v>
      </c>
      <c r="E128" s="12" t="s">
        <v>32</v>
      </c>
      <c r="F128" s="12" t="s">
        <v>33</v>
      </c>
      <c r="K128" s="12" t="s">
        <v>37</v>
      </c>
    </row>
    <row r="129" spans="2:11">
      <c r="B129" s="12" t="s">
        <v>31</v>
      </c>
      <c r="C129" s="614" t="str">
        <f>TechData_DMD!A171</f>
        <v>RWHNGSV240</v>
      </c>
      <c r="D129" s="614" t="str">
        <f>TechData_DMD!B171</f>
        <v>Natural Gas Ver2.RWH.NGA.40</v>
      </c>
      <c r="E129" s="12" t="s">
        <v>32</v>
      </c>
      <c r="F129" s="12" t="s">
        <v>33</v>
      </c>
      <c r="K129" s="12" t="s">
        <v>37</v>
      </c>
    </row>
    <row r="130" spans="2:11">
      <c r="B130" s="12" t="s">
        <v>31</v>
      </c>
      <c r="C130" s="614" t="str">
        <f>TechData_DMD!A172</f>
        <v>RWHNGSV150</v>
      </c>
      <c r="D130" s="614" t="str">
        <f>TechData_DMD!B172</f>
        <v>Natural Gas Ver1.RWH.NGA.50</v>
      </c>
      <c r="E130" s="12" t="s">
        <v>32</v>
      </c>
      <c r="F130" s="12" t="s">
        <v>33</v>
      </c>
      <c r="K130" s="12" t="s">
        <v>37</v>
      </c>
    </row>
    <row r="131" spans="2:11">
      <c r="B131" s="12" t="s">
        <v>31</v>
      </c>
      <c r="C131" s="614" t="str">
        <f>TechData_DMD!A173</f>
        <v>RWHNGSV250</v>
      </c>
      <c r="D131" s="614" t="str">
        <f>TechData_DMD!B173</f>
        <v>Natural Gas Ver2.RWH.NGA.50</v>
      </c>
      <c r="E131" s="12" t="s">
        <v>32</v>
      </c>
      <c r="F131" s="12" t="s">
        <v>33</v>
      </c>
      <c r="K131" s="12" t="s">
        <v>37</v>
      </c>
    </row>
    <row r="132" spans="2:11" ht="13">
      <c r="B132" s="1" t="s">
        <v>51</v>
      </c>
      <c r="C132" s="614"/>
      <c r="D132" s="614"/>
    </row>
    <row r="133" spans="2:11">
      <c r="B133" s="12" t="s">
        <v>31</v>
      </c>
      <c r="C133" s="614" t="str">
        <f>TechData_DMD!A175</f>
        <v>RWHEWHV115</v>
      </c>
      <c r="D133" s="614" t="str">
        <f>TechData_DMD!B175</f>
        <v>Electric Ver1.RWH.ELC.15</v>
      </c>
      <c r="E133" s="12" t="s">
        <v>32</v>
      </c>
      <c r="F133" s="12" t="s">
        <v>33</v>
      </c>
      <c r="K133" s="12" t="s">
        <v>37</v>
      </c>
    </row>
    <row r="134" spans="2:11">
      <c r="B134" s="12" t="s">
        <v>31</v>
      </c>
      <c r="C134" s="614" t="str">
        <f>TechData_DMD!A176</f>
        <v>RWHEWHV320</v>
      </c>
      <c r="D134" s="614" t="str">
        <f>TechData_DMD!B176</f>
        <v>Electric Ver3.RWH.ELC.20</v>
      </c>
      <c r="E134" s="12" t="s">
        <v>32</v>
      </c>
      <c r="F134" s="12" t="s">
        <v>33</v>
      </c>
      <c r="K134" s="12" t="s">
        <v>37</v>
      </c>
    </row>
    <row r="135" spans="2:11">
      <c r="B135" s="12" t="s">
        <v>31</v>
      </c>
      <c r="C135" s="614" t="str">
        <f>TechData_DMD!A177</f>
        <v>RWHEWHV520</v>
      </c>
      <c r="D135" s="614" t="str">
        <f>TechData_DMD!B177</f>
        <v>Electric Ver5.RWH.ELC.20</v>
      </c>
      <c r="E135" s="12" t="s">
        <v>32</v>
      </c>
      <c r="F135" s="12" t="s">
        <v>33</v>
      </c>
      <c r="K135" s="12" t="s">
        <v>37</v>
      </c>
    </row>
    <row r="136" spans="2:11">
      <c r="B136" s="12" t="s">
        <v>31</v>
      </c>
      <c r="C136" s="614" t="str">
        <f>TechData_DMD!A178</f>
        <v>RWHEWHV122</v>
      </c>
      <c r="D136" s="614" t="str">
        <f>TechData_DMD!B178</f>
        <v>Electric Ver1.RWH.ELC.22</v>
      </c>
      <c r="E136" s="12" t="s">
        <v>32</v>
      </c>
      <c r="F136" s="12" t="s">
        <v>33</v>
      </c>
      <c r="K136" s="12" t="s">
        <v>37</v>
      </c>
    </row>
    <row r="137" spans="2:11">
      <c r="B137" s="12" t="s">
        <v>31</v>
      </c>
      <c r="C137" s="614" t="str">
        <f>TechData_DMD!A179</f>
        <v>RWHEWHV222</v>
      </c>
      <c r="D137" s="614" t="str">
        <f>TechData_DMD!B179</f>
        <v>Electric Ver2.RWH.ELC.22</v>
      </c>
      <c r="E137" s="12" t="s">
        <v>32</v>
      </c>
      <c r="F137" s="12" t="s">
        <v>33</v>
      </c>
      <c r="K137" s="12" t="s">
        <v>37</v>
      </c>
    </row>
    <row r="138" spans="2:11" ht="13">
      <c r="B138" s="1" t="s">
        <v>52</v>
      </c>
      <c r="C138" s="614"/>
      <c r="D138" s="614"/>
    </row>
    <row r="139" spans="2:11">
      <c r="B139" s="12" t="s">
        <v>31</v>
      </c>
      <c r="C139" s="614" t="str">
        <f>TechData_DMD!A181</f>
        <v>RWHDSHV115</v>
      </c>
      <c r="D139" s="614" t="str">
        <f>TechData_DMD!B181</f>
        <v>Oil Ver1.RWH.DSH.15</v>
      </c>
      <c r="E139" s="12" t="s">
        <v>32</v>
      </c>
      <c r="F139" s="12" t="s">
        <v>33</v>
      </c>
      <c r="K139" s="12" t="s">
        <v>37</v>
      </c>
    </row>
    <row r="140" spans="2:11">
      <c r="B140" s="12" t="s">
        <v>31</v>
      </c>
      <c r="C140" s="614" t="str">
        <f>TechData_DMD!A182</f>
        <v>RWHDSHV120</v>
      </c>
      <c r="D140" s="614" t="str">
        <f>TechData_DMD!B182</f>
        <v>Oil Ver1.RWH.DSH.20</v>
      </c>
      <c r="E140" s="12" t="s">
        <v>32</v>
      </c>
      <c r="F140" s="12" t="s">
        <v>33</v>
      </c>
      <c r="K140" s="12" t="s">
        <v>37</v>
      </c>
    </row>
    <row r="141" spans="2:11">
      <c r="B141" s="12" t="s">
        <v>31</v>
      </c>
      <c r="C141" s="614" t="str">
        <f>TechData_DMD!A183</f>
        <v>RWHDSHV122</v>
      </c>
      <c r="D141" s="614" t="str">
        <f>TechData_DMD!B183</f>
        <v>Oil Ver1.RWH.DSH.22</v>
      </c>
      <c r="E141" s="12" t="s">
        <v>32</v>
      </c>
      <c r="F141" s="12" t="s">
        <v>33</v>
      </c>
      <c r="K141" s="12" t="s">
        <v>37</v>
      </c>
    </row>
    <row r="142" spans="2:11">
      <c r="B142" s="12" t="s">
        <v>31</v>
      </c>
      <c r="C142" s="614" t="str">
        <f>TechData_DMD!A184</f>
        <v>RWHDSHV222</v>
      </c>
      <c r="D142" s="614" t="str">
        <f>TechData_DMD!B184</f>
        <v>Oil Ver1.RWH.DSH.22</v>
      </c>
      <c r="E142" s="12" t="s">
        <v>32</v>
      </c>
      <c r="F142" s="12" t="s">
        <v>33</v>
      </c>
      <c r="K142" s="12" t="s">
        <v>37</v>
      </c>
    </row>
    <row r="143" spans="2:11">
      <c r="B143" s="12" t="s">
        <v>31</v>
      </c>
      <c r="C143" s="614" t="str">
        <f>TechData_DMD!A185</f>
        <v>RWHDSHV322</v>
      </c>
      <c r="D143" s="614" t="str">
        <f>TechData_DMD!B185</f>
        <v>Oil Ver2.RWH.DSH.22</v>
      </c>
      <c r="E143" s="12" t="s">
        <v>32</v>
      </c>
      <c r="F143" s="12" t="s">
        <v>33</v>
      </c>
      <c r="K143" s="12" t="s">
        <v>37</v>
      </c>
    </row>
    <row r="144" spans="2:11" ht="13">
      <c r="B144" s="1" t="s">
        <v>53</v>
      </c>
      <c r="C144" s="614"/>
      <c r="D144" s="614"/>
    </row>
    <row r="145" spans="2:11">
      <c r="B145" s="12" t="s">
        <v>31</v>
      </c>
      <c r="C145" s="614" t="str">
        <f>TechData_DMD!A187</f>
        <v>RWHNGIV115</v>
      </c>
      <c r="D145" s="614" t="str">
        <f>TechData_DMD!B187</f>
        <v>Natural Gas Instant Ver1.RWH.NGA.15</v>
      </c>
      <c r="E145" s="12" t="s">
        <v>32</v>
      </c>
      <c r="F145" s="12" t="s">
        <v>33</v>
      </c>
      <c r="K145" s="12" t="s">
        <v>37</v>
      </c>
    </row>
    <row r="146" spans="2:11">
      <c r="B146" s="12" t="s">
        <v>31</v>
      </c>
      <c r="C146" s="614" t="str">
        <f>TechData_DMD!A188</f>
        <v>RWHNGIV120</v>
      </c>
      <c r="D146" s="614" t="str">
        <f>TechData_DMD!B188</f>
        <v>Natural Gas Instant Ver1.RWH.NGA.20</v>
      </c>
      <c r="E146" s="12" t="s">
        <v>32</v>
      </c>
      <c r="F146" s="12" t="s">
        <v>33</v>
      </c>
      <c r="K146" s="12" t="s">
        <v>37</v>
      </c>
    </row>
    <row r="147" spans="2:11">
      <c r="B147" s="12" t="s">
        <v>31</v>
      </c>
      <c r="C147" s="614" t="str">
        <f>TechData_DMD!A189</f>
        <v>RWHNGIV122</v>
      </c>
      <c r="D147" s="614" t="str">
        <f>TechData_DMD!B189</f>
        <v>Natural Gas Instant Ver1.RWH.NGA.22</v>
      </c>
      <c r="E147" s="12" t="s">
        <v>32</v>
      </c>
      <c r="F147" s="12" t="s">
        <v>33</v>
      </c>
      <c r="K147" s="12" t="s">
        <v>37</v>
      </c>
    </row>
    <row r="148" spans="2:11">
      <c r="B148" s="12" t="s">
        <v>31</v>
      </c>
      <c r="C148" s="614" t="str">
        <f>TechData_DMD!A190</f>
        <v>RWHNGIV122</v>
      </c>
      <c r="D148" s="614" t="str">
        <f>TechData_DMD!B190</f>
        <v>Natural Gas Instant Ver1.RWH.NGA.22</v>
      </c>
      <c r="E148" s="12" t="s">
        <v>32</v>
      </c>
      <c r="F148" s="12" t="s">
        <v>33</v>
      </c>
      <c r="K148" s="12" t="s">
        <v>37</v>
      </c>
    </row>
    <row r="149" spans="2:11">
      <c r="B149" s="12" t="s">
        <v>31</v>
      </c>
      <c r="C149" s="614" t="str">
        <f>TechData_DMD!A191</f>
        <v>RWHNGIV222</v>
      </c>
      <c r="D149" s="614" t="str">
        <f>TechData_DMD!B191</f>
        <v>Natural Gas Instant Ver2.RWH.NGA.22</v>
      </c>
      <c r="E149" s="12" t="s">
        <v>32</v>
      </c>
      <c r="F149" s="12" t="s">
        <v>33</v>
      </c>
      <c r="K149" s="12" t="s">
        <v>37</v>
      </c>
    </row>
    <row r="150" spans="2:11">
      <c r="B150" s="12" t="s">
        <v>31</v>
      </c>
      <c r="C150" s="614" t="str">
        <f>TechData_DMD!A192</f>
        <v>RWHNGIV322</v>
      </c>
      <c r="D150" s="614" t="str">
        <f>TechData_DMD!B192</f>
        <v>Natural Gas Instant Ver3.RWH.NGA.22</v>
      </c>
      <c r="E150" s="12" t="s">
        <v>32</v>
      </c>
      <c r="F150" s="12" t="s">
        <v>33</v>
      </c>
      <c r="K150" s="12" t="s">
        <v>37</v>
      </c>
    </row>
    <row r="151" spans="2:11">
      <c r="B151" s="12" t="s">
        <v>31</v>
      </c>
      <c r="C151" s="614" t="str">
        <f>TechData_DMD!A193</f>
        <v>RWHNGIV123</v>
      </c>
      <c r="D151" s="614" t="str">
        <f>TechData_DMD!B193</f>
        <v>Natural Gas Instant Ver1.RWH.NGI.23</v>
      </c>
      <c r="E151" s="12" t="s">
        <v>32</v>
      </c>
      <c r="F151" s="12" t="s">
        <v>33</v>
      </c>
      <c r="K151" s="12" t="s">
        <v>37</v>
      </c>
    </row>
    <row r="152" spans="2:11">
      <c r="B152" s="12" t="s">
        <v>31</v>
      </c>
      <c r="C152" s="614" t="str">
        <f>TechData_DMD!A194</f>
        <v>RWHNGIV130</v>
      </c>
      <c r="D152" s="614" t="str">
        <f>TechData_DMD!B194</f>
        <v>Natural Gas Instant Ver1.RWH.NGA.30</v>
      </c>
      <c r="E152" s="12" t="s">
        <v>32</v>
      </c>
      <c r="F152" s="12" t="s">
        <v>33</v>
      </c>
      <c r="K152" s="12" t="s">
        <v>37</v>
      </c>
    </row>
    <row r="153" spans="2:11">
      <c r="B153" s="12" t="s">
        <v>31</v>
      </c>
      <c r="C153" s="614" t="str">
        <f>TechData_DMD!A195</f>
        <v>RWHNGIV230</v>
      </c>
      <c r="D153" s="614" t="str">
        <f>TechData_DMD!B195</f>
        <v>Natural Gas Instant Ver2.RWH.NGA.30</v>
      </c>
      <c r="E153" s="12" t="s">
        <v>32</v>
      </c>
      <c r="F153" s="12" t="s">
        <v>33</v>
      </c>
      <c r="K153" s="12" t="s">
        <v>37</v>
      </c>
    </row>
    <row r="154" spans="2:11" ht="13">
      <c r="B154" s="1" t="s">
        <v>54</v>
      </c>
      <c r="C154" s="614"/>
      <c r="D154" s="614"/>
    </row>
    <row r="155" spans="2:11">
      <c r="B155" s="12" t="s">
        <v>31</v>
      </c>
      <c r="C155" s="614" t="str">
        <f>TechData_DMD!A197</f>
        <v>RWHSWHV110</v>
      </c>
      <c r="D155" s="614" t="str">
        <f>TechData_DMD!B197</f>
        <v>Solar Ver1.RWH.ELC.10</v>
      </c>
      <c r="E155" s="12" t="s">
        <v>32</v>
      </c>
      <c r="F155" s="12" t="s">
        <v>33</v>
      </c>
      <c r="K155" s="12" t="s">
        <v>37</v>
      </c>
    </row>
    <row r="156" spans="2:11">
      <c r="B156" s="12" t="s">
        <v>31</v>
      </c>
      <c r="C156" s="614" t="str">
        <f>TechData_DMD!A200</f>
        <v>RWHSWHV115</v>
      </c>
      <c r="D156" s="614" t="str">
        <f>TechData_DMD!B200</f>
        <v>Solar Ver1.RWH.ELC.15</v>
      </c>
      <c r="E156" s="12" t="s">
        <v>32</v>
      </c>
      <c r="F156" s="12" t="s">
        <v>33</v>
      </c>
      <c r="K156" s="12" t="s">
        <v>37</v>
      </c>
    </row>
    <row r="157" spans="2:11">
      <c r="B157" s="12" t="s">
        <v>31</v>
      </c>
      <c r="C157" s="614" t="str">
        <f>TechData_DMD!A203</f>
        <v>RWHSWHV120</v>
      </c>
      <c r="D157" s="614" t="str">
        <f>TechData_DMD!B203</f>
        <v>Solar Ver1.RWH.ELC.20</v>
      </c>
      <c r="E157" s="12" t="s">
        <v>32</v>
      </c>
      <c r="F157" s="12" t="s">
        <v>33</v>
      </c>
      <c r="K157" s="12" t="s">
        <v>37</v>
      </c>
    </row>
    <row r="158" spans="2:11">
      <c r="B158" s="12" t="s">
        <v>31</v>
      </c>
      <c r="C158" s="614" t="str">
        <f>TechData_DMD!A206</f>
        <v>RWHSWHV122</v>
      </c>
      <c r="D158" s="614" t="str">
        <f>TechData_DMD!B206</f>
        <v>Solar Ver1.RWH.ELC.22</v>
      </c>
      <c r="E158" s="12" t="s">
        <v>32</v>
      </c>
      <c r="F158" s="12" t="s">
        <v>33</v>
      </c>
      <c r="K158" s="12" t="s">
        <v>37</v>
      </c>
    </row>
    <row r="159" spans="2:11">
      <c r="B159" s="12" t="s">
        <v>31</v>
      </c>
      <c r="C159" s="614" t="str">
        <f>TechData_DMD!A209</f>
        <v>RWHSWHV130</v>
      </c>
      <c r="D159" s="614" t="str">
        <f>TechData_DMD!B209</f>
        <v>Solar Ver1.RWH.ELC.30</v>
      </c>
      <c r="E159" s="12" t="s">
        <v>32</v>
      </c>
      <c r="F159" s="12" t="s">
        <v>33</v>
      </c>
      <c r="K159" s="12" t="s">
        <v>37</v>
      </c>
    </row>
    <row r="160" spans="2:11">
      <c r="B160" s="12" t="s">
        <v>31</v>
      </c>
      <c r="C160" s="614" t="str">
        <f>TechData_DMD!A212</f>
        <v>RWHSWHV140</v>
      </c>
      <c r="D160" s="614" t="str">
        <f>TechData_DMD!B212</f>
        <v>Solar Ver1.RWH.ELC.40</v>
      </c>
      <c r="E160" s="12" t="s">
        <v>32</v>
      </c>
      <c r="F160" s="12" t="s">
        <v>33</v>
      </c>
      <c r="K160" s="12" t="s">
        <v>37</v>
      </c>
    </row>
    <row r="161" spans="2:11">
      <c r="B161" s="12" t="s">
        <v>31</v>
      </c>
      <c r="C161" s="614" t="str">
        <f>TechData_DMD!A215</f>
        <v>RWHSWHV150</v>
      </c>
      <c r="D161" s="614" t="str">
        <f>TechData_DMD!B215</f>
        <v>Solar Ver1.RWH.ELC.50</v>
      </c>
      <c r="E161" s="12" t="s">
        <v>32</v>
      </c>
      <c r="F161" s="12" t="s">
        <v>33</v>
      </c>
      <c r="K161" s="12" t="s">
        <v>37</v>
      </c>
    </row>
    <row r="162" spans="2:11" ht="13">
      <c r="B162" s="1" t="str">
        <f>TechData_DMD!A218</f>
        <v>*UTILITY SCALE CHP - WH</v>
      </c>
      <c r="C162" s="614"/>
      <c r="D162" s="614"/>
    </row>
    <row r="163" spans="2:11">
      <c r="B163" s="12" t="s">
        <v>31</v>
      </c>
      <c r="C163" s="614" t="str">
        <f>TechData_DMD!A219</f>
        <v>RWHNUTIBOI15</v>
      </c>
      <c r="D163" s="614" t="str">
        <f>TechData_DMD!B219</f>
        <v>RWH.NG.UTILITY.BOILER</v>
      </c>
      <c r="E163" s="12" t="s">
        <v>32</v>
      </c>
      <c r="F163" s="12" t="s">
        <v>33</v>
      </c>
      <c r="K163" s="12" t="s">
        <v>37</v>
      </c>
    </row>
    <row r="164" spans="2:11">
      <c r="B164" s="12" t="s">
        <v>31</v>
      </c>
      <c r="C164" s="614" t="str">
        <f>TechData_DMD!A220</f>
        <v>RWHNUTICHP15</v>
      </c>
      <c r="D164" s="614" t="str">
        <f>TechData_DMD!B220</f>
        <v>RWH.NG.UTILITY.CHP</v>
      </c>
      <c r="E164" s="12" t="s">
        <v>32</v>
      </c>
      <c r="F164" s="12" t="s">
        <v>33</v>
      </c>
      <c r="K164" s="12" t="s">
        <v>37</v>
      </c>
    </row>
    <row r="165" spans="2:11">
      <c r="B165" s="12" t="s">
        <v>31</v>
      </c>
      <c r="C165" s="614" t="str">
        <f>TechData_DMD!A221</f>
        <v>RWHBUTICHP15</v>
      </c>
      <c r="D165" s="614" t="str">
        <f>TechData_DMD!B221</f>
        <v>RWH.DSL.UTILITY.CHP</v>
      </c>
      <c r="E165" s="12" t="s">
        <v>32</v>
      </c>
      <c r="F165" s="12" t="s">
        <v>33</v>
      </c>
      <c r="K165" s="12" t="s">
        <v>37</v>
      </c>
    </row>
    <row r="166" spans="2:11" ht="13">
      <c r="B166" s="1" t="s">
        <v>55</v>
      </c>
      <c r="K166" s="12" t="str">
        <f>TechData_DMD!BF222</f>
        <v>*Refrigeration</v>
      </c>
    </row>
    <row r="167" spans="2:11">
      <c r="B167" s="12" t="s">
        <v>31</v>
      </c>
      <c r="C167" s="12" t="str">
        <f>TechData_DMD!A223</f>
        <v>RRFBS11</v>
      </c>
      <c r="D167" s="12" t="str">
        <f>TechData_DMD!B223</f>
        <v>Base.RRF.BS.ELC.05</v>
      </c>
      <c r="E167" s="12" t="s">
        <v>32</v>
      </c>
      <c r="F167" s="12" t="s">
        <v>33</v>
      </c>
      <c r="K167" s="12" t="str">
        <f>TechData_DMD!BF223</f>
        <v>*</v>
      </c>
    </row>
    <row r="168" spans="2:11">
      <c r="B168" s="12" t="s">
        <v>31</v>
      </c>
      <c r="C168" s="12" t="str">
        <f>TechData_DMD!A224</f>
        <v>RRFTFV111</v>
      </c>
      <c r="D168" s="12" t="str">
        <f>TechData_DMD!B224</f>
        <v>TF Ver1.RRF.ELC.10</v>
      </c>
      <c r="E168" s="12" t="s">
        <v>32</v>
      </c>
      <c r="F168" s="12" t="s">
        <v>33</v>
      </c>
      <c r="K168" s="12" t="str">
        <f>TechData_DMD!BF224</f>
        <v>*</v>
      </c>
    </row>
    <row r="169" spans="2:11">
      <c r="B169" s="12" t="s">
        <v>31</v>
      </c>
      <c r="C169" s="12" t="str">
        <f>TechData_DMD!A225</f>
        <v>RRFTFV115</v>
      </c>
      <c r="D169" s="12" t="str">
        <f>TechData_DMD!B225</f>
        <v>TF Ver1.RRF.ELC.15</v>
      </c>
      <c r="E169" s="12" t="s">
        <v>32</v>
      </c>
      <c r="F169" s="12" t="s">
        <v>33</v>
      </c>
      <c r="K169" s="12" t="str">
        <f>TechData_DMD!BF225</f>
        <v>*</v>
      </c>
    </row>
    <row r="170" spans="2:11">
      <c r="B170" s="12" t="s">
        <v>31</v>
      </c>
      <c r="C170" s="12" t="str">
        <f>TechData_DMD!A226</f>
        <v>RRFTFV211</v>
      </c>
      <c r="D170" s="12" t="str">
        <f>TechData_DMD!B226</f>
        <v>TF VerC.RRF.ELC.10</v>
      </c>
      <c r="E170" s="12" t="s">
        <v>32</v>
      </c>
      <c r="F170" s="12" t="s">
        <v>33</v>
      </c>
      <c r="K170" s="12" t="str">
        <f>TechData_DMD!BF226</f>
        <v>*</v>
      </c>
    </row>
    <row r="171" spans="2:11">
      <c r="B171" s="12" t="s">
        <v>31</v>
      </c>
      <c r="C171" s="12" t="str">
        <f>TechData_DMD!A227</f>
        <v>RRFTFV215</v>
      </c>
      <c r="D171" s="12" t="str">
        <f>TechData_DMD!B227</f>
        <v>TF Ver2.RRF.ELC.15</v>
      </c>
      <c r="E171" s="12" t="s">
        <v>32</v>
      </c>
      <c r="F171" s="12" t="s">
        <v>33</v>
      </c>
      <c r="K171" s="12" t="str">
        <f>TechData_DMD!BF227</f>
        <v>*</v>
      </c>
    </row>
    <row r="172" spans="2:11">
      <c r="B172" s="12" t="s">
        <v>31</v>
      </c>
      <c r="C172" s="12" t="str">
        <f>TechData_DMD!A228</f>
        <v>RRFTFV311</v>
      </c>
      <c r="D172" s="12" t="str">
        <f>TechData_DMD!B228</f>
        <v>TF Ver3.RRF.ELC.10</v>
      </c>
      <c r="E172" s="12" t="s">
        <v>32</v>
      </c>
      <c r="F172" s="12" t="s">
        <v>33</v>
      </c>
      <c r="K172" s="12" t="str">
        <f>TechData_DMD!BF228</f>
        <v>*</v>
      </c>
    </row>
    <row r="173" spans="2:11">
      <c r="B173" s="12" t="s">
        <v>31</v>
      </c>
      <c r="C173" s="12" t="str">
        <f>TechData_DMD!A229</f>
        <v>RRFTFV315</v>
      </c>
      <c r="D173" s="12" t="str">
        <f>TechData_DMD!B229</f>
        <v>TF Ver3.RRF.ELC.15</v>
      </c>
      <c r="E173" s="12" t="s">
        <v>32</v>
      </c>
      <c r="F173" s="12" t="s">
        <v>33</v>
      </c>
      <c r="K173" s="12" t="str">
        <f>TechData_DMD!BF229</f>
        <v>*</v>
      </c>
    </row>
    <row r="174" spans="2:11">
      <c r="B174" s="12" t="s">
        <v>31</v>
      </c>
      <c r="C174" s="12" t="str">
        <f>TechData_DMD!A230</f>
        <v>RRFSFV111</v>
      </c>
      <c r="D174" s="12" t="str">
        <f>TechData_DMD!B230</f>
        <v>SF Ver1.RRF.ELC.10</v>
      </c>
      <c r="E174" s="12" t="s">
        <v>32</v>
      </c>
      <c r="F174" s="12" t="s">
        <v>33</v>
      </c>
      <c r="K174" s="12" t="str">
        <f>TechData_DMD!BF230</f>
        <v>*</v>
      </c>
    </row>
    <row r="175" spans="2:11">
      <c r="B175" s="12" t="s">
        <v>31</v>
      </c>
      <c r="C175" s="12" t="str">
        <f>TechData_DMD!A231</f>
        <v>RRFSFV211</v>
      </c>
      <c r="D175" s="12" t="str">
        <f>TechData_DMD!B231</f>
        <v>SF Ver2.RRF.ELC.10</v>
      </c>
      <c r="E175" s="12" t="s">
        <v>32</v>
      </c>
      <c r="F175" s="12" t="s">
        <v>33</v>
      </c>
      <c r="K175" s="12" t="str">
        <f>TechData_DMD!BF231</f>
        <v>*</v>
      </c>
    </row>
    <row r="176" spans="2:11">
      <c r="B176" s="12" t="s">
        <v>31</v>
      </c>
      <c r="C176" s="12" t="str">
        <f>TechData_DMD!A232</f>
        <v>RRFSFV215</v>
      </c>
      <c r="D176" s="12" t="str">
        <f>TechData_DMD!B232</f>
        <v>SF Ver2.RRF.ELC.15</v>
      </c>
      <c r="E176" s="12" t="s">
        <v>32</v>
      </c>
      <c r="F176" s="12" t="s">
        <v>33</v>
      </c>
      <c r="K176" s="12" t="str">
        <f>TechData_DMD!BF232</f>
        <v>*</v>
      </c>
    </row>
    <row r="177" spans="2:11">
      <c r="B177" s="12" t="s">
        <v>31</v>
      </c>
      <c r="C177" s="12" t="str">
        <f>TechData_DMD!A233</f>
        <v>RRFBFV111</v>
      </c>
      <c r="D177" s="12" t="str">
        <f>TechData_DMD!B233</f>
        <v>BF Ver1.RRF.ELC.10</v>
      </c>
      <c r="E177" s="12" t="s">
        <v>32</v>
      </c>
      <c r="F177" s="12" t="s">
        <v>33</v>
      </c>
      <c r="K177" s="12" t="str">
        <f>TechData_DMD!BF233</f>
        <v>*</v>
      </c>
    </row>
    <row r="178" spans="2:11">
      <c r="B178" s="12" t="s">
        <v>31</v>
      </c>
      <c r="C178" s="12" t="str">
        <f>TechData_DMD!A234</f>
        <v>RRFBFV211</v>
      </c>
      <c r="D178" s="12" t="str">
        <f>TechData_DMD!B234</f>
        <v>BF Ver2.RRF.ELC.10</v>
      </c>
      <c r="E178" s="12" t="s">
        <v>32</v>
      </c>
      <c r="F178" s="12" t="s">
        <v>33</v>
      </c>
      <c r="K178" s="12" t="str">
        <f>TechData_DMD!BF234</f>
        <v>*</v>
      </c>
    </row>
    <row r="179" spans="2:11">
      <c r="B179" s="12" t="s">
        <v>31</v>
      </c>
      <c r="C179" s="12" t="str">
        <f>TechData_DMD!A235</f>
        <v>RRFBFV215</v>
      </c>
      <c r="D179" s="12" t="str">
        <f>TechData_DMD!B235</f>
        <v>BF Ver2.RRF.ELC.15</v>
      </c>
      <c r="E179" s="12" t="s">
        <v>32</v>
      </c>
      <c r="F179" s="12" t="s">
        <v>33</v>
      </c>
      <c r="K179" s="12" t="str">
        <f>TechData_DMD!BF235</f>
        <v>*</v>
      </c>
    </row>
    <row r="180" spans="2:11" ht="13">
      <c r="B180" s="1" t="s">
        <v>56</v>
      </c>
      <c r="K180" s="12" t="str">
        <f>TechData_DMD!BF236</f>
        <v>*Freezer</v>
      </c>
    </row>
    <row r="181" spans="2:11">
      <c r="B181" s="12" t="s">
        <v>31</v>
      </c>
      <c r="C181" s="12" t="str">
        <f>TechData_DMD!A237</f>
        <v>RFZBS11</v>
      </c>
      <c r="D181" s="12" t="str">
        <f>TechData_DMD!B237</f>
        <v>Base.RFZ.BS.ELC.05</v>
      </c>
      <c r="E181" s="12" t="s">
        <v>32</v>
      </c>
      <c r="F181" s="12" t="s">
        <v>33</v>
      </c>
      <c r="K181" s="12" t="str">
        <f>TechData_DMD!BF237</f>
        <v>*</v>
      </c>
    </row>
    <row r="182" spans="2:11">
      <c r="B182" s="12" t="s">
        <v>31</v>
      </c>
      <c r="C182" s="12" t="str">
        <f>TechData_DMD!A238</f>
        <v>RFZCV111</v>
      </c>
      <c r="D182" s="12" t="str">
        <f>TechData_DMD!B238</f>
        <v>C Ver1.RFZ.ELC.10</v>
      </c>
      <c r="E182" s="12" t="s">
        <v>32</v>
      </c>
      <c r="F182" s="12" t="s">
        <v>33</v>
      </c>
      <c r="K182" s="12" t="str">
        <f>TechData_DMD!BF238</f>
        <v>*</v>
      </c>
    </row>
    <row r="183" spans="2:11">
      <c r="B183" s="12" t="s">
        <v>31</v>
      </c>
      <c r="C183" s="12" t="str">
        <f>TechData_DMD!A239</f>
        <v>RFZCV211</v>
      </c>
      <c r="D183" s="12" t="str">
        <f>TechData_DMD!B239</f>
        <v>C Ver2.RFZ.ELC.10</v>
      </c>
      <c r="E183" s="12" t="s">
        <v>32</v>
      </c>
      <c r="F183" s="12" t="s">
        <v>33</v>
      </c>
      <c r="K183" s="12" t="str">
        <f>TechData_DMD!BF239</f>
        <v>*</v>
      </c>
    </row>
    <row r="184" spans="2:11">
      <c r="B184" s="12" t="s">
        <v>31</v>
      </c>
      <c r="C184" s="12" t="str">
        <f>TechData_DMD!A240</f>
        <v>RFZCV215</v>
      </c>
      <c r="D184" s="12" t="str">
        <f>TechData_DMD!B240</f>
        <v>C Ver2.RFZ.ELC.15</v>
      </c>
      <c r="E184" s="12" t="s">
        <v>32</v>
      </c>
      <c r="F184" s="12" t="s">
        <v>33</v>
      </c>
      <c r="K184" s="12" t="str">
        <f>TechData_DMD!BF240</f>
        <v>*</v>
      </c>
    </row>
    <row r="185" spans="2:11">
      <c r="B185" s="12" t="s">
        <v>31</v>
      </c>
      <c r="C185" s="12" t="str">
        <f>TechData_DMD!A241</f>
        <v>RFZUV111</v>
      </c>
      <c r="D185" s="12" t="str">
        <f>TechData_DMD!B241</f>
        <v>U Ver1.RFZ.ELC.10</v>
      </c>
      <c r="E185" s="12" t="s">
        <v>32</v>
      </c>
      <c r="F185" s="12" t="s">
        <v>33</v>
      </c>
      <c r="K185" s="12" t="str">
        <f>TechData_DMD!BF241</f>
        <v>*</v>
      </c>
    </row>
    <row r="186" spans="2:11">
      <c r="B186" s="12" t="s">
        <v>31</v>
      </c>
      <c r="C186" s="12" t="str">
        <f>TechData_DMD!A242</f>
        <v>RFZUV211</v>
      </c>
      <c r="D186" s="12" t="str">
        <f>TechData_DMD!B242</f>
        <v>U Ver2.RFZ.ELC.10</v>
      </c>
      <c r="E186" s="12" t="s">
        <v>32</v>
      </c>
      <c r="F186" s="12" t="s">
        <v>33</v>
      </c>
      <c r="K186" s="12" t="str">
        <f>TechData_DMD!BF242</f>
        <v>*</v>
      </c>
    </row>
    <row r="187" spans="2:11">
      <c r="B187" s="12" t="s">
        <v>31</v>
      </c>
      <c r="C187" s="12" t="str">
        <f>TechData_DMD!A243</f>
        <v>RFZUV215</v>
      </c>
      <c r="D187" s="12" t="str">
        <f>TechData_DMD!B243</f>
        <v>U Ver2.RFZ.ELC.15</v>
      </c>
      <c r="E187" s="12" t="s">
        <v>32</v>
      </c>
      <c r="F187" s="12" t="s">
        <v>33</v>
      </c>
      <c r="K187" s="12" t="str">
        <f>TechData_DMD!BF243</f>
        <v>*</v>
      </c>
    </row>
    <row r="188" spans="2:11" ht="13">
      <c r="B188" s="1" t="s">
        <v>57</v>
      </c>
      <c r="K188" s="12" t="str">
        <f>TechData_DMD!BF244</f>
        <v>*Lighting</v>
      </c>
    </row>
    <row r="189" spans="2:11">
      <c r="B189" s="12" t="s">
        <v>31</v>
      </c>
      <c r="C189" s="12" t="str">
        <f>TechData_DMD!A245</f>
        <v>RLTGINCBS11</v>
      </c>
      <c r="D189" s="12" t="str">
        <f>TechData_DMD!B245</f>
        <v>RLT.GSL.INC.BS.11</v>
      </c>
      <c r="E189" s="12" t="s">
        <v>58</v>
      </c>
      <c r="F189" s="12" t="s">
        <v>59</v>
      </c>
      <c r="K189" s="12" t="str">
        <f>TechData_DMD!BF245</f>
        <v>R2,R3,R4,R5,R6</v>
      </c>
    </row>
    <row r="190" spans="2:11">
      <c r="B190" s="12" t="s">
        <v>31</v>
      </c>
      <c r="C190" s="12" t="str">
        <f>TechData_DMD!A246</f>
        <v>RLTGINC11</v>
      </c>
      <c r="D190" s="12" t="str">
        <f>TechData_DMD!B246</f>
        <v>RLT.GSL.INC.10</v>
      </c>
      <c r="E190" s="12" t="s">
        <v>58</v>
      </c>
      <c r="F190" s="12" t="s">
        <v>59</v>
      </c>
      <c r="K190" s="12" t="str">
        <f>TechData_DMD!BF246</f>
        <v>R2,R3,R4,R5,R6</v>
      </c>
    </row>
    <row r="191" spans="2:11">
      <c r="B191" s="12" t="s">
        <v>31</v>
      </c>
      <c r="C191" s="12" t="str">
        <f>TechData_DMD!A247</f>
        <v>RLTGINC15</v>
      </c>
      <c r="D191" s="12" t="str">
        <f>TechData_DMD!B247</f>
        <v>RLT.GSL.INC.15</v>
      </c>
      <c r="E191" s="12" t="s">
        <v>58</v>
      </c>
      <c r="F191" s="12" t="s">
        <v>59</v>
      </c>
      <c r="K191" s="12" t="str">
        <f>TechData_DMD!BF247</f>
        <v>R2,R3,R4,R5,R6</v>
      </c>
    </row>
    <row r="192" spans="2:11">
      <c r="B192" s="12" t="s">
        <v>31</v>
      </c>
      <c r="C192" s="12" t="str">
        <f>TechData_DMD!A249</f>
        <v>RLTGCFLBS11</v>
      </c>
      <c r="D192" s="12" t="str">
        <f>TechData_DMD!B249</f>
        <v>RLT.GSL.CFL.BS.11</v>
      </c>
      <c r="E192" s="12" t="s">
        <v>58</v>
      </c>
      <c r="F192" s="12" t="s">
        <v>59</v>
      </c>
      <c r="K192" s="12" t="str">
        <f>TechData_DMD!BF249</f>
        <v>R2,R3,R4,R5,R6</v>
      </c>
    </row>
    <row r="193" spans="2:11">
      <c r="B193" s="12" t="s">
        <v>31</v>
      </c>
      <c r="C193" s="12" t="str">
        <f>TechData_DMD!A250</f>
        <v>RLTGCFL11</v>
      </c>
      <c r="D193" s="12" t="str">
        <f>TechData_DMD!B250</f>
        <v>RLT.GSL.CFL.10</v>
      </c>
      <c r="E193" s="12" t="s">
        <v>58</v>
      </c>
      <c r="F193" s="12" t="s">
        <v>59</v>
      </c>
      <c r="K193" s="12" t="str">
        <f>TechData_DMD!BF250</f>
        <v>R2,R3,R4,R5,R6</v>
      </c>
    </row>
    <row r="194" spans="2:11">
      <c r="B194" s="12" t="s">
        <v>31</v>
      </c>
      <c r="C194" s="12" t="str">
        <f>TechData_DMD!A251</f>
        <v>RLTGCFL15</v>
      </c>
      <c r="D194" s="12" t="str">
        <f>TechData_DMD!B251</f>
        <v>RLT.GSL.CFL.15</v>
      </c>
      <c r="E194" s="12" t="s">
        <v>58</v>
      </c>
      <c r="F194" s="12" t="s">
        <v>59</v>
      </c>
      <c r="K194" s="12" t="str">
        <f>TechData_DMD!BF251</f>
        <v>R2,R3,R4,R5,R6</v>
      </c>
    </row>
    <row r="195" spans="2:11">
      <c r="B195" s="12" t="s">
        <v>31</v>
      </c>
      <c r="C195" s="12" t="str">
        <f>TechData_DMD!A252</f>
        <v>RLTGCFL20</v>
      </c>
      <c r="D195" s="12" t="str">
        <f>TechData_DMD!B252</f>
        <v>RLT.GSL.CFL.20</v>
      </c>
      <c r="E195" s="12" t="s">
        <v>58</v>
      </c>
      <c r="F195" s="12" t="s">
        <v>59</v>
      </c>
      <c r="K195" s="12" t="str">
        <f>TechData_DMD!BF252</f>
        <v>R2,R3,R4,R5,R6</v>
      </c>
    </row>
    <row r="196" spans="2:11">
      <c r="B196" s="12" t="s">
        <v>31</v>
      </c>
      <c r="C196" s="12" t="str">
        <f>TechData_DMD!A253</f>
        <v>RLTGCFL30</v>
      </c>
      <c r="D196" s="12" t="str">
        <f>TechData_DMD!B253</f>
        <v>RLT.GSL.CFL.30</v>
      </c>
      <c r="E196" s="12" t="s">
        <v>58</v>
      </c>
      <c r="F196" s="12" t="s">
        <v>59</v>
      </c>
      <c r="K196" s="12" t="str">
        <f>TechData_DMD!BF253</f>
        <v>R2,R3,R4,R5,R6</v>
      </c>
    </row>
    <row r="197" spans="2:11">
      <c r="B197" s="12" t="s">
        <v>31</v>
      </c>
      <c r="C197" s="12" t="str">
        <f>TechData_DMD!A254</f>
        <v>RLTGCFL40</v>
      </c>
      <c r="D197" s="12" t="str">
        <f>TechData_DMD!B254</f>
        <v>RLT.GSL.CFL.40</v>
      </c>
      <c r="E197" s="12" t="s">
        <v>58</v>
      </c>
      <c r="F197" s="12" t="s">
        <v>59</v>
      </c>
      <c r="K197" s="12" t="str">
        <f>TechData_DMD!BF254</f>
        <v>R2,R3,R4,R5,R6</v>
      </c>
    </row>
    <row r="198" spans="2:11">
      <c r="B198" s="12" t="s">
        <v>31</v>
      </c>
      <c r="C198" s="12" t="str">
        <f>TechData_DMD!A256</f>
        <v>RLTGLED11</v>
      </c>
      <c r="D198" s="12" t="str">
        <f>TechData_DMD!B256</f>
        <v>RLT.GSL.LED.10</v>
      </c>
      <c r="E198" s="12" t="s">
        <v>58</v>
      </c>
      <c r="F198" s="12" t="s">
        <v>59</v>
      </c>
      <c r="K198" s="12" t="str">
        <f>TechData_DMD!BF256</f>
        <v>R2,R3,R4,R5,R6</v>
      </c>
    </row>
    <row r="199" spans="2:11">
      <c r="B199" s="12" t="s">
        <v>31</v>
      </c>
      <c r="C199" s="12" t="str">
        <f>TechData_DMD!A257</f>
        <v>RLTGLED15</v>
      </c>
      <c r="D199" s="12" t="str">
        <f>TechData_DMD!B257</f>
        <v>RLT.GSL.LED.15</v>
      </c>
      <c r="E199" s="12" t="s">
        <v>58</v>
      </c>
      <c r="F199" s="12" t="s">
        <v>59</v>
      </c>
      <c r="K199" s="12" t="str">
        <f>TechData_DMD!BF257</f>
        <v>R2,R3,R4,R5,R6</v>
      </c>
    </row>
    <row r="200" spans="2:11">
      <c r="B200" s="12" t="s">
        <v>31</v>
      </c>
      <c r="C200" s="12" t="str">
        <f>TechData_DMD!A258</f>
        <v>RLTGLED20</v>
      </c>
      <c r="D200" s="12" t="str">
        <f>TechData_DMD!B258</f>
        <v>RLT.GSL.LED.20</v>
      </c>
      <c r="E200" s="12" t="s">
        <v>58</v>
      </c>
      <c r="F200" s="12" t="s">
        <v>59</v>
      </c>
      <c r="K200" s="12" t="str">
        <f>TechData_DMD!BF258</f>
        <v>R2,R3,R4,R5,R6</v>
      </c>
    </row>
    <row r="201" spans="2:11">
      <c r="B201" s="12" t="s">
        <v>31</v>
      </c>
      <c r="C201" s="12" t="str">
        <f>TechData_DMD!A259</f>
        <v>RLTGLED25</v>
      </c>
      <c r="D201" s="12" t="str">
        <f>TechData_DMD!B259</f>
        <v>RLT.GSL.LED.25</v>
      </c>
      <c r="E201" s="12" t="s">
        <v>58</v>
      </c>
      <c r="F201" s="12" t="s">
        <v>59</v>
      </c>
      <c r="K201" s="12" t="str">
        <f>TechData_DMD!BF259</f>
        <v>R2,R3,R4,R5,R6</v>
      </c>
    </row>
    <row r="202" spans="2:11">
      <c r="B202" s="12" t="s">
        <v>31</v>
      </c>
      <c r="C202" s="12" t="str">
        <f>TechData_DMD!A260</f>
        <v>RLTGLED30</v>
      </c>
      <c r="D202" s="12" t="str">
        <f>TechData_DMD!B260</f>
        <v>RLT.GSL.LED.30</v>
      </c>
      <c r="E202" s="12" t="s">
        <v>58</v>
      </c>
      <c r="F202" s="12" t="s">
        <v>59</v>
      </c>
      <c r="K202" s="12" t="str">
        <f>TechData_DMD!BF260</f>
        <v>R2,R3,R4,R5,R6</v>
      </c>
    </row>
    <row r="203" spans="2:11">
      <c r="B203" s="12" t="s">
        <v>31</v>
      </c>
      <c r="C203" s="12" t="str">
        <f>TechData_DMD!A261</f>
        <v>RLTGLED40</v>
      </c>
      <c r="D203" s="12" t="str">
        <f>TechData_DMD!B261</f>
        <v>RLT.GSL.LED.40</v>
      </c>
      <c r="E203" s="12" t="s">
        <v>58</v>
      </c>
      <c r="F203" s="12" t="s">
        <v>59</v>
      </c>
      <c r="K203" s="12" t="str">
        <f>TechData_DMD!BF261</f>
        <v>R2,R3,R4,R5,R6</v>
      </c>
    </row>
    <row r="204" spans="2:11">
      <c r="B204" s="12" t="s">
        <v>31</v>
      </c>
      <c r="C204" s="12" t="str">
        <f>TechData_DMD!A263</f>
        <v>RLTRINC11</v>
      </c>
      <c r="D204" s="12" t="str">
        <f>TechData_DMD!B263</f>
        <v>RLT.REF.INC.10</v>
      </c>
      <c r="E204" s="12" t="s">
        <v>58</v>
      </c>
      <c r="F204" s="12" t="s">
        <v>59</v>
      </c>
      <c r="K204" s="12" t="str">
        <f>TechData_DMD!BF263</f>
        <v>R2,R3,R4,R5,R6</v>
      </c>
    </row>
    <row r="205" spans="2:11">
      <c r="B205" s="12" t="s">
        <v>31</v>
      </c>
      <c r="C205" s="12" t="str">
        <f>TechData_DMD!A264</f>
        <v>RLTRINC20</v>
      </c>
      <c r="D205" s="12" t="str">
        <f>TechData_DMD!B264</f>
        <v>RLT.REF.INC.20</v>
      </c>
      <c r="E205" s="12" t="s">
        <v>58</v>
      </c>
      <c r="F205" s="12" t="s">
        <v>59</v>
      </c>
      <c r="K205" s="12" t="str">
        <f>TechData_DMD!BF264</f>
        <v>R2,R3,R4,R5,R6</v>
      </c>
    </row>
    <row r="206" spans="2:11">
      <c r="B206" s="12" t="s">
        <v>31</v>
      </c>
      <c r="C206" s="12" t="str">
        <f>TechData_DMD!A265</f>
        <v>RLTRINC30</v>
      </c>
      <c r="D206" s="12" t="str">
        <f>TechData_DMD!B265</f>
        <v>RLT.REF.INC.30</v>
      </c>
      <c r="E206" s="12" t="s">
        <v>58</v>
      </c>
      <c r="F206" s="12" t="s">
        <v>59</v>
      </c>
      <c r="K206" s="12" t="str">
        <f>TechData_DMD!BF265</f>
        <v>R2,R3,R4,R5,R6</v>
      </c>
    </row>
    <row r="207" spans="2:11">
      <c r="B207" s="12" t="s">
        <v>31</v>
      </c>
      <c r="C207" s="12" t="str">
        <f>TechData_DMD!A266</f>
        <v>RLTRINC40</v>
      </c>
      <c r="D207" s="12" t="str">
        <f>TechData_DMD!B266</f>
        <v>RLT.REF.INC.40</v>
      </c>
      <c r="E207" s="12" t="s">
        <v>58</v>
      </c>
      <c r="F207" s="12" t="s">
        <v>59</v>
      </c>
      <c r="K207" s="12" t="str">
        <f>TechData_DMD!BF266</f>
        <v>R2,R3,R4,R5,R6</v>
      </c>
    </row>
    <row r="208" spans="2:11">
      <c r="B208" s="12" t="s">
        <v>31</v>
      </c>
      <c r="C208" s="12" t="str">
        <f>TechData_DMD!A267</f>
        <v>RLTRCFL11</v>
      </c>
      <c r="D208" s="12" t="str">
        <f>TechData_DMD!B267</f>
        <v>RLT.REF.CFL.10</v>
      </c>
      <c r="E208" s="12" t="s">
        <v>58</v>
      </c>
      <c r="F208" s="12" t="s">
        <v>59</v>
      </c>
      <c r="K208" s="12" t="str">
        <f>TechData_DMD!BF267</f>
        <v>R2,R3,R4,R5,R6</v>
      </c>
    </row>
    <row r="209" spans="2:11">
      <c r="B209" s="12" t="s">
        <v>31</v>
      </c>
      <c r="C209" s="12" t="str">
        <f>TechData_DMD!A268</f>
        <v>RLTRCFL20</v>
      </c>
      <c r="D209" s="12" t="str">
        <f>TechData_DMD!B268</f>
        <v>RLT.REF.CFL.20</v>
      </c>
      <c r="E209" s="12" t="s">
        <v>58</v>
      </c>
      <c r="F209" s="12" t="s">
        <v>59</v>
      </c>
      <c r="K209" s="12" t="str">
        <f>TechData_DMD!BF268</f>
        <v>R2,R3,R4,R5,R6</v>
      </c>
    </row>
    <row r="210" spans="2:11">
      <c r="B210" s="12" t="s">
        <v>31</v>
      </c>
      <c r="C210" s="12" t="str">
        <f>TechData_DMD!A269</f>
        <v>RLTRCFL30</v>
      </c>
      <c r="D210" s="12" t="str">
        <f>TechData_DMD!B269</f>
        <v>RLT.REF.CFL.30</v>
      </c>
      <c r="E210" s="12" t="s">
        <v>58</v>
      </c>
      <c r="F210" s="12" t="s">
        <v>59</v>
      </c>
      <c r="K210" s="12" t="str">
        <f>TechData_DMD!BF269</f>
        <v>R2,R3,R4,R5,R6</v>
      </c>
    </row>
    <row r="211" spans="2:11">
      <c r="B211" s="12" t="s">
        <v>31</v>
      </c>
      <c r="C211" s="12" t="str">
        <f>TechData_DMD!A270</f>
        <v>RLTRCFL40</v>
      </c>
      <c r="D211" s="12" t="str">
        <f>TechData_DMD!B270</f>
        <v>RLT.REF.CFL.40</v>
      </c>
      <c r="E211" s="12" t="s">
        <v>58</v>
      </c>
      <c r="F211" s="12" t="s">
        <v>59</v>
      </c>
      <c r="K211" s="12" t="str">
        <f>TechData_DMD!BF270</f>
        <v>R2,R3,R4,R5,R6</v>
      </c>
    </row>
    <row r="212" spans="2:11">
      <c r="B212" s="12" t="s">
        <v>31</v>
      </c>
      <c r="C212" s="12" t="str">
        <f>TechData_DMD!A271</f>
        <v>RLTRHAL11</v>
      </c>
      <c r="D212" s="12" t="str">
        <f>TechData_DMD!B271</f>
        <v>RLT.REF.HAL.10</v>
      </c>
      <c r="E212" s="12" t="s">
        <v>58</v>
      </c>
      <c r="F212" s="12" t="s">
        <v>59</v>
      </c>
      <c r="K212" s="12" t="str">
        <f>TechData_DMD!BF271</f>
        <v>R2,R3,R4,R5,R6</v>
      </c>
    </row>
    <row r="213" spans="2:11">
      <c r="B213" s="12" t="s">
        <v>31</v>
      </c>
      <c r="C213" s="12" t="str">
        <f>TechData_DMD!A272</f>
        <v>RLTRHAL20</v>
      </c>
      <c r="D213" s="12" t="str">
        <f>TechData_DMD!B272</f>
        <v>RLT.REF.HAL.20</v>
      </c>
      <c r="E213" s="12" t="s">
        <v>58</v>
      </c>
      <c r="F213" s="12" t="s">
        <v>59</v>
      </c>
      <c r="K213" s="12" t="str">
        <f>TechData_DMD!BF272</f>
        <v>R2,R3,R4,R5,R6</v>
      </c>
    </row>
    <row r="214" spans="2:11">
      <c r="B214" s="12" t="s">
        <v>31</v>
      </c>
      <c r="C214" s="12" t="str">
        <f>TechData_DMD!A273</f>
        <v>RLTRHAL30</v>
      </c>
      <c r="D214" s="12" t="str">
        <f>TechData_DMD!B273</f>
        <v>RLT.REF.HAL.30</v>
      </c>
      <c r="E214" s="12" t="s">
        <v>58</v>
      </c>
      <c r="F214" s="12" t="s">
        <v>59</v>
      </c>
      <c r="K214" s="12" t="str">
        <f>TechData_DMD!BF273</f>
        <v>R2,R3,R4,R5,R6</v>
      </c>
    </row>
    <row r="215" spans="2:11">
      <c r="B215" s="12" t="s">
        <v>31</v>
      </c>
      <c r="C215" s="12" t="str">
        <f>TechData_DMD!A274</f>
        <v>RLTRHAL40</v>
      </c>
      <c r="D215" s="12" t="str">
        <f>TechData_DMD!B274</f>
        <v>RLT.REF.HAL.40</v>
      </c>
      <c r="E215" s="12" t="s">
        <v>58</v>
      </c>
      <c r="F215" s="12" t="s">
        <v>59</v>
      </c>
      <c r="K215" s="12" t="str">
        <f>TechData_DMD!BF274</f>
        <v>R2,R3,R4,R5,R6</v>
      </c>
    </row>
    <row r="216" spans="2:11">
      <c r="B216" s="12" t="s">
        <v>31</v>
      </c>
      <c r="C216" s="12" t="str">
        <f>TechData_DMD!A275</f>
        <v>RLTRLED11</v>
      </c>
      <c r="D216" s="12" t="str">
        <f>TechData_DMD!B275</f>
        <v>RLT.REF.LED.10</v>
      </c>
      <c r="E216" s="12" t="s">
        <v>58</v>
      </c>
      <c r="F216" s="12" t="s">
        <v>59</v>
      </c>
      <c r="K216" s="12" t="str">
        <f>TechData_DMD!BF275</f>
        <v>R2,R3,R4,R5,R6</v>
      </c>
    </row>
    <row r="217" spans="2:11">
      <c r="B217" s="12" t="s">
        <v>31</v>
      </c>
      <c r="C217" s="12" t="str">
        <f>TechData_DMD!A276</f>
        <v>RLTRLED15</v>
      </c>
      <c r="D217" s="12" t="str">
        <f>TechData_DMD!B276</f>
        <v>RLT.REF.LED.15</v>
      </c>
      <c r="E217" s="12" t="s">
        <v>58</v>
      </c>
      <c r="F217" s="12" t="s">
        <v>59</v>
      </c>
      <c r="K217" s="12" t="str">
        <f>TechData_DMD!BF276</f>
        <v>R2,R3,R4,R5,R6</v>
      </c>
    </row>
    <row r="218" spans="2:11">
      <c r="B218" s="12" t="s">
        <v>31</v>
      </c>
      <c r="C218" s="12" t="str">
        <f>TechData_DMD!A277</f>
        <v>RLTRLED20</v>
      </c>
      <c r="D218" s="12" t="str">
        <f>TechData_DMD!B277</f>
        <v>RLT.REF.LED.20</v>
      </c>
      <c r="E218" s="12" t="s">
        <v>58</v>
      </c>
      <c r="F218" s="12" t="s">
        <v>59</v>
      </c>
      <c r="K218" s="12" t="str">
        <f>TechData_DMD!BF277</f>
        <v>R2,R3,R4,R5,R6</v>
      </c>
    </row>
    <row r="219" spans="2:11">
      <c r="B219" s="12" t="s">
        <v>31</v>
      </c>
      <c r="C219" s="12" t="str">
        <f>TechData_DMD!A278</f>
        <v>RLTRLED25</v>
      </c>
      <c r="D219" s="12" t="str">
        <f>TechData_DMD!B278</f>
        <v>RLT.REF.LED.25</v>
      </c>
      <c r="E219" s="12" t="s">
        <v>58</v>
      </c>
      <c r="F219" s="12" t="s">
        <v>59</v>
      </c>
      <c r="K219" s="12" t="str">
        <f>TechData_DMD!BF278</f>
        <v>R2,R3,R4,R5,R6</v>
      </c>
    </row>
    <row r="220" spans="2:11">
      <c r="B220" s="12" t="s">
        <v>31</v>
      </c>
      <c r="C220" s="12" t="str">
        <f>TechData_DMD!A279</f>
        <v>RLTRLED30</v>
      </c>
      <c r="D220" s="12" t="str">
        <f>TechData_DMD!B279</f>
        <v>RLT.REF.LED.30</v>
      </c>
      <c r="E220" s="12" t="s">
        <v>58</v>
      </c>
      <c r="F220" s="12" t="s">
        <v>59</v>
      </c>
      <c r="K220" s="12" t="str">
        <f>TechData_DMD!BF279</f>
        <v>R2,R3,R4,R5,R6</v>
      </c>
    </row>
    <row r="221" spans="2:11">
      <c r="B221" s="12" t="s">
        <v>31</v>
      </c>
      <c r="C221" s="12" t="str">
        <f>TechData_DMD!A281</f>
        <v>RLTLT1211</v>
      </c>
      <c r="D221" s="12" t="str">
        <f>TechData_DMD!B281</f>
        <v>RLT.LFL.T12.10</v>
      </c>
      <c r="E221" s="12" t="s">
        <v>58</v>
      </c>
      <c r="F221" s="12" t="s">
        <v>59</v>
      </c>
      <c r="K221" s="12" t="str">
        <f>TechData_DMD!BF281</f>
        <v>R2,R3,R4,R5,R6</v>
      </c>
    </row>
    <row r="222" spans="2:11">
      <c r="B222" s="12" t="s">
        <v>31</v>
      </c>
      <c r="C222" s="12" t="str">
        <f>TechData_DMD!A282</f>
        <v>RLTLFL11</v>
      </c>
      <c r="D222" s="12" t="str">
        <f>TechData_DMD!B282</f>
        <v>RLT.LFL.10</v>
      </c>
      <c r="E222" s="12" t="s">
        <v>58</v>
      </c>
      <c r="F222" s="12" t="s">
        <v>59</v>
      </c>
      <c r="K222" s="12" t="str">
        <f>TechData_DMD!BF282</f>
        <v>R2,R3,R4,R5,R6</v>
      </c>
    </row>
    <row r="223" spans="2:11">
      <c r="B223" s="12" t="s">
        <v>31</v>
      </c>
      <c r="C223" s="12" t="str">
        <f>TechData_DMD!A283</f>
        <v>RLTLT811</v>
      </c>
      <c r="D223" s="12" t="str">
        <f>TechData_DMD!B283</f>
        <v>RLT.LFL.T8.10</v>
      </c>
      <c r="E223" s="12" t="s">
        <v>58</v>
      </c>
      <c r="F223" s="12" t="s">
        <v>59</v>
      </c>
      <c r="K223" s="12" t="str">
        <f>TechData_DMD!BF283</f>
        <v>R2,R3,R4,R5,R6</v>
      </c>
    </row>
    <row r="224" spans="2:11">
      <c r="B224" s="12" t="s">
        <v>31</v>
      </c>
      <c r="C224" s="12" t="str">
        <f>TechData_DMD!A284</f>
        <v>RLTLT830</v>
      </c>
      <c r="D224" s="12" t="str">
        <f>TechData_DMD!B284</f>
        <v>RLT.LFL.T8.30</v>
      </c>
      <c r="E224" s="12" t="s">
        <v>58</v>
      </c>
      <c r="F224" s="12" t="s">
        <v>59</v>
      </c>
      <c r="K224" s="12" t="str">
        <f>TechData_DMD!BF284</f>
        <v>R2,R3,R4,R5,R6</v>
      </c>
    </row>
    <row r="225" spans="2:11">
      <c r="B225" s="12" t="s">
        <v>31</v>
      </c>
      <c r="C225" s="12" t="str">
        <f>TechData_DMD!A285</f>
        <v>RLTLLED11</v>
      </c>
      <c r="D225" s="12" t="str">
        <f>TechData_DMD!B285</f>
        <v>RLT.LFL.LED.10</v>
      </c>
      <c r="E225" s="12" t="s">
        <v>58</v>
      </c>
      <c r="F225" s="12" t="s">
        <v>59</v>
      </c>
      <c r="K225" s="12" t="str">
        <f>TechData_DMD!BF285</f>
        <v>R2,R3,R4,R5,R6</v>
      </c>
    </row>
    <row r="226" spans="2:11">
      <c r="B226" s="12" t="s">
        <v>31</v>
      </c>
      <c r="C226" s="12" t="str">
        <f>TechData_DMD!A286</f>
        <v>RLTLLED15</v>
      </c>
      <c r="D226" s="12" t="str">
        <f>TechData_DMD!B286</f>
        <v>RLT.LFL.LED.15</v>
      </c>
      <c r="E226" s="12" t="s">
        <v>58</v>
      </c>
      <c r="F226" s="12" t="s">
        <v>59</v>
      </c>
      <c r="K226" s="12" t="str">
        <f>TechData_DMD!BF286</f>
        <v>R2,R3,R4,R5,R6</v>
      </c>
    </row>
    <row r="227" spans="2:11">
      <c r="B227" s="12" t="s">
        <v>31</v>
      </c>
      <c r="C227" s="12" t="str">
        <f>TechData_DMD!A287</f>
        <v>RLTLLED20</v>
      </c>
      <c r="D227" s="12" t="str">
        <f>TechData_DMD!B287</f>
        <v>RLT.LFL.LED.20</v>
      </c>
      <c r="E227" s="12" t="s">
        <v>58</v>
      </c>
      <c r="F227" s="12" t="s">
        <v>59</v>
      </c>
      <c r="K227" s="12" t="str">
        <f>TechData_DMD!BF287</f>
        <v>R2,R3,R4,R5,R6</v>
      </c>
    </row>
    <row r="228" spans="2:11">
      <c r="B228" s="12" t="s">
        <v>31</v>
      </c>
      <c r="C228" s="12" t="str">
        <f>TechData_DMD!A288</f>
        <v>RLTLLED30</v>
      </c>
      <c r="D228" s="12" t="str">
        <f>TechData_DMD!B288</f>
        <v>RLT.LFL.LED.30</v>
      </c>
      <c r="E228" s="12" t="s">
        <v>58</v>
      </c>
      <c r="F228" s="12" t="s">
        <v>59</v>
      </c>
      <c r="K228" s="12" t="str">
        <f>TechData_DMD!BF288</f>
        <v>R2,R3,R4,R5,R6</v>
      </c>
    </row>
    <row r="229" spans="2:11">
      <c r="B229" s="12" t="s">
        <v>31</v>
      </c>
      <c r="C229" s="12" t="str">
        <f>TechData_DMD!A290</f>
        <v>RLTEXTBS11</v>
      </c>
      <c r="D229" s="12" t="str">
        <f>TechData_DMD!B290</f>
        <v>RLT.EXT.BS.11</v>
      </c>
      <c r="E229" s="12" t="s">
        <v>58</v>
      </c>
      <c r="F229" s="12" t="s">
        <v>59</v>
      </c>
      <c r="K229" s="12" t="str">
        <f>TechData_DMD!BF290</f>
        <v>R2,R3,R4,R5,R6</v>
      </c>
    </row>
    <row r="230" spans="2:11">
      <c r="B230" s="12" t="s">
        <v>31</v>
      </c>
      <c r="C230" s="12" t="str">
        <f>TechData_DMD!A291</f>
        <v>RLTEINC11</v>
      </c>
      <c r="D230" s="12" t="str">
        <f>TechData_DMD!B291</f>
        <v>RLT.EXT.INC.10</v>
      </c>
      <c r="E230" s="12" t="s">
        <v>58</v>
      </c>
      <c r="F230" s="12" t="s">
        <v>59</v>
      </c>
      <c r="K230" s="12" t="str">
        <f>TechData_DMD!BF291</f>
        <v>R2,R3,R4,R5,R6</v>
      </c>
    </row>
    <row r="231" spans="2:11">
      <c r="B231" s="12" t="s">
        <v>31</v>
      </c>
      <c r="C231" s="12" t="str">
        <f>TechData_DMD!A292</f>
        <v>RLTEINC15</v>
      </c>
      <c r="D231" s="12" t="str">
        <f>TechData_DMD!B292</f>
        <v>RLT.EXT.INC.15</v>
      </c>
      <c r="E231" s="12" t="s">
        <v>58</v>
      </c>
      <c r="F231" s="12" t="s">
        <v>59</v>
      </c>
      <c r="K231" s="12" t="str">
        <f>TechData_DMD!BF292</f>
        <v>R2,R3,R4,R5,R6</v>
      </c>
    </row>
    <row r="232" spans="2:11">
      <c r="B232" s="12" t="s">
        <v>31</v>
      </c>
      <c r="C232" s="12" t="str">
        <f>TechData_DMD!A293</f>
        <v>RLTEINC20</v>
      </c>
      <c r="D232" s="12" t="str">
        <f>TechData_DMD!B293</f>
        <v>RLT.EXT.INC.20</v>
      </c>
      <c r="E232" s="12" t="s">
        <v>58</v>
      </c>
      <c r="F232" s="12" t="s">
        <v>59</v>
      </c>
      <c r="K232" s="12" t="str">
        <f>TechData_DMD!BF293</f>
        <v>R2,R3,R4,R5,R6</v>
      </c>
    </row>
    <row r="233" spans="2:11">
      <c r="B233" s="12" t="s">
        <v>31</v>
      </c>
      <c r="C233" s="12" t="str">
        <f>TechData_DMD!A294</f>
        <v>RLTEINC30</v>
      </c>
      <c r="D233" s="12" t="str">
        <f>TechData_DMD!B294</f>
        <v>RLT.EXT.INC.30</v>
      </c>
      <c r="E233" s="12" t="s">
        <v>58</v>
      </c>
      <c r="F233" s="12" t="s">
        <v>59</v>
      </c>
      <c r="K233" s="12" t="str">
        <f>TechData_DMD!BF294</f>
        <v>R2,R3,R4,R5,R6</v>
      </c>
    </row>
    <row r="234" spans="2:11">
      <c r="B234" s="12" t="s">
        <v>31</v>
      </c>
      <c r="C234" s="12" t="str">
        <f>TechData_DMD!A295</f>
        <v>RLTEINC40</v>
      </c>
      <c r="D234" s="12" t="str">
        <f>TechData_DMD!B295</f>
        <v>RLT.EXT.INC.40</v>
      </c>
      <c r="E234" s="12" t="s">
        <v>58</v>
      </c>
      <c r="F234" s="12" t="s">
        <v>59</v>
      </c>
      <c r="K234" s="12" t="str">
        <f>TechData_DMD!BF295</f>
        <v>R2,R3,R4,R5,R6</v>
      </c>
    </row>
    <row r="235" spans="2:11">
      <c r="B235" s="12" t="s">
        <v>31</v>
      </c>
      <c r="C235" s="12" t="str">
        <f>TechData_DMD!A296</f>
        <v>RLTECFL11</v>
      </c>
      <c r="D235" s="12" t="str">
        <f>TechData_DMD!B296</f>
        <v>RLT.EXT.CFL.10</v>
      </c>
      <c r="E235" s="12" t="s">
        <v>58</v>
      </c>
      <c r="F235" s="12" t="s">
        <v>59</v>
      </c>
      <c r="K235" s="12" t="str">
        <f>TechData_DMD!BF296</f>
        <v>R2,R3,R4,R5,R6</v>
      </c>
    </row>
    <row r="236" spans="2:11">
      <c r="B236" s="12" t="s">
        <v>31</v>
      </c>
      <c r="C236" s="12" t="str">
        <f>TechData_DMD!A297</f>
        <v>RLTECFL20</v>
      </c>
      <c r="D236" s="12" t="str">
        <f>TechData_DMD!B297</f>
        <v>RLT.EXT.CFL.20</v>
      </c>
      <c r="E236" s="12" t="s">
        <v>58</v>
      </c>
      <c r="F236" s="12" t="s">
        <v>59</v>
      </c>
      <c r="K236" s="12" t="str">
        <f>TechData_DMD!BF297</f>
        <v>R2,R3,R4,R5,R6</v>
      </c>
    </row>
    <row r="237" spans="2:11">
      <c r="B237" s="12" t="s">
        <v>31</v>
      </c>
      <c r="C237" s="12" t="str">
        <f>TechData_DMD!A298</f>
        <v>RLTECFL30</v>
      </c>
      <c r="D237" s="12" t="str">
        <f>TechData_DMD!B298</f>
        <v>RLT.EXT.CFL.30</v>
      </c>
      <c r="E237" s="12" t="s">
        <v>58</v>
      </c>
      <c r="F237" s="12" t="s">
        <v>59</v>
      </c>
      <c r="K237" s="12" t="str">
        <f>TechData_DMD!BF298</f>
        <v>R2,R3,R4,R5,R6</v>
      </c>
    </row>
    <row r="238" spans="2:11">
      <c r="B238" s="12" t="s">
        <v>31</v>
      </c>
      <c r="C238" s="12" t="str">
        <f>TechData_DMD!A299</f>
        <v>RLTECFL40</v>
      </c>
      <c r="D238" s="12" t="str">
        <f>TechData_DMD!B299</f>
        <v>RLT.EXT.CFL.40</v>
      </c>
      <c r="E238" s="12" t="s">
        <v>58</v>
      </c>
      <c r="F238" s="12" t="s">
        <v>59</v>
      </c>
      <c r="K238" s="12" t="str">
        <f>TechData_DMD!BF299</f>
        <v>R2,R3,R4,R5,R6</v>
      </c>
    </row>
    <row r="239" spans="2:11">
      <c r="B239" s="12" t="s">
        <v>31</v>
      </c>
      <c r="C239" s="12" t="str">
        <f>TechData_DMD!A300</f>
        <v>RLTEHPS11</v>
      </c>
      <c r="D239" s="12" t="str">
        <f>TechData_DMD!B300</f>
        <v>RLT.EXT.HPS.10</v>
      </c>
      <c r="E239" s="12" t="s">
        <v>58</v>
      </c>
      <c r="F239" s="12" t="s">
        <v>59</v>
      </c>
      <c r="K239" s="12" t="str">
        <f>TechData_DMD!BF300</f>
        <v>R2,R3,R4,R5,R6</v>
      </c>
    </row>
    <row r="240" spans="2:11">
      <c r="B240" s="12" t="s">
        <v>31</v>
      </c>
      <c r="C240" s="12" t="str">
        <f>TechData_DMD!A301</f>
        <v>RLTEHPS20</v>
      </c>
      <c r="D240" s="12" t="str">
        <f>TechData_DMD!B301</f>
        <v>RLT.EXT.HPS.20</v>
      </c>
      <c r="E240" s="12" t="s">
        <v>58</v>
      </c>
      <c r="F240" s="12" t="s">
        <v>59</v>
      </c>
      <c r="K240" s="12" t="str">
        <f>TechData_DMD!BF301</f>
        <v>R2,R3,R4,R5,R6</v>
      </c>
    </row>
    <row r="241" spans="2:11">
      <c r="B241" s="12" t="s">
        <v>31</v>
      </c>
      <c r="C241" s="12" t="str">
        <f>TechData_DMD!A302</f>
        <v>RLTELED11</v>
      </c>
      <c r="D241" s="12" t="str">
        <f>TechData_DMD!B302</f>
        <v>RLT.EXT.LED.10</v>
      </c>
      <c r="E241" s="12" t="s">
        <v>58</v>
      </c>
      <c r="F241" s="12" t="s">
        <v>59</v>
      </c>
      <c r="K241" s="12" t="str">
        <f>TechData_DMD!BF302</f>
        <v>R2,R3,R4,R5,R6</v>
      </c>
    </row>
    <row r="242" spans="2:11">
      <c r="B242" s="12" t="s">
        <v>31</v>
      </c>
      <c r="C242" s="12" t="str">
        <f>TechData_DMD!A303</f>
        <v>RLTELED15</v>
      </c>
      <c r="D242" s="12" t="str">
        <f>TechData_DMD!B303</f>
        <v>RLT.EXT.LED.15</v>
      </c>
      <c r="E242" s="12" t="s">
        <v>58</v>
      </c>
      <c r="F242" s="12" t="s">
        <v>59</v>
      </c>
      <c r="K242" s="12" t="str">
        <f>TechData_DMD!BF303</f>
        <v>R2,R3,R4,R5,R6</v>
      </c>
    </row>
    <row r="243" spans="2:11">
      <c r="B243" s="12" t="s">
        <v>31</v>
      </c>
      <c r="C243" s="12" t="str">
        <f>TechData_DMD!A304</f>
        <v>RLTELED20</v>
      </c>
      <c r="D243" s="12" t="str">
        <f>TechData_DMD!B304</f>
        <v>RLT.EXT.LED.20</v>
      </c>
      <c r="E243" s="12" t="s">
        <v>58</v>
      </c>
      <c r="F243" s="12" t="s">
        <v>59</v>
      </c>
      <c r="K243" s="12" t="str">
        <f>TechData_DMD!BF304</f>
        <v>R2,R3,R4,R5,R6</v>
      </c>
    </row>
    <row r="244" spans="2:11">
      <c r="B244" s="12" t="s">
        <v>31</v>
      </c>
      <c r="C244" s="12" t="str">
        <f>TechData_DMD!A305</f>
        <v>RLTELED25</v>
      </c>
      <c r="D244" s="12" t="str">
        <f>TechData_DMD!B305</f>
        <v>RLT.EXT.LED.25</v>
      </c>
      <c r="E244" s="12" t="s">
        <v>58</v>
      </c>
      <c r="F244" s="12" t="s">
        <v>59</v>
      </c>
      <c r="K244" s="12" t="str">
        <f>TechData_DMD!BF305</f>
        <v>R2,R3,R4,R5,R6</v>
      </c>
    </row>
    <row r="245" spans="2:11">
      <c r="B245" s="12" t="s">
        <v>31</v>
      </c>
      <c r="C245" s="12" t="str">
        <f>TechData_DMD!A306</f>
        <v>RLTELED30</v>
      </c>
      <c r="D245" s="12" t="str">
        <f>TechData_DMD!B306</f>
        <v>RLT.EXT.LED.30</v>
      </c>
      <c r="E245" s="12" t="s">
        <v>58</v>
      </c>
      <c r="F245" s="12" t="s">
        <v>59</v>
      </c>
      <c r="K245" s="12" t="str">
        <f>TechData_DMD!BF306</f>
        <v>R2,R3,R4,R5,R6</v>
      </c>
    </row>
    <row r="246" spans="2:11" ht="13">
      <c r="B246" s="1" t="s">
        <v>60</v>
      </c>
      <c r="K246" s="12" t="str">
        <f>TechData_DMD!BF307</f>
        <v>* Residential Other</v>
      </c>
    </row>
    <row r="247" spans="2:11">
      <c r="B247" s="12" t="s">
        <v>31</v>
      </c>
      <c r="C247" s="12" t="str">
        <f>TechData_DMD!A308</f>
        <v>ROTHCELC11</v>
      </c>
      <c r="D247" s="12" t="str">
        <f>TechData_DMD!B308</f>
        <v>Residential Other - Electric</v>
      </c>
      <c r="E247" s="12" t="s">
        <v>32</v>
      </c>
      <c r="F247" s="12" t="s">
        <v>33</v>
      </c>
      <c r="K247" s="12" t="str">
        <f>TechData_DMD!BF308</f>
        <v>R2,R3,R4,R5,R6</v>
      </c>
    </row>
    <row r="248" spans="2:11">
      <c r="B248" s="12" t="s">
        <v>31</v>
      </c>
      <c r="C248" s="12" t="str">
        <f>TechData_DMD!A309</f>
        <v>ROTHNGA11</v>
      </c>
      <c r="D248" s="12" t="str">
        <f>TechData_DMD!B309</f>
        <v>Residential Other - NGA</v>
      </c>
      <c r="E248" s="12" t="s">
        <v>32</v>
      </c>
      <c r="F248" s="12" t="s">
        <v>33</v>
      </c>
      <c r="K248" s="12" t="str">
        <f>TechData_DMD!BF309</f>
        <v>R2,R3,R4,R5,R6</v>
      </c>
    </row>
    <row r="249" spans="2:11">
      <c r="B249" s="12" t="s">
        <v>31</v>
      </c>
      <c r="C249" s="12" t="str">
        <f>TechData_DMD!A310</f>
        <v>ROTHLPG11</v>
      </c>
      <c r="D249" s="12" t="str">
        <f>TechData_DMD!B310</f>
        <v>Residential Other - LPG</v>
      </c>
      <c r="E249" s="12" t="s">
        <v>32</v>
      </c>
      <c r="F249" s="12" t="s">
        <v>33</v>
      </c>
      <c r="K249" s="12" t="str">
        <f>TechData_DMD!BF310</f>
        <v>*</v>
      </c>
    </row>
    <row r="250" spans="2:11" ht="13">
      <c r="B250" s="1" t="s">
        <v>61</v>
      </c>
      <c r="K250" s="12" t="str">
        <f>TechData_DMD!BF311</f>
        <v>* Dummy/Pass Through Technologies for NYC LITE Model to Meet Populaiton Demand</v>
      </c>
    </row>
    <row r="251" spans="2:11">
      <c r="B251" s="12" t="s">
        <v>31</v>
      </c>
      <c r="C251" s="12" t="str">
        <f>TechData_DMD!A313</f>
        <v>RBLDHEDM11</v>
      </c>
      <c r="D251" s="12" t="str">
        <f>TechData_DMD!B313</f>
        <v>Residential Building High Eff</v>
      </c>
      <c r="E251" s="12" t="s">
        <v>32</v>
      </c>
      <c r="F251" s="12" t="s">
        <v>33</v>
      </c>
      <c r="K251" s="12" t="str">
        <f>TechData_DMD!BF313</f>
        <v>R2,R3,R4,R5,R6</v>
      </c>
    </row>
    <row r="252" spans="2:11">
      <c r="B252" s="12" t="s">
        <v>31</v>
      </c>
      <c r="C252" s="12" t="str">
        <f>TechData_DMD!A314</f>
        <v>RBLDMEDM11</v>
      </c>
      <c r="D252" s="12" t="str">
        <f>TechData_DMD!B314</f>
        <v>Residential Building Medium Eff</v>
      </c>
      <c r="E252" s="12" t="s">
        <v>32</v>
      </c>
      <c r="F252" s="12" t="s">
        <v>33</v>
      </c>
      <c r="K252" s="12" t="str">
        <f>TechData_DMD!BF314</f>
        <v>*</v>
      </c>
    </row>
    <row r="253" spans="2:11">
      <c r="B253" s="12" t="s">
        <v>31</v>
      </c>
      <c r="C253" s="12" t="str">
        <f>TechData_DMD!A315</f>
        <v>RBLDLEDM11</v>
      </c>
      <c r="D253" s="12" t="str">
        <f>TechData_DMD!B315</f>
        <v>Residential Building Low Eff</v>
      </c>
      <c r="E253" s="12" t="s">
        <v>32</v>
      </c>
      <c r="F253" s="12" t="s">
        <v>33</v>
      </c>
      <c r="K253" s="12" t="str">
        <f>TechData_DMD!BF315</f>
        <v>R2,R3,R4,R5,R6</v>
      </c>
    </row>
    <row r="254" spans="2:11">
      <c r="B254" s="12" t="s">
        <v>31</v>
      </c>
      <c r="C254" s="12" t="str">
        <f>TechData_DMD!A317</f>
        <v>RBROOFDM11</v>
      </c>
      <c r="D254" s="12" t="str">
        <f>TechData_DMD!B317</f>
        <v>Residential Sector Black Roof</v>
      </c>
      <c r="E254" s="12" t="s">
        <v>32</v>
      </c>
      <c r="F254" s="12" t="s">
        <v>33</v>
      </c>
      <c r="K254" s="12" t="str">
        <f>TechData_DMD!BF317</f>
        <v>R2,R3,R4,R5,R6</v>
      </c>
    </row>
    <row r="255" spans="2:11">
      <c r="B255" s="12" t="s">
        <v>31</v>
      </c>
      <c r="C255" s="12" t="str">
        <f>TechData_DMD!A318</f>
        <v>RWTROOFDM11</v>
      </c>
      <c r="D255" s="12" t="str">
        <f>TechData_DMD!B318</f>
        <v>Residential Sector White Roof</v>
      </c>
      <c r="E255" s="12" t="s">
        <v>32</v>
      </c>
      <c r="F255" s="12" t="s">
        <v>33</v>
      </c>
      <c r="K255" s="12" t="str">
        <f>TechData_DMD!BF318</f>
        <v>R2,R3,R4,R5,R6</v>
      </c>
    </row>
    <row r="256" spans="2:11">
      <c r="B256" s="12" t="s">
        <v>31</v>
      </c>
      <c r="C256" s="12" t="str">
        <f>TechData_DMD!A319</f>
        <v>RGROOF6DM11</v>
      </c>
      <c r="D256" s="12" t="str">
        <f>TechData_DMD!B319</f>
        <v>Residential Sector Green Roof 6 Inch Depth</v>
      </c>
      <c r="E256" s="12" t="s">
        <v>32</v>
      </c>
      <c r="F256" s="12" t="s">
        <v>33</v>
      </c>
      <c r="K256" s="12" t="str">
        <f>TechData_DMD!BF319</f>
        <v>R2,R3,R4,R5,R6</v>
      </c>
    </row>
    <row r="257" spans="2:11">
      <c r="B257" s="12" t="s">
        <v>31</v>
      </c>
      <c r="C257" s="12" t="str">
        <f>TechData_DMD!A320</f>
        <v>RGROOF12DM11</v>
      </c>
      <c r="D257" s="12" t="str">
        <f>TechData_DMD!B320</f>
        <v>Residential Sector Green Roof 12 Inch Depth</v>
      </c>
      <c r="E257" s="12" t="s">
        <v>32</v>
      </c>
      <c r="F257" s="12" t="s">
        <v>33</v>
      </c>
      <c r="K257" s="12" t="str">
        <f>TechData_DMD!BF320</f>
        <v>R2,R3,R4,R5,R6</v>
      </c>
    </row>
    <row r="258" spans="2:11">
      <c r="B258" s="12" t="s">
        <v>31</v>
      </c>
      <c r="C258" s="12" t="str">
        <f>TechData_DMD!A324</f>
        <v>RSHRFBLK11</v>
      </c>
      <c r="D258" s="12" t="str">
        <f>TechData_DMD!B324</f>
        <v>Heating provided by black roofs</v>
      </c>
      <c r="E258" s="12" t="s">
        <v>32</v>
      </c>
      <c r="F258" s="12" t="s">
        <v>33</v>
      </c>
      <c r="K258" s="12" t="str">
        <f>TechData_DMD!BF324</f>
        <v>*</v>
      </c>
    </row>
    <row r="259" spans="2:11">
      <c r="B259" s="12" t="s">
        <v>31</v>
      </c>
      <c r="C259" s="12" t="str">
        <f>TechData_DMD!A325</f>
        <v>RSHRFWT11</v>
      </c>
      <c r="D259" s="12" t="str">
        <f>TechData_DMD!B325</f>
        <v>Heating provided by white roofs</v>
      </c>
      <c r="E259" s="12" t="s">
        <v>32</v>
      </c>
      <c r="F259" s="12" t="s">
        <v>33</v>
      </c>
      <c r="K259" s="12" t="str">
        <f>TechData_DMD!BF325</f>
        <v>*</v>
      </c>
    </row>
    <row r="260" spans="2:11">
      <c r="B260" s="12" t="s">
        <v>31</v>
      </c>
      <c r="C260" s="12" t="str">
        <f>TechData_DMD!A326</f>
        <v>RSHRFG611</v>
      </c>
      <c r="D260" s="12" t="str">
        <f>TechData_DMD!B326</f>
        <v>Heating provided by 6 inch green roofs</v>
      </c>
      <c r="E260" s="12" t="s">
        <v>32</v>
      </c>
      <c r="F260" s="12" t="s">
        <v>33</v>
      </c>
      <c r="K260" s="12" t="str">
        <f>TechData_DMD!BF326</f>
        <v>*</v>
      </c>
    </row>
    <row r="261" spans="2:11">
      <c r="B261" s="12" t="s">
        <v>31</v>
      </c>
      <c r="C261" s="12" t="str">
        <f>TechData_DMD!A327</f>
        <v>RSHRFG1211</v>
      </c>
      <c r="D261" s="12" t="str">
        <f>TechData_DMD!B327</f>
        <v>Heating provided by 12 inch green roofs</v>
      </c>
      <c r="E261" s="12" t="s">
        <v>32</v>
      </c>
      <c r="F261" s="12" t="s">
        <v>33</v>
      </c>
      <c r="K261" s="12" t="str">
        <f>TechData_DMD!BF327</f>
        <v>*</v>
      </c>
    </row>
    <row r="262" spans="2:11">
      <c r="B262" s="12" t="s">
        <v>31</v>
      </c>
      <c r="C262" s="12" t="str">
        <f>TechData_DMD!A328</f>
        <v>RSCRFBLK11</v>
      </c>
      <c r="D262" s="12" t="str">
        <f>TechData_DMD!B328</f>
        <v>Cooling provided by black roofs</v>
      </c>
      <c r="E262" s="12" t="s">
        <v>32</v>
      </c>
      <c r="F262" s="12" t="s">
        <v>33</v>
      </c>
      <c r="K262" s="12" t="str">
        <f>TechData_DMD!BF328</f>
        <v>*</v>
      </c>
    </row>
    <row r="263" spans="2:11">
      <c r="B263" s="12" t="s">
        <v>31</v>
      </c>
      <c r="C263" s="12" t="str">
        <f>TechData_DMD!A329</f>
        <v>RSCRFWT11</v>
      </c>
      <c r="D263" s="12" t="str">
        <f>TechData_DMD!B329</f>
        <v>Cooling provided by white roofs</v>
      </c>
      <c r="E263" s="12" t="s">
        <v>32</v>
      </c>
      <c r="F263" s="12" t="s">
        <v>33</v>
      </c>
      <c r="K263" s="12" t="str">
        <f>TechData_DMD!BF329</f>
        <v>*</v>
      </c>
    </row>
    <row r="264" spans="2:11">
      <c r="B264" s="12" t="s">
        <v>31</v>
      </c>
      <c r="C264" s="12" t="str">
        <f>TechData_DMD!A330</f>
        <v>RSCRFG611</v>
      </c>
      <c r="D264" s="12" t="str">
        <f>TechData_DMD!B330</f>
        <v>Cooling provided by 6 inch green roofs</v>
      </c>
      <c r="E264" s="12" t="s">
        <v>32</v>
      </c>
      <c r="F264" s="12" t="s">
        <v>33</v>
      </c>
      <c r="K264" s="12" t="str">
        <f>TechData_DMD!BF330</f>
        <v>*</v>
      </c>
    </row>
    <row r="265" spans="2:11">
      <c r="B265" s="12" t="s">
        <v>31</v>
      </c>
      <c r="C265" s="12" t="str">
        <f>TechData_DMD!A331</f>
        <v>RSCRFG1211</v>
      </c>
      <c r="D265" s="12" t="str">
        <f>TechData_DMD!B331</f>
        <v>Cooling provided by 12 inch green roofs</v>
      </c>
      <c r="E265" s="12" t="s">
        <v>32</v>
      </c>
      <c r="F265" s="12" t="s">
        <v>33</v>
      </c>
      <c r="K265" s="12" t="str">
        <f>TechData_DMD!BF331</f>
        <v>*</v>
      </c>
    </row>
    <row r="266" spans="2:11" ht="13">
      <c r="B266" s="1" t="s">
        <v>62</v>
      </c>
    </row>
    <row r="267" spans="2:11">
      <c r="B267" s="12" t="s">
        <v>63</v>
      </c>
      <c r="C267" s="12" t="str">
        <f>TechData_SolarPV!B7</f>
        <v>ESOLPVRES11</v>
      </c>
      <c r="D267" s="12" t="str">
        <f>TechData_SolarPV!C7</f>
        <v>Solar PV Distributed Residential Generation</v>
      </c>
      <c r="E267" s="12" t="s">
        <v>32</v>
      </c>
      <c r="F267" s="12" t="s">
        <v>64</v>
      </c>
      <c r="I267" s="593" t="s">
        <v>36</v>
      </c>
    </row>
    <row r="270" spans="2:11" ht="13">
      <c r="B270" s="524"/>
    </row>
    <row r="271" spans="2:11" ht="13">
      <c r="B271" s="524"/>
    </row>
    <row r="272" spans="2:11" ht="13">
      <c r="B272" s="524"/>
    </row>
    <row r="273" spans="2:2" ht="13">
      <c r="B273" s="524"/>
    </row>
    <row r="274" spans="2:2" ht="13">
      <c r="B274" s="524"/>
    </row>
    <row r="275" spans="2:2" ht="13">
      <c r="B275" s="524"/>
    </row>
    <row r="276" spans="2:2" ht="13">
      <c r="B276" s="524"/>
    </row>
    <row r="292" spans="2:2" ht="13">
      <c r="B292" s="524"/>
    </row>
    <row r="293" spans="2:2" ht="13">
      <c r="B293" s="524"/>
    </row>
    <row r="294" spans="2:2" ht="13">
      <c r="B294" s="524"/>
    </row>
    <row r="295" spans="2:2" ht="13">
      <c r="B295" s="524"/>
    </row>
    <row r="296" spans="2:2" ht="13">
      <c r="B296" s="524"/>
    </row>
    <row r="297" spans="2:2" ht="13">
      <c r="B297" s="524"/>
    </row>
    <row r="298" spans="2:2" ht="13">
      <c r="B298" s="524"/>
    </row>
    <row r="299" spans="2:2" ht="13">
      <c r="B299" s="524"/>
    </row>
    <row r="300" spans="2:2" ht="13">
      <c r="B300" s="524"/>
    </row>
    <row r="301" spans="2:2" ht="13">
      <c r="B301" s="524"/>
    </row>
    <row r="302" spans="2:2" ht="13">
      <c r="B302" s="524"/>
    </row>
    <row r="303" spans="2:2" ht="13">
      <c r="B303" s="524"/>
    </row>
    <row r="304" spans="2:2" ht="13">
      <c r="B304" s="524"/>
    </row>
    <row r="305" spans="2:2" ht="13">
      <c r="B305" s="524"/>
    </row>
    <row r="306" spans="2:2" ht="13">
      <c r="B306" s="524"/>
    </row>
    <row r="307" spans="2:2" ht="13">
      <c r="B307" s="524"/>
    </row>
    <row r="308" spans="2:2" ht="13">
      <c r="B308" s="524"/>
    </row>
    <row r="309" spans="2:2" ht="13">
      <c r="B309" s="524"/>
    </row>
    <row r="310" spans="2:2" ht="13">
      <c r="B310" s="524"/>
    </row>
    <row r="311" spans="2:2" ht="13">
      <c r="B311" s="524"/>
    </row>
    <row r="312" spans="2:2" ht="13">
      <c r="B312" s="524"/>
    </row>
    <row r="313" spans="2:2" ht="13">
      <c r="B313" s="524"/>
    </row>
    <row r="314" spans="2:2" ht="13">
      <c r="B314" s="524"/>
    </row>
    <row r="315" spans="2:2" ht="13">
      <c r="B315" s="524"/>
    </row>
    <row r="316" spans="2:2" ht="13">
      <c r="B316" s="524"/>
    </row>
    <row r="317" spans="2:2" ht="13">
      <c r="B317" s="524"/>
    </row>
    <row r="318" spans="2:2" ht="13">
      <c r="B318" s="524"/>
    </row>
    <row r="319" spans="2:2" ht="13">
      <c r="B319" s="524"/>
    </row>
    <row r="320" spans="2:2" ht="13">
      <c r="B320" s="524"/>
    </row>
    <row r="321" spans="2:2" ht="13">
      <c r="B321" s="524"/>
    </row>
    <row r="322" spans="2:2" ht="13">
      <c r="B322" s="524"/>
    </row>
    <row r="323" spans="2:2" ht="13">
      <c r="B323" s="524"/>
    </row>
    <row r="324" spans="2:2" ht="13">
      <c r="B324" s="524"/>
    </row>
    <row r="325" spans="2:2" ht="13">
      <c r="B325" s="524"/>
    </row>
    <row r="326" spans="2:2" ht="13">
      <c r="B326" s="524"/>
    </row>
    <row r="327" spans="2:2" ht="13">
      <c r="B327" s="524"/>
    </row>
    <row r="328" spans="2:2" ht="13">
      <c r="B328" s="524"/>
    </row>
    <row r="329" spans="2:2" ht="13">
      <c r="B329" s="524"/>
    </row>
    <row r="330" spans="2:2" ht="13">
      <c r="B330" s="524"/>
    </row>
    <row r="331" spans="2:2" ht="13">
      <c r="B331" s="524"/>
    </row>
    <row r="332" spans="2:2" ht="13">
      <c r="B332" s="524"/>
    </row>
    <row r="333" spans="2:2" ht="13">
      <c r="B333" s="524"/>
    </row>
    <row r="334" spans="2:2" ht="13">
      <c r="B334" s="524"/>
    </row>
    <row r="335" spans="2:2" ht="13">
      <c r="B335" s="524"/>
    </row>
    <row r="336" spans="2:2" ht="13">
      <c r="B336" s="524"/>
    </row>
    <row r="337" spans="2:2" ht="13">
      <c r="B337" s="524"/>
    </row>
    <row r="338" spans="2:2" ht="13">
      <c r="B338" s="524"/>
    </row>
    <row r="339" spans="2:2" ht="13">
      <c r="B339" s="524"/>
    </row>
    <row r="340" spans="2:2" ht="13">
      <c r="B340" s="524"/>
    </row>
    <row r="341" spans="2:2" ht="13">
      <c r="B341" s="524"/>
    </row>
    <row r="342" spans="2:2" ht="13">
      <c r="B342" s="524"/>
    </row>
    <row r="343" spans="2:2" ht="13">
      <c r="B343" s="524"/>
    </row>
    <row r="344" spans="2:2" ht="13">
      <c r="B344" s="524"/>
    </row>
    <row r="345" spans="2:2" ht="13">
      <c r="B345" s="524"/>
    </row>
    <row r="346" spans="2:2" ht="13">
      <c r="B346" s="524"/>
    </row>
    <row r="347" spans="2:2" ht="13">
      <c r="B347" s="524"/>
    </row>
    <row r="348" spans="2:2" ht="13">
      <c r="B348" s="524"/>
    </row>
    <row r="349" spans="2:2" ht="13">
      <c r="B349" s="524"/>
    </row>
    <row r="350" spans="2:2" ht="13">
      <c r="B350" s="524"/>
    </row>
    <row r="351" spans="2:2" ht="13">
      <c r="B351" s="524"/>
    </row>
    <row r="352" spans="2:2" ht="13">
      <c r="B352" s="524"/>
    </row>
    <row r="353" spans="2:2" ht="13">
      <c r="B353" s="524"/>
    </row>
    <row r="354" spans="2:2" ht="13">
      <c r="B354" s="524"/>
    </row>
    <row r="355" spans="2:2" ht="13">
      <c r="B355" s="524"/>
    </row>
    <row r="356" spans="2:2" ht="13">
      <c r="B356" s="524"/>
    </row>
    <row r="357" spans="2:2" ht="13">
      <c r="B357" s="524"/>
    </row>
    <row r="358" spans="2:2" ht="13">
      <c r="B358" s="524"/>
    </row>
    <row r="359" spans="2:2" ht="13">
      <c r="B359" s="524"/>
    </row>
    <row r="360" spans="2:2" ht="13">
      <c r="B360" s="524"/>
    </row>
    <row r="361" spans="2:2" ht="13">
      <c r="B361" s="524"/>
    </row>
    <row r="362" spans="2:2" ht="13">
      <c r="B362" s="524"/>
    </row>
    <row r="363" spans="2:2" ht="13">
      <c r="B363" s="524"/>
    </row>
    <row r="364" spans="2:2" ht="13">
      <c r="B364" s="524"/>
    </row>
    <row r="365" spans="2:2" ht="13">
      <c r="B365" s="524"/>
    </row>
    <row r="366" spans="2:2" ht="13">
      <c r="B366" s="524"/>
    </row>
    <row r="367" spans="2:2" ht="13">
      <c r="B367" s="524"/>
    </row>
    <row r="368" spans="2:2" ht="13">
      <c r="B368" s="524"/>
    </row>
    <row r="369" spans="2:2" ht="13">
      <c r="B369" s="524"/>
    </row>
    <row r="370" spans="2:2" ht="13">
      <c r="B370" s="524"/>
    </row>
    <row r="371" spans="2:2" ht="13">
      <c r="B371" s="524"/>
    </row>
    <row r="372" spans="2:2" ht="13">
      <c r="B372" s="524"/>
    </row>
    <row r="373" spans="2:2" ht="13">
      <c r="B373" s="524"/>
    </row>
    <row r="374" spans="2:2" ht="13">
      <c r="B374" s="524"/>
    </row>
    <row r="375" spans="2:2" ht="13">
      <c r="B375" s="524"/>
    </row>
    <row r="376" spans="2:2" ht="13">
      <c r="B376" s="524"/>
    </row>
    <row r="377" spans="2:2" ht="13">
      <c r="B377" s="524"/>
    </row>
    <row r="378" spans="2:2" ht="13">
      <c r="B378" s="524"/>
    </row>
    <row r="379" spans="2:2" ht="13">
      <c r="B379" s="524"/>
    </row>
    <row r="380" spans="2:2" ht="13">
      <c r="B380" s="524"/>
    </row>
    <row r="381" spans="2:2" ht="13">
      <c r="B381" s="524"/>
    </row>
    <row r="382" spans="2:2" ht="13">
      <c r="B382" s="524"/>
    </row>
    <row r="383" spans="2:2" ht="13">
      <c r="B383" s="524"/>
    </row>
    <row r="384" spans="2:2" ht="13">
      <c r="B384" s="524"/>
    </row>
    <row r="385" spans="2:2" ht="13">
      <c r="B385" s="524"/>
    </row>
    <row r="386" spans="2:2" ht="13">
      <c r="B386" s="524"/>
    </row>
    <row r="387" spans="2:2" ht="13">
      <c r="B387" s="524"/>
    </row>
    <row r="388" spans="2:2" ht="13">
      <c r="B388" s="524"/>
    </row>
    <row r="389" spans="2:2" ht="13">
      <c r="B389" s="524"/>
    </row>
    <row r="390" spans="2:2" ht="13">
      <c r="B390" s="524"/>
    </row>
    <row r="391" spans="2:2" ht="13">
      <c r="B391" s="524"/>
    </row>
    <row r="392" spans="2:2" ht="13">
      <c r="B392" s="524"/>
    </row>
    <row r="393" spans="2:2" ht="13">
      <c r="B393" s="524"/>
    </row>
    <row r="394" spans="2:2" ht="13">
      <c r="B394" s="524"/>
    </row>
    <row r="395" spans="2:2" ht="13">
      <c r="B395" s="524"/>
    </row>
    <row r="396" spans="2:2" ht="13">
      <c r="B396" s="524"/>
    </row>
    <row r="397" spans="2:2" ht="13">
      <c r="B397" s="524"/>
    </row>
    <row r="398" spans="2:2" ht="13">
      <c r="B398" s="524"/>
    </row>
    <row r="399" spans="2:2" ht="13">
      <c r="B399" s="524"/>
    </row>
    <row r="400" spans="2:2" ht="13">
      <c r="B400" s="524"/>
    </row>
    <row r="401" spans="2:2" ht="13">
      <c r="B401" s="524"/>
    </row>
    <row r="402" spans="2:2" ht="13">
      <c r="B402" s="524"/>
    </row>
    <row r="403" spans="2:2" ht="13">
      <c r="B403" s="524"/>
    </row>
    <row r="404" spans="2:2" ht="13">
      <c r="B404" s="524"/>
    </row>
    <row r="405" spans="2:2" ht="13">
      <c r="B405" s="524"/>
    </row>
    <row r="406" spans="2:2" ht="13">
      <c r="B406" s="524"/>
    </row>
    <row r="407" spans="2:2" ht="13">
      <c r="B407" s="524"/>
    </row>
    <row r="408" spans="2:2" ht="13">
      <c r="B408" s="524"/>
    </row>
    <row r="409" spans="2:2" ht="13">
      <c r="B409" s="524"/>
    </row>
    <row r="410" spans="2:2" ht="13">
      <c r="B410" s="524"/>
    </row>
    <row r="411" spans="2:2" ht="13">
      <c r="B411" s="524"/>
    </row>
    <row r="412" spans="2:2" ht="13">
      <c r="B412" s="524"/>
    </row>
    <row r="413" spans="2:2" ht="13">
      <c r="B413" s="524"/>
    </row>
    <row r="414" spans="2:2" ht="13">
      <c r="B414" s="524"/>
    </row>
    <row r="415" spans="2:2" ht="13">
      <c r="B415" s="524"/>
    </row>
    <row r="416" spans="2:2" ht="13">
      <c r="B416" s="524"/>
    </row>
    <row r="417" spans="2:2" ht="13">
      <c r="B417" s="524"/>
    </row>
    <row r="418" spans="2:2" ht="13">
      <c r="B418" s="524"/>
    </row>
    <row r="419" spans="2:2" ht="13">
      <c r="B419" s="524"/>
    </row>
    <row r="420" spans="2:2" ht="13">
      <c r="B420" s="524"/>
    </row>
    <row r="421" spans="2:2" ht="13">
      <c r="B421" s="524"/>
    </row>
    <row r="422" spans="2:2" ht="13">
      <c r="B422" s="524"/>
    </row>
    <row r="423" spans="2:2" ht="13">
      <c r="B423" s="524"/>
    </row>
    <row r="424" spans="2:2" ht="13">
      <c r="B424" s="524"/>
    </row>
    <row r="425" spans="2:2" ht="13">
      <c r="B425" s="524"/>
    </row>
    <row r="426" spans="2:2" ht="13">
      <c r="B426" s="524"/>
    </row>
    <row r="427" spans="2:2" ht="13">
      <c r="B427" s="524"/>
    </row>
    <row r="428" spans="2:2" ht="13">
      <c r="B428" s="524"/>
    </row>
    <row r="429" spans="2:2" ht="13">
      <c r="B429" s="524"/>
    </row>
  </sheetData>
  <phoneticPr fontId="0" type="noConversion"/>
  <pageMargins left="0.75" right="0.75" top="1" bottom="1" header="0.5" footer="0.5"/>
  <pageSetup paperSize="9" orientation="portrait" horizontalDpi="12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12">
    <tabColor rgb="FFFFC000"/>
  </sheetPr>
  <dimension ref="A1:BF331"/>
  <sheetViews>
    <sheetView tabSelected="1" zoomScale="85" zoomScaleNormal="85" zoomScaleSheetLayoutView="96" workbookViewId="0">
      <pane xSplit="2" ySplit="7" topLeftCell="AL47" activePane="bottomRight" state="frozenSplit"/>
      <selection pane="topRight" activeCell="B1" sqref="B1"/>
      <selection pane="bottomLeft" activeCell="A6" sqref="A6"/>
      <selection pane="bottomRight" activeCell="D3" sqref="D3"/>
    </sheetView>
  </sheetViews>
  <sheetFormatPr defaultColWidth="9.26953125" defaultRowHeight="15" customHeight="1"/>
  <cols>
    <col min="1" max="1" width="30.54296875" style="12" bestFit="1" customWidth="1"/>
    <col min="2" max="2" width="41.7265625" style="12" bestFit="1" customWidth="1"/>
    <col min="3" max="3" width="11.453125" style="12" bestFit="1" customWidth="1"/>
    <col min="4" max="4" width="15.81640625" style="12" bestFit="1" customWidth="1"/>
    <col min="5" max="5" width="13.1796875" style="12" bestFit="1" customWidth="1"/>
    <col min="6" max="6" width="8.81640625" style="543" customWidth="1"/>
    <col min="7" max="8" width="15.81640625" style="12" bestFit="1" customWidth="1"/>
    <col min="9" max="9" width="11.7265625" style="12" customWidth="1"/>
    <col min="10" max="10" width="12" style="12" bestFit="1" customWidth="1"/>
    <col min="11" max="15" width="16.81640625" style="12" bestFit="1" customWidth="1"/>
    <col min="16" max="16" width="14.81640625" style="12" bestFit="1" customWidth="1"/>
    <col min="17" max="17" width="17.453125" style="12" bestFit="1" customWidth="1"/>
    <col min="18" max="27" width="16.1796875" style="541" bestFit="1" customWidth="1"/>
    <col min="28" max="29" width="21" style="541" customWidth="1"/>
    <col min="30" max="30" width="12.453125" style="541" bestFit="1" customWidth="1"/>
    <col min="31" max="38" width="12.453125" style="12" bestFit="1" customWidth="1"/>
    <col min="39" max="40" width="9.26953125" style="12"/>
    <col min="41" max="50" width="25" style="541" bestFit="1" customWidth="1"/>
    <col min="51" max="55" width="25.453125" style="541" bestFit="1" customWidth="1"/>
    <col min="56" max="57" width="9.26953125" style="12"/>
    <col min="58" max="58" width="16.81640625" style="12" customWidth="1"/>
    <col min="59" max="16384" width="9.26953125" style="12"/>
  </cols>
  <sheetData>
    <row r="1" spans="1:58" ht="15" customHeight="1">
      <c r="A1" s="12" t="s">
        <v>12</v>
      </c>
      <c r="F1" s="537"/>
      <c r="H1" s="538"/>
      <c r="I1" s="538"/>
      <c r="J1" s="538"/>
      <c r="K1" s="538" t="s">
        <v>65</v>
      </c>
      <c r="L1" s="538" t="s">
        <v>66</v>
      </c>
      <c r="M1" s="538" t="s">
        <v>67</v>
      </c>
      <c r="N1" s="538" t="s">
        <v>68</v>
      </c>
      <c r="O1" s="538" t="s">
        <v>69</v>
      </c>
      <c r="P1" s="538"/>
      <c r="Q1" s="538"/>
      <c r="R1" s="539"/>
      <c r="S1" s="539"/>
      <c r="T1" s="539"/>
      <c r="U1" s="539"/>
      <c r="V1" s="539"/>
      <c r="W1" s="539"/>
      <c r="X1" s="539"/>
      <c r="Y1" s="539"/>
      <c r="Z1" s="539"/>
      <c r="AA1" s="539"/>
      <c r="AB1" s="539"/>
      <c r="AC1" s="539"/>
      <c r="AD1" s="539"/>
      <c r="AO1" s="539" t="s">
        <v>65</v>
      </c>
      <c r="AP1" s="539" t="s">
        <v>66</v>
      </c>
      <c r="AQ1" s="539" t="s">
        <v>67</v>
      </c>
      <c r="AR1" s="539" t="s">
        <v>68</v>
      </c>
      <c r="AS1" s="539" t="s">
        <v>69</v>
      </c>
      <c r="AT1" s="539" t="s">
        <v>65</v>
      </c>
      <c r="AU1" s="539" t="s">
        <v>66</v>
      </c>
      <c r="AV1" s="539" t="s">
        <v>67</v>
      </c>
      <c r="AW1" s="539" t="s">
        <v>68</v>
      </c>
      <c r="AX1" s="539" t="s">
        <v>69</v>
      </c>
      <c r="AY1" s="539" t="s">
        <v>65</v>
      </c>
      <c r="AZ1" s="539" t="s">
        <v>66</v>
      </c>
      <c r="BA1" s="539" t="s">
        <v>67</v>
      </c>
      <c r="BB1" s="539" t="s">
        <v>68</v>
      </c>
      <c r="BC1" s="539" t="s">
        <v>69</v>
      </c>
      <c r="BF1" s="1" t="s">
        <v>70</v>
      </c>
    </row>
    <row r="2" spans="1:58" ht="15" customHeight="1">
      <c r="F2" s="537"/>
      <c r="H2" s="538"/>
      <c r="I2" s="538"/>
      <c r="J2" s="538"/>
      <c r="K2" s="538"/>
      <c r="L2" s="538"/>
      <c r="M2" s="538"/>
      <c r="N2" s="538"/>
      <c r="O2" s="538"/>
      <c r="P2" s="538"/>
      <c r="Q2" s="538"/>
      <c r="R2" s="539"/>
      <c r="S2" s="539"/>
      <c r="T2" s="539"/>
      <c r="U2" s="539"/>
      <c r="V2" s="539"/>
      <c r="W2" s="539"/>
      <c r="X2" s="539"/>
      <c r="Y2" s="539"/>
      <c r="Z2" s="539"/>
      <c r="AO2" s="539"/>
      <c r="AP2" s="539"/>
      <c r="AQ2" s="539"/>
      <c r="AR2" s="539"/>
      <c r="AS2" s="539"/>
      <c r="AT2" s="539"/>
      <c r="AU2" s="539"/>
      <c r="AV2" s="539"/>
      <c r="AW2" s="539"/>
      <c r="AX2" s="539"/>
      <c r="AY2" s="539"/>
      <c r="AZ2" s="539"/>
      <c r="BA2" s="539"/>
      <c r="BB2" s="539"/>
      <c r="BC2" s="539"/>
    </row>
    <row r="3" spans="1:58" ht="15" customHeight="1">
      <c r="F3" s="537"/>
      <c r="H3" s="538"/>
      <c r="I3" s="538"/>
      <c r="J3" s="538"/>
      <c r="K3" s="538"/>
      <c r="L3" s="538"/>
      <c r="M3" s="538"/>
      <c r="N3" s="538"/>
      <c r="O3" s="538"/>
      <c r="P3" s="538"/>
      <c r="Q3" s="538"/>
      <c r="R3" s="539"/>
      <c r="S3" s="539"/>
      <c r="T3" s="539"/>
      <c r="U3" s="539"/>
      <c r="V3" s="539"/>
      <c r="W3" s="539"/>
      <c r="X3" s="539"/>
      <c r="Y3" s="539"/>
      <c r="Z3" s="539"/>
      <c r="AO3" s="539"/>
      <c r="AP3" s="539"/>
      <c r="AQ3" s="539"/>
      <c r="AR3" s="539"/>
      <c r="AS3" s="539"/>
      <c r="AT3" s="539"/>
      <c r="AU3" s="539"/>
      <c r="AV3" s="539"/>
      <c r="AW3" s="539"/>
      <c r="AX3" s="539"/>
      <c r="AY3" s="539"/>
      <c r="AZ3" s="539"/>
      <c r="BA3" s="539"/>
      <c r="BB3" s="539"/>
      <c r="BC3" s="539"/>
    </row>
    <row r="4" spans="1:58" ht="15" customHeight="1">
      <c r="F4" s="537"/>
      <c r="H4" s="538"/>
      <c r="I4" s="538"/>
      <c r="J4" s="538"/>
      <c r="K4" s="538"/>
      <c r="L4" s="538"/>
      <c r="M4" s="538"/>
      <c r="N4" s="538"/>
      <c r="O4" s="538"/>
      <c r="P4" s="538"/>
      <c r="Q4" s="538"/>
      <c r="R4" s="539"/>
      <c r="S4" s="539"/>
      <c r="T4" s="539"/>
      <c r="U4" s="539"/>
      <c r="V4" s="539"/>
      <c r="W4" s="539"/>
      <c r="X4" s="539"/>
      <c r="Y4" s="539"/>
      <c r="Z4" s="539"/>
      <c r="AO4" s="539"/>
      <c r="AP4" s="539"/>
      <c r="AQ4" s="539"/>
      <c r="AR4" s="539"/>
      <c r="AS4" s="539"/>
      <c r="AT4" s="539"/>
      <c r="AU4" s="539"/>
      <c r="AV4" s="539"/>
      <c r="AW4" s="539"/>
      <c r="AX4" s="539"/>
      <c r="AY4" s="539"/>
      <c r="AZ4" s="539"/>
      <c r="BA4" s="539"/>
      <c r="BB4" s="539"/>
      <c r="BC4" s="539"/>
    </row>
    <row r="5" spans="1:58" ht="15" customHeight="1">
      <c r="F5" s="537"/>
      <c r="H5" s="538"/>
      <c r="I5" s="538"/>
      <c r="J5" s="538"/>
      <c r="K5" s="538"/>
      <c r="L5" s="538"/>
      <c r="M5" s="538"/>
      <c r="N5" s="538"/>
      <c r="O5" s="538"/>
      <c r="P5" s="538"/>
      <c r="Q5" s="538"/>
      <c r="R5" s="539"/>
      <c r="S5" s="539"/>
      <c r="T5" s="539"/>
      <c r="U5" s="539"/>
      <c r="V5" s="539"/>
      <c r="W5" s="539"/>
      <c r="X5" s="539"/>
      <c r="Y5" s="539"/>
      <c r="Z5" s="539"/>
      <c r="AO5" s="539"/>
      <c r="AP5" s="539"/>
      <c r="AQ5" s="539"/>
      <c r="AR5" s="539"/>
      <c r="AS5" s="539"/>
      <c r="AT5" s="539"/>
      <c r="AU5" s="539"/>
      <c r="AV5" s="539"/>
      <c r="AW5" s="539"/>
      <c r="AX5" s="539"/>
      <c r="AY5" s="539"/>
      <c r="AZ5" s="539"/>
      <c r="BA5" s="539"/>
      <c r="BB5" s="539"/>
      <c r="BC5" s="539"/>
    </row>
    <row r="6" spans="1:58" ht="15" customHeight="1">
      <c r="E6" s="536" t="s">
        <v>71</v>
      </c>
      <c r="F6" s="537"/>
      <c r="H6" s="538"/>
      <c r="I6" s="538"/>
      <c r="J6" s="538"/>
      <c r="K6" s="538"/>
      <c r="L6" s="538"/>
      <c r="M6" s="538"/>
      <c r="N6" s="538"/>
      <c r="O6" s="538"/>
      <c r="P6" s="538"/>
      <c r="Q6" s="538"/>
      <c r="R6" s="539"/>
      <c r="S6" s="539"/>
      <c r="T6" s="539"/>
      <c r="U6" s="539"/>
      <c r="V6" s="539"/>
      <c r="W6" s="539"/>
      <c r="X6" s="539"/>
      <c r="Y6" s="539"/>
      <c r="Z6" s="539"/>
      <c r="AO6" s="539"/>
      <c r="AP6" s="539"/>
      <c r="AQ6" s="539"/>
      <c r="AR6" s="539"/>
      <c r="AS6" s="539"/>
      <c r="AT6" s="539"/>
      <c r="AU6" s="539"/>
      <c r="AV6" s="539"/>
      <c r="AW6" s="539"/>
      <c r="AX6" s="539"/>
      <c r="AY6" s="539"/>
      <c r="AZ6" s="539"/>
      <c r="BA6" s="539"/>
      <c r="BB6" s="539"/>
      <c r="BC6" s="539"/>
    </row>
    <row r="7" spans="1:58" ht="15" customHeight="1">
      <c r="A7" s="528" t="s">
        <v>7</v>
      </c>
      <c r="B7" s="528" t="s">
        <v>72</v>
      </c>
      <c r="C7" s="528" t="s">
        <v>73</v>
      </c>
      <c r="D7" s="528" t="s">
        <v>74</v>
      </c>
      <c r="E7" s="528" t="s">
        <v>75</v>
      </c>
      <c r="F7" s="528" t="s">
        <v>76</v>
      </c>
      <c r="G7" s="528" t="s">
        <v>77</v>
      </c>
      <c r="H7" s="528" t="s">
        <v>78</v>
      </c>
      <c r="I7" s="528" t="s">
        <v>79</v>
      </c>
      <c r="J7" s="528" t="s">
        <v>80</v>
      </c>
      <c r="K7" s="528" t="s">
        <v>81</v>
      </c>
      <c r="L7" s="528" t="s">
        <v>82</v>
      </c>
      <c r="M7" s="528" t="s">
        <v>83</v>
      </c>
      <c r="N7" s="528" t="s">
        <v>84</v>
      </c>
      <c r="O7" s="528" t="s">
        <v>85</v>
      </c>
      <c r="P7" s="528" t="s">
        <v>86</v>
      </c>
      <c r="Q7" s="528" t="s">
        <v>87</v>
      </c>
      <c r="R7" s="528" t="s">
        <v>88</v>
      </c>
      <c r="S7" s="528" t="s">
        <v>89</v>
      </c>
      <c r="T7" s="528" t="s">
        <v>90</v>
      </c>
      <c r="U7" s="528" t="s">
        <v>91</v>
      </c>
      <c r="V7" s="528" t="s">
        <v>92</v>
      </c>
      <c r="W7" s="528" t="s">
        <v>93</v>
      </c>
      <c r="X7" s="528" t="s">
        <v>94</v>
      </c>
      <c r="Y7" s="528" t="s">
        <v>95</v>
      </c>
      <c r="Z7" s="528" t="s">
        <v>96</v>
      </c>
      <c r="AA7" s="528" t="s">
        <v>97</v>
      </c>
      <c r="AB7" s="611"/>
      <c r="AC7" s="611"/>
      <c r="AD7" s="544" t="s">
        <v>98</v>
      </c>
      <c r="AE7" s="544" t="s">
        <v>99</v>
      </c>
      <c r="AF7" s="544" t="s">
        <v>100</v>
      </c>
      <c r="AG7" s="544" t="s">
        <v>101</v>
      </c>
      <c r="AH7" s="544" t="s">
        <v>102</v>
      </c>
      <c r="AI7" s="544" t="s">
        <v>103</v>
      </c>
      <c r="AJ7" s="544" t="s">
        <v>104</v>
      </c>
      <c r="AK7" s="544" t="s">
        <v>105</v>
      </c>
      <c r="AL7" s="544" t="s">
        <v>106</v>
      </c>
      <c r="AO7" s="528" t="s">
        <v>107</v>
      </c>
      <c r="AP7" s="528" t="s">
        <v>108</v>
      </c>
      <c r="AQ7" s="528" t="s">
        <v>109</v>
      </c>
      <c r="AR7" s="528" t="s">
        <v>110</v>
      </c>
      <c r="AS7" s="528" t="s">
        <v>111</v>
      </c>
      <c r="AT7" s="528" t="s">
        <v>112</v>
      </c>
      <c r="AU7" s="528" t="s">
        <v>113</v>
      </c>
      <c r="AV7" s="528" t="s">
        <v>114</v>
      </c>
      <c r="AW7" s="528" t="s">
        <v>115</v>
      </c>
      <c r="AX7" s="528" t="s">
        <v>116</v>
      </c>
      <c r="AY7" s="528" t="s">
        <v>117</v>
      </c>
      <c r="AZ7" s="528" t="s">
        <v>118</v>
      </c>
      <c r="BA7" s="528" t="s">
        <v>119</v>
      </c>
      <c r="BB7" s="528" t="s">
        <v>120</v>
      </c>
      <c r="BC7" s="528" t="s">
        <v>121</v>
      </c>
      <c r="BF7" s="528" t="s">
        <v>14</v>
      </c>
    </row>
    <row r="8" spans="1:58" ht="15" customHeight="1">
      <c r="A8" s="533" t="s">
        <v>29</v>
      </c>
      <c r="B8" s="532"/>
      <c r="C8" s="532"/>
      <c r="D8" s="533"/>
      <c r="E8" s="533"/>
      <c r="F8" s="554"/>
      <c r="G8" s="532"/>
      <c r="H8" s="555"/>
      <c r="I8" s="556"/>
      <c r="J8" s="555"/>
      <c r="K8" s="555"/>
      <c r="L8" s="555"/>
      <c r="M8" s="555"/>
      <c r="N8" s="555"/>
      <c r="O8" s="555"/>
      <c r="P8" s="555"/>
      <c r="Q8" s="556"/>
      <c r="R8" s="557"/>
      <c r="S8" s="557"/>
      <c r="T8" s="557"/>
      <c r="U8" s="557"/>
      <c r="V8" s="557"/>
      <c r="W8" s="557"/>
      <c r="X8" s="557"/>
      <c r="Y8" s="557"/>
      <c r="Z8" s="557"/>
      <c r="AA8" s="558"/>
      <c r="AD8" s="558"/>
      <c r="AE8" s="532"/>
      <c r="AF8" s="532"/>
      <c r="AG8" s="532"/>
      <c r="AH8" s="532"/>
      <c r="AI8" s="532"/>
      <c r="AJ8" s="532"/>
      <c r="AK8" s="532"/>
      <c r="AL8" s="532"/>
      <c r="AO8" s="557"/>
      <c r="AP8" s="557"/>
      <c r="AQ8" s="557"/>
      <c r="AR8" s="557"/>
      <c r="AS8" s="557"/>
      <c r="AT8" s="557"/>
      <c r="AU8" s="557"/>
      <c r="AV8" s="557"/>
      <c r="AW8" s="557"/>
      <c r="AX8" s="557"/>
      <c r="AY8" s="557"/>
      <c r="AZ8" s="557"/>
      <c r="BA8" s="557"/>
      <c r="BB8" s="557"/>
      <c r="BC8" s="557"/>
      <c r="BF8" s="533" t="s">
        <v>29</v>
      </c>
    </row>
    <row r="9" spans="1:58" ht="15" customHeight="1">
      <c r="A9" s="533" t="s">
        <v>30</v>
      </c>
      <c r="B9" s="532"/>
      <c r="C9" s="532"/>
      <c r="D9" s="533"/>
      <c r="E9" s="533"/>
      <c r="F9" s="554"/>
      <c r="G9" s="532"/>
      <c r="H9" s="555"/>
      <c r="I9" s="556"/>
      <c r="J9" s="555"/>
      <c r="K9" s="555"/>
      <c r="L9" s="555"/>
      <c r="M9" s="555"/>
      <c r="N9" s="555"/>
      <c r="O9" s="555"/>
      <c r="P9" s="555"/>
      <c r="Q9" s="556"/>
      <c r="R9" s="557"/>
      <c r="S9" s="557"/>
      <c r="T9" s="557"/>
      <c r="U9" s="557"/>
      <c r="V9" s="557"/>
      <c r="W9" s="557"/>
      <c r="X9" s="557"/>
      <c r="Y9" s="557"/>
      <c r="Z9" s="557"/>
      <c r="AA9" s="558"/>
      <c r="AD9" s="558"/>
      <c r="AE9" s="532"/>
      <c r="AF9" s="532"/>
      <c r="AG9" s="532"/>
      <c r="AH9" s="532"/>
      <c r="AI9" s="532"/>
      <c r="AJ9" s="532"/>
      <c r="AK9" s="532"/>
      <c r="AL9" s="532"/>
      <c r="AO9" s="557"/>
      <c r="AP9" s="557"/>
      <c r="AQ9" s="557"/>
      <c r="AR9" s="557"/>
      <c r="AS9" s="557"/>
      <c r="AT9" s="557"/>
      <c r="AU9" s="557"/>
      <c r="AV9" s="557"/>
      <c r="AW9" s="557"/>
      <c r="AX9" s="557"/>
      <c r="AY9" s="557"/>
      <c r="AZ9" s="557"/>
      <c r="BA9" s="557"/>
      <c r="BB9" s="557"/>
      <c r="BC9" s="557"/>
      <c r="BF9" s="533" t="s">
        <v>30</v>
      </c>
    </row>
    <row r="10" spans="1:58" ht="15" customHeight="1">
      <c r="A10" s="531" t="str">
        <f>'EIA23 EQ Cost'!B8</f>
        <v>RSHERDBS10</v>
      </c>
      <c r="B10" s="531" t="str">
        <f>'EIA23 EQ Cost'!C8</f>
        <v>Electric Radiant Base.RSH.ELC.10</v>
      </c>
      <c r="C10" s="530" t="s">
        <v>32</v>
      </c>
      <c r="D10" s="531" t="s">
        <v>122</v>
      </c>
      <c r="E10" s="531" t="s">
        <v>123</v>
      </c>
      <c r="F10" s="547">
        <f>'EIA23 EQ Cost'!G8</f>
        <v>2011</v>
      </c>
      <c r="G10" s="587">
        <f>'EIA23 EQ Cost'!H8</f>
        <v>22.5</v>
      </c>
      <c r="H10" s="548">
        <f>'EIA23 EQ Cost'!J8</f>
        <v>3.74</v>
      </c>
      <c r="I10" s="548">
        <f>'EIA23 EQ Cost'!K8</f>
        <v>1</v>
      </c>
      <c r="J10" s="531">
        <v>1</v>
      </c>
      <c r="K10" s="531">
        <v>0.16</v>
      </c>
      <c r="L10" s="531">
        <v>0.16</v>
      </c>
      <c r="M10" s="531">
        <v>0.16</v>
      </c>
      <c r="N10" s="531">
        <v>0.16</v>
      </c>
      <c r="O10" s="531">
        <v>0.16</v>
      </c>
      <c r="P10" s="531"/>
      <c r="Q10" s="531">
        <v>0.18</v>
      </c>
      <c r="R10" s="546">
        <v>0</v>
      </c>
      <c r="S10" s="546">
        <v>0</v>
      </c>
      <c r="T10" s="549" t="e">
        <f>SUM(AT10:AX10)*1.12</f>
        <v>#REF!</v>
      </c>
      <c r="U10" s="549" t="e">
        <f>T10*1.12</f>
        <v>#REF!</v>
      </c>
      <c r="V10" s="549" t="e">
        <f t="shared" ref="V10:AA10" si="0">U10*1.12</f>
        <v>#REF!</v>
      </c>
      <c r="W10" s="549" t="e">
        <f t="shared" si="0"/>
        <v>#REF!</v>
      </c>
      <c r="X10" s="549" t="e">
        <f t="shared" si="0"/>
        <v>#REF!</v>
      </c>
      <c r="Y10" s="549" t="e">
        <f t="shared" si="0"/>
        <v>#REF!</v>
      </c>
      <c r="Z10" s="549" t="e">
        <f t="shared" si="0"/>
        <v>#REF!</v>
      </c>
      <c r="AA10" s="549" t="e">
        <f t="shared" si="0"/>
        <v>#REF!</v>
      </c>
      <c r="AB10" s="612"/>
      <c r="AC10" s="612"/>
      <c r="AD10" s="549"/>
      <c r="AE10" s="531">
        <v>1.1000000000000001</v>
      </c>
      <c r="AF10" s="531">
        <f>AE10</f>
        <v>1.1000000000000001</v>
      </c>
      <c r="AG10" s="531">
        <f t="shared" ref="AG10:AL10" si="1">AF10</f>
        <v>1.1000000000000001</v>
      </c>
      <c r="AH10" s="531">
        <f t="shared" si="1"/>
        <v>1.1000000000000001</v>
      </c>
      <c r="AI10" s="531">
        <f t="shared" si="1"/>
        <v>1.1000000000000001</v>
      </c>
      <c r="AJ10" s="531">
        <f t="shared" si="1"/>
        <v>1.1000000000000001</v>
      </c>
      <c r="AK10" s="531">
        <f t="shared" si="1"/>
        <v>1.1000000000000001</v>
      </c>
      <c r="AL10" s="531">
        <f t="shared" si="1"/>
        <v>1.1000000000000001</v>
      </c>
      <c r="AO10" s="549" t="e">
        <f>Resid!V7</f>
        <v>#REF!</v>
      </c>
      <c r="AP10" s="549" t="e">
        <f>Resid!W7</f>
        <v>#REF!</v>
      </c>
      <c r="AQ10" s="549" t="e">
        <f>Resid!X7</f>
        <v>#REF!</v>
      </c>
      <c r="AR10" s="549" t="e">
        <f>Resid!Y7</f>
        <v>#REF!</v>
      </c>
      <c r="AS10" s="549" t="e">
        <f>Resid!Z7</f>
        <v>#REF!</v>
      </c>
      <c r="AT10" s="549" t="e">
        <f>AO10*15/20</f>
        <v>#REF!</v>
      </c>
      <c r="AU10" s="549" t="e">
        <f t="shared" ref="AU10:AX10" si="2">AP10*15/20</f>
        <v>#REF!</v>
      </c>
      <c r="AV10" s="549" t="e">
        <f t="shared" si="2"/>
        <v>#REF!</v>
      </c>
      <c r="AW10" s="549" t="e">
        <f t="shared" si="2"/>
        <v>#REF!</v>
      </c>
      <c r="AX10" s="549" t="e">
        <f t="shared" si="2"/>
        <v>#REF!</v>
      </c>
      <c r="AY10" s="549"/>
      <c r="AZ10" s="549"/>
      <c r="BA10" s="549"/>
      <c r="BB10" s="549"/>
      <c r="BC10" s="549"/>
      <c r="BF10" s="531" t="s">
        <v>37</v>
      </c>
    </row>
    <row r="11" spans="1:58" ht="15" customHeight="1">
      <c r="A11" s="531" t="str">
        <f>'EIA23 EQ Cost'!B9</f>
        <v>RSHERUV115</v>
      </c>
      <c r="B11" s="531" t="str">
        <f>'EIA23 EQ Cost'!C9</f>
        <v>Electric Resistance Unit Heater Ver1.RSH.ELC.15</v>
      </c>
      <c r="C11" s="530" t="s">
        <v>32</v>
      </c>
      <c r="D11" s="531" t="s">
        <v>122</v>
      </c>
      <c r="E11" s="531" t="s">
        <v>123</v>
      </c>
      <c r="F11" s="547">
        <f>'EIA23 EQ Cost'!G9</f>
        <v>2015</v>
      </c>
      <c r="G11" s="587">
        <f>'EIA23 EQ Cost'!H9</f>
        <v>22.5</v>
      </c>
      <c r="H11" s="548">
        <f>'EIA23 EQ Cost'!J9</f>
        <v>3.4718966403580911</v>
      </c>
      <c r="I11" s="548">
        <f>'EIA23 EQ Cost'!K9</f>
        <v>1</v>
      </c>
      <c r="J11" s="531">
        <v>1</v>
      </c>
      <c r="K11" s="531">
        <v>0.16</v>
      </c>
      <c r="L11" s="531">
        <v>0.16</v>
      </c>
      <c r="M11" s="531">
        <v>0.16</v>
      </c>
      <c r="N11" s="531">
        <v>0.16</v>
      </c>
      <c r="O11" s="531">
        <v>0.16</v>
      </c>
      <c r="P11" s="531"/>
      <c r="Q11" s="531">
        <v>0.18</v>
      </c>
      <c r="R11" s="546"/>
      <c r="S11" s="546"/>
      <c r="T11" s="549"/>
      <c r="U11" s="549"/>
      <c r="V11" s="549"/>
      <c r="W11" s="549"/>
      <c r="X11" s="549"/>
      <c r="Y11" s="549"/>
      <c r="Z11" s="549"/>
      <c r="AA11" s="549"/>
      <c r="AB11" s="612"/>
      <c r="AC11" s="612"/>
      <c r="AD11" s="549"/>
      <c r="AE11" s="531"/>
      <c r="AF11" s="531"/>
      <c r="AG11" s="531"/>
      <c r="AH11" s="531"/>
      <c r="AI11" s="531"/>
      <c r="AJ11" s="531"/>
      <c r="AK11" s="531"/>
      <c r="AL11" s="531"/>
      <c r="AO11" s="549"/>
      <c r="AP11" s="549"/>
      <c r="AQ11" s="549"/>
      <c r="AR11" s="549"/>
      <c r="AS11" s="549"/>
      <c r="AT11" s="549"/>
      <c r="AU11" s="549"/>
      <c r="AV11" s="549"/>
      <c r="AW11" s="549"/>
      <c r="AX11" s="549"/>
      <c r="AY11" s="549"/>
      <c r="AZ11" s="549"/>
      <c r="BA11" s="549"/>
      <c r="BB11" s="549"/>
      <c r="BC11" s="549"/>
      <c r="BF11" s="531" t="s">
        <v>37</v>
      </c>
    </row>
    <row r="12" spans="1:58" ht="15" customHeight="1">
      <c r="A12" s="531" t="str">
        <f>'EIA23 EQ Cost'!B10</f>
        <v>RSHERUV120</v>
      </c>
      <c r="B12" s="531" t="str">
        <f>'EIA23 EQ Cost'!C10</f>
        <v>Electric Resistance Unit Heater Ver1.RSH.ELC.20</v>
      </c>
      <c r="C12" s="530" t="s">
        <v>32</v>
      </c>
      <c r="D12" s="531" t="s">
        <v>122</v>
      </c>
      <c r="E12" s="531" t="s">
        <v>123</v>
      </c>
      <c r="F12" s="547">
        <f>'EIA23 EQ Cost'!G10</f>
        <v>2020</v>
      </c>
      <c r="G12" s="587">
        <f>'EIA23 EQ Cost'!H10</f>
        <v>22.5</v>
      </c>
      <c r="H12" s="548">
        <f>'EIA23 EQ Cost'!J10</f>
        <v>3.4718966403580911</v>
      </c>
      <c r="I12" s="548">
        <f>'EIA23 EQ Cost'!K10</f>
        <v>1</v>
      </c>
      <c r="J12" s="531">
        <v>1</v>
      </c>
      <c r="K12" s="531">
        <v>0.16</v>
      </c>
      <c r="L12" s="531">
        <v>0.16</v>
      </c>
      <c r="M12" s="531">
        <v>0.16</v>
      </c>
      <c r="N12" s="531">
        <v>0.16</v>
      </c>
      <c r="O12" s="531">
        <v>0.16</v>
      </c>
      <c r="P12" s="531"/>
      <c r="Q12" s="531">
        <v>0.18</v>
      </c>
      <c r="R12" s="546"/>
      <c r="S12" s="546"/>
      <c r="T12" s="549"/>
      <c r="U12" s="549"/>
      <c r="V12" s="549"/>
      <c r="W12" s="549"/>
      <c r="X12" s="549"/>
      <c r="Y12" s="549"/>
      <c r="Z12" s="549"/>
      <c r="AA12" s="549"/>
      <c r="AB12" s="612"/>
      <c r="AC12" s="612"/>
      <c r="AD12" s="549"/>
      <c r="AE12" s="531"/>
      <c r="AF12" s="531"/>
      <c r="AG12" s="531"/>
      <c r="AH12" s="531"/>
      <c r="AI12" s="531"/>
      <c r="AJ12" s="531"/>
      <c r="AK12" s="531"/>
      <c r="AL12" s="531"/>
      <c r="AO12" s="549"/>
      <c r="AP12" s="549"/>
      <c r="AQ12" s="549"/>
      <c r="AR12" s="549"/>
      <c r="AS12" s="549"/>
      <c r="AT12" s="549"/>
      <c r="AU12" s="549"/>
      <c r="AV12" s="549"/>
      <c r="AW12" s="549"/>
      <c r="AX12" s="549"/>
      <c r="AY12" s="549"/>
      <c r="AZ12" s="549"/>
      <c r="BA12" s="549"/>
      <c r="BB12" s="549"/>
      <c r="BC12" s="549"/>
      <c r="BF12" s="531" t="s">
        <v>37</v>
      </c>
    </row>
    <row r="13" spans="1:58" ht="15" customHeight="1">
      <c r="A13" s="531" t="str">
        <f>'EIA23 EQ Cost'!B11</f>
        <v>RSHERUV122</v>
      </c>
      <c r="B13" s="531" t="str">
        <f>'EIA23 EQ Cost'!C11</f>
        <v>Electric Resistance Unit Heater Ver1.RSH.ELC.22</v>
      </c>
      <c r="C13" s="530" t="s">
        <v>32</v>
      </c>
      <c r="D13" s="531" t="s">
        <v>122</v>
      </c>
      <c r="E13" s="531" t="s">
        <v>123</v>
      </c>
      <c r="F13" s="547">
        <f>'EIA23 EQ Cost'!G11</f>
        <v>2022</v>
      </c>
      <c r="G13" s="587">
        <f>'EIA23 EQ Cost'!H11</f>
        <v>22.5</v>
      </c>
      <c r="H13" s="548">
        <f>'EIA23 EQ Cost'!J11</f>
        <v>8.0098408098373959</v>
      </c>
      <c r="I13" s="548">
        <f>'EIA23 EQ Cost'!K11</f>
        <v>1</v>
      </c>
      <c r="J13" s="531">
        <v>1</v>
      </c>
      <c r="K13" s="531">
        <v>0.16</v>
      </c>
      <c r="L13" s="531">
        <v>0.16</v>
      </c>
      <c r="M13" s="531">
        <v>0.16</v>
      </c>
      <c r="N13" s="531">
        <v>0.16</v>
      </c>
      <c r="O13" s="531">
        <v>0.16</v>
      </c>
      <c r="P13" s="531"/>
      <c r="Q13" s="531">
        <v>0.18</v>
      </c>
      <c r="R13" s="546"/>
      <c r="S13" s="546"/>
      <c r="T13" s="549"/>
      <c r="U13" s="549"/>
      <c r="V13" s="549"/>
      <c r="W13" s="549"/>
      <c r="X13" s="549"/>
      <c r="Y13" s="549"/>
      <c r="Z13" s="549"/>
      <c r="AA13" s="549"/>
      <c r="AB13" s="612"/>
      <c r="AC13" s="612"/>
      <c r="AD13" s="549"/>
      <c r="AE13" s="531"/>
      <c r="AF13" s="531"/>
      <c r="AG13" s="531"/>
      <c r="AH13" s="531"/>
      <c r="AI13" s="531"/>
      <c r="AJ13" s="531"/>
      <c r="AK13" s="531"/>
      <c r="AL13" s="531"/>
      <c r="AO13" s="549"/>
      <c r="AP13" s="549"/>
      <c r="AQ13" s="549"/>
      <c r="AR13" s="549"/>
      <c r="AS13" s="549"/>
      <c r="AT13" s="549"/>
      <c r="AU13" s="549"/>
      <c r="AV13" s="549"/>
      <c r="AW13" s="549"/>
      <c r="AX13" s="549"/>
      <c r="AY13" s="549"/>
      <c r="AZ13" s="549"/>
      <c r="BA13" s="549"/>
      <c r="BB13" s="549"/>
      <c r="BC13" s="549"/>
      <c r="BF13" s="531" t="s">
        <v>37</v>
      </c>
    </row>
    <row r="14" spans="1:58" s="1" customFormat="1" ht="15" customHeight="1">
      <c r="A14" s="533" t="str">
        <f>'EIA23 EQ Cost'!B12</f>
        <v>*Electric Furnaces</v>
      </c>
      <c r="B14" s="533"/>
      <c r="C14" s="533"/>
      <c r="D14" s="533"/>
      <c r="E14" s="533"/>
      <c r="F14" s="599"/>
      <c r="G14" s="600"/>
      <c r="H14" s="601"/>
      <c r="I14" s="601"/>
      <c r="J14" s="556"/>
      <c r="K14" s="556"/>
      <c r="L14" s="556"/>
      <c r="M14" s="556"/>
      <c r="N14" s="556"/>
      <c r="O14" s="556"/>
      <c r="P14" s="556"/>
      <c r="Q14" s="556"/>
      <c r="R14" s="604"/>
      <c r="S14" s="604"/>
      <c r="T14" s="604"/>
      <c r="U14" s="604"/>
      <c r="V14" s="604"/>
      <c r="W14" s="604"/>
      <c r="X14" s="604"/>
      <c r="Y14" s="604"/>
      <c r="Z14" s="604"/>
      <c r="AA14" s="602"/>
      <c r="AB14" s="613"/>
      <c r="AC14" s="613"/>
      <c r="AD14" s="602"/>
      <c r="AE14" s="533"/>
      <c r="AF14" s="533"/>
      <c r="AG14" s="533"/>
      <c r="AH14" s="533"/>
      <c r="AI14" s="533"/>
      <c r="AJ14" s="533"/>
      <c r="AK14" s="533"/>
      <c r="AL14" s="533"/>
      <c r="AO14" s="604"/>
      <c r="AP14" s="604"/>
      <c r="AQ14" s="604"/>
      <c r="AR14" s="604"/>
      <c r="AS14" s="604"/>
      <c r="AT14" s="604"/>
      <c r="AU14" s="604"/>
      <c r="AV14" s="604"/>
      <c r="AW14" s="604"/>
      <c r="AX14" s="604"/>
      <c r="AY14" s="604"/>
      <c r="AZ14" s="604"/>
      <c r="BA14" s="604"/>
      <c r="BB14" s="604"/>
      <c r="BC14" s="604"/>
      <c r="BF14" s="533" t="str">
        <f>A14</f>
        <v>*Electric Furnaces</v>
      </c>
    </row>
    <row r="15" spans="1:58" ht="15" customHeight="1">
      <c r="A15" s="531" t="str">
        <f>'EIA23 EQ Cost'!B13</f>
        <v>RSHEFRV115</v>
      </c>
      <c r="B15" s="531" t="str">
        <f>'EIA23 EQ Cost'!C13</f>
        <v>Electric Furnace Ver1.RSH.ELC.15</v>
      </c>
      <c r="C15" s="530" t="s">
        <v>32</v>
      </c>
      <c r="D15" s="531" t="s">
        <v>122</v>
      </c>
      <c r="E15" s="531" t="s">
        <v>123</v>
      </c>
      <c r="F15" s="547">
        <f>'EIA23 EQ Cost'!G13</f>
        <v>2015</v>
      </c>
      <c r="G15" s="587">
        <f>'EIA23 EQ Cost'!H13</f>
        <v>22.5</v>
      </c>
      <c r="H15" s="548">
        <f>'EIA23 EQ Cost'!J13</f>
        <v>0.98095202323008612</v>
      </c>
      <c r="I15" s="548">
        <f>'EIA23 EQ Cost'!K13</f>
        <v>0.98</v>
      </c>
      <c r="J15" s="531">
        <v>1</v>
      </c>
      <c r="K15" s="531">
        <v>0.16</v>
      </c>
      <c r="L15" s="531">
        <v>0.16</v>
      </c>
      <c r="M15" s="531">
        <v>0.16</v>
      </c>
      <c r="N15" s="531">
        <v>0.16</v>
      </c>
      <c r="O15" s="531">
        <v>0.16</v>
      </c>
      <c r="P15" s="531"/>
      <c r="Q15" s="531">
        <v>0.18</v>
      </c>
      <c r="R15" s="546"/>
      <c r="S15" s="546"/>
      <c r="T15" s="546"/>
      <c r="U15" s="546"/>
      <c r="V15" s="546"/>
      <c r="W15" s="546"/>
      <c r="X15" s="546"/>
      <c r="Y15" s="546"/>
      <c r="Z15" s="546"/>
      <c r="AA15" s="546"/>
      <c r="AD15" s="546"/>
      <c r="AE15" s="531"/>
      <c r="AF15" s="531"/>
      <c r="AG15" s="531"/>
      <c r="AH15" s="531"/>
      <c r="AI15" s="531"/>
      <c r="AJ15" s="531"/>
      <c r="AK15" s="531"/>
      <c r="AL15" s="531"/>
      <c r="AO15" s="549"/>
      <c r="AP15" s="549"/>
      <c r="AQ15" s="549"/>
      <c r="AR15" s="549"/>
      <c r="AS15" s="549"/>
      <c r="AT15" s="549"/>
      <c r="AU15" s="549"/>
      <c r="AV15" s="549"/>
      <c r="AW15" s="549"/>
      <c r="AX15" s="549"/>
      <c r="AY15" s="549"/>
      <c r="AZ15" s="549"/>
      <c r="BA15" s="549"/>
      <c r="BB15" s="549"/>
      <c r="BC15" s="549"/>
      <c r="BF15" s="531" t="s">
        <v>37</v>
      </c>
    </row>
    <row r="16" spans="1:58" ht="15" customHeight="1">
      <c r="A16" s="531" t="str">
        <f>'EIA23 EQ Cost'!B14</f>
        <v>RSHEFRV120</v>
      </c>
      <c r="B16" s="531" t="str">
        <f>'EIA23 EQ Cost'!C14</f>
        <v>Electric Furnace Ver1.RSH.ELC.20</v>
      </c>
      <c r="C16" s="530" t="s">
        <v>32</v>
      </c>
      <c r="D16" s="531" t="s">
        <v>122</v>
      </c>
      <c r="E16" s="531" t="s">
        <v>123</v>
      </c>
      <c r="F16" s="547">
        <f>'EIA23 EQ Cost'!G14</f>
        <v>2020</v>
      </c>
      <c r="G16" s="587">
        <f>'EIA23 EQ Cost'!H14</f>
        <v>22.5</v>
      </c>
      <c r="H16" s="548">
        <f>'EIA23 EQ Cost'!J14</f>
        <v>0.98095202323008612</v>
      </c>
      <c r="I16" s="548">
        <f>'EIA23 EQ Cost'!K14</f>
        <v>0.98</v>
      </c>
      <c r="J16" s="531">
        <v>1</v>
      </c>
      <c r="K16" s="531">
        <v>0.16</v>
      </c>
      <c r="L16" s="531">
        <v>0.16</v>
      </c>
      <c r="M16" s="531">
        <v>0.16</v>
      </c>
      <c r="N16" s="531">
        <v>0.16</v>
      </c>
      <c r="O16" s="531">
        <v>0.16</v>
      </c>
      <c r="P16" s="531"/>
      <c r="Q16" s="531">
        <v>0.18</v>
      </c>
      <c r="R16" s="546"/>
      <c r="S16" s="546"/>
      <c r="T16" s="546"/>
      <c r="U16" s="546"/>
      <c r="V16" s="546"/>
      <c r="W16" s="546"/>
      <c r="X16" s="546"/>
      <c r="Y16" s="546"/>
      <c r="Z16" s="546"/>
      <c r="AA16" s="546"/>
      <c r="AD16" s="546"/>
      <c r="AE16" s="531"/>
      <c r="AF16" s="531"/>
      <c r="AG16" s="531"/>
      <c r="AH16" s="531"/>
      <c r="AI16" s="531"/>
      <c r="AJ16" s="531"/>
      <c r="AK16" s="531"/>
      <c r="AL16" s="531"/>
      <c r="AO16" s="549"/>
      <c r="AP16" s="549"/>
      <c r="AQ16" s="549"/>
      <c r="AR16" s="549"/>
      <c r="AS16" s="549"/>
      <c r="AT16" s="549"/>
      <c r="AU16" s="549"/>
      <c r="AV16" s="549"/>
      <c r="AW16" s="549"/>
      <c r="AX16" s="549"/>
      <c r="AY16" s="549"/>
      <c r="AZ16" s="549"/>
      <c r="BA16" s="549"/>
      <c r="BB16" s="549"/>
      <c r="BC16" s="549"/>
      <c r="BF16" s="531" t="s">
        <v>37</v>
      </c>
    </row>
    <row r="17" spans="1:58" ht="15" customHeight="1">
      <c r="A17" s="531" t="str">
        <f>'EIA23 EQ Cost'!B15</f>
        <v>RSHEFRV122</v>
      </c>
      <c r="B17" s="531" t="str">
        <f>'EIA23 EQ Cost'!C15</f>
        <v>Electric Furnace Ver1.RSH.ELC.22</v>
      </c>
      <c r="C17" s="530" t="s">
        <v>32</v>
      </c>
      <c r="D17" s="531" t="s">
        <v>122</v>
      </c>
      <c r="E17" s="531" t="s">
        <v>123</v>
      </c>
      <c r="F17" s="547">
        <f>'EIA23 EQ Cost'!G15</f>
        <v>2022</v>
      </c>
      <c r="G17" s="587">
        <f>'EIA23 EQ Cost'!H15</f>
        <v>22.5</v>
      </c>
      <c r="H17" s="548">
        <f>'EIA23 EQ Cost'!J15</f>
        <v>1.1254333289771532</v>
      </c>
      <c r="I17" s="548">
        <f>'EIA23 EQ Cost'!K15</f>
        <v>1</v>
      </c>
      <c r="J17" s="531">
        <v>1</v>
      </c>
      <c r="K17" s="531">
        <v>0.16</v>
      </c>
      <c r="L17" s="531">
        <v>0.16</v>
      </c>
      <c r="M17" s="531">
        <v>0.16</v>
      </c>
      <c r="N17" s="531">
        <v>0.16</v>
      </c>
      <c r="O17" s="531">
        <v>0.16</v>
      </c>
      <c r="P17" s="531"/>
      <c r="Q17" s="531">
        <v>0.18</v>
      </c>
      <c r="R17" s="546"/>
      <c r="S17" s="546"/>
      <c r="T17" s="546"/>
      <c r="U17" s="546"/>
      <c r="V17" s="546"/>
      <c r="W17" s="546"/>
      <c r="X17" s="546"/>
      <c r="Y17" s="546"/>
      <c r="Z17" s="546"/>
      <c r="AA17" s="546"/>
      <c r="AD17" s="546"/>
      <c r="AE17" s="531"/>
      <c r="AF17" s="531"/>
      <c r="AG17" s="531"/>
      <c r="AH17" s="531"/>
      <c r="AI17" s="531"/>
      <c r="AJ17" s="531"/>
      <c r="AK17" s="531"/>
      <c r="AL17" s="531"/>
      <c r="AO17" s="549"/>
      <c r="AP17" s="549"/>
      <c r="AQ17" s="549"/>
      <c r="AR17" s="549"/>
      <c r="AS17" s="549"/>
      <c r="AT17" s="549"/>
      <c r="AU17" s="549"/>
      <c r="AV17" s="549"/>
      <c r="AW17" s="549"/>
      <c r="AX17" s="549"/>
      <c r="AY17" s="549"/>
      <c r="AZ17" s="549"/>
      <c r="BA17" s="549"/>
      <c r="BB17" s="549"/>
      <c r="BC17" s="549"/>
      <c r="BF17" s="531" t="s">
        <v>37</v>
      </c>
    </row>
    <row r="18" spans="1:58" s="1" customFormat="1" ht="15" customHeight="1">
      <c r="A18" s="533" t="str">
        <f>'EIA23 EQ Cost'!B16</f>
        <v>*Electric Heat Pumps (Residential Air Source Heat Pumps)</v>
      </c>
      <c r="B18" s="533"/>
      <c r="C18" s="533"/>
      <c r="D18" s="533"/>
      <c r="E18" s="533"/>
      <c r="F18" s="599"/>
      <c r="G18" s="600"/>
      <c r="H18" s="601"/>
      <c r="I18" s="601"/>
      <c r="J18" s="533"/>
      <c r="K18" s="533"/>
      <c r="L18" s="533"/>
      <c r="M18" s="533"/>
      <c r="N18" s="533"/>
      <c r="O18" s="533"/>
      <c r="P18" s="533"/>
      <c r="Q18" s="533"/>
      <c r="R18" s="602"/>
      <c r="S18" s="602"/>
      <c r="T18" s="602"/>
      <c r="U18" s="602"/>
      <c r="V18" s="602"/>
      <c r="W18" s="602"/>
      <c r="X18" s="602"/>
      <c r="Y18" s="602"/>
      <c r="Z18" s="602"/>
      <c r="AA18" s="602"/>
      <c r="AB18" s="613"/>
      <c r="AC18" s="613"/>
      <c r="AD18" s="602"/>
      <c r="AE18" s="533"/>
      <c r="AF18" s="533"/>
      <c r="AG18" s="533"/>
      <c r="AH18" s="533"/>
      <c r="AI18" s="533"/>
      <c r="AJ18" s="533"/>
      <c r="AK18" s="533"/>
      <c r="AL18" s="533"/>
      <c r="AO18" s="603"/>
      <c r="AP18" s="603"/>
      <c r="AQ18" s="603"/>
      <c r="AR18" s="603"/>
      <c r="AS18" s="603"/>
      <c r="AT18" s="603"/>
      <c r="AU18" s="603"/>
      <c r="AV18" s="603"/>
      <c r="AW18" s="603"/>
      <c r="AX18" s="603"/>
      <c r="AY18" s="603"/>
      <c r="AZ18" s="603"/>
      <c r="BA18" s="603"/>
      <c r="BB18" s="603"/>
      <c r="BC18" s="603"/>
      <c r="BF18" s="533" t="str">
        <f>A18</f>
        <v>*Electric Heat Pumps (Residential Air Source Heat Pumps)</v>
      </c>
    </row>
    <row r="19" spans="1:58" ht="15" customHeight="1">
      <c r="A19" s="531" t="str">
        <f>'EIA23 EQ Cost'!B17</f>
        <v>RSHEHPBS15</v>
      </c>
      <c r="B19" s="531" t="str">
        <f>'EIA23 EQ Cost'!C17</f>
        <v>Electric Heat Pump Base.RSH.ELC.15</v>
      </c>
      <c r="C19" s="530" t="s">
        <v>32</v>
      </c>
      <c r="D19" s="531" t="s">
        <v>122</v>
      </c>
      <c r="E19" s="531"/>
      <c r="F19" s="547">
        <f>'EIA23 EQ Cost'!G17</f>
        <v>2015</v>
      </c>
      <c r="G19" s="587">
        <f>'EIA23 EQ Cost'!H17</f>
        <v>15.5</v>
      </c>
      <c r="H19" s="548">
        <f>'EIA23 EQ Cost'!J17</f>
        <v>8.3165467395811721</v>
      </c>
      <c r="I19" s="548"/>
      <c r="J19" s="531"/>
      <c r="K19" s="531">
        <f>0.16*2</f>
        <v>0.32</v>
      </c>
      <c r="L19" s="531">
        <f t="shared" ref="L19:O19" si="3">0.16*2</f>
        <v>0.32</v>
      </c>
      <c r="M19" s="531">
        <f t="shared" si="3"/>
        <v>0.32</v>
      </c>
      <c r="N19" s="531">
        <f t="shared" si="3"/>
        <v>0.32</v>
      </c>
      <c r="O19" s="531">
        <f t="shared" si="3"/>
        <v>0.32</v>
      </c>
      <c r="P19" s="531"/>
      <c r="Q19" s="531">
        <v>0.18</v>
      </c>
      <c r="R19" s="546"/>
      <c r="S19" s="546"/>
      <c r="T19" s="546">
        <v>0</v>
      </c>
      <c r="U19" s="546">
        <v>0</v>
      </c>
      <c r="V19" s="546">
        <v>0</v>
      </c>
      <c r="W19" s="546">
        <v>0</v>
      </c>
      <c r="X19" s="546">
        <v>0</v>
      </c>
      <c r="Y19" s="546">
        <v>0</v>
      </c>
      <c r="Z19" s="546">
        <v>0</v>
      </c>
      <c r="AA19" s="546">
        <v>0</v>
      </c>
      <c r="AD19" s="546"/>
      <c r="AE19" s="531"/>
      <c r="AF19" s="531"/>
      <c r="AG19" s="531"/>
      <c r="AH19" s="531"/>
      <c r="AI19" s="531"/>
      <c r="AJ19" s="531"/>
      <c r="AK19" s="531"/>
      <c r="AL19" s="531"/>
      <c r="AO19" s="549" t="e">
        <f>Resid!V10</f>
        <v>#REF!</v>
      </c>
      <c r="AP19" s="549" t="e">
        <f>Resid!W10</f>
        <v>#REF!</v>
      </c>
      <c r="AQ19" s="549" t="e">
        <f>Resid!X10</f>
        <v>#REF!</v>
      </c>
      <c r="AR19" s="549" t="e">
        <f>Resid!Y10</f>
        <v>#REF!</v>
      </c>
      <c r="AS19" s="549" t="e">
        <f>Resid!Z10</f>
        <v>#REF!</v>
      </c>
      <c r="AT19" s="549" t="e">
        <f>AO19</f>
        <v>#REF!</v>
      </c>
      <c r="AU19" s="549" t="e">
        <f t="shared" ref="AU19:AX19" si="4">AP19</f>
        <v>#REF!</v>
      </c>
      <c r="AV19" s="549" t="e">
        <f t="shared" si="4"/>
        <v>#REF!</v>
      </c>
      <c r="AW19" s="549" t="e">
        <f t="shared" si="4"/>
        <v>#REF!</v>
      </c>
      <c r="AX19" s="549" t="e">
        <f t="shared" si="4"/>
        <v>#REF!</v>
      </c>
      <c r="AY19" s="549"/>
      <c r="AZ19" s="549"/>
      <c r="BA19" s="549"/>
      <c r="BB19" s="549"/>
      <c r="BC19" s="549"/>
      <c r="BF19" s="531" t="s">
        <v>37</v>
      </c>
    </row>
    <row r="20" spans="1:58" ht="15" customHeight="1">
      <c r="A20" s="531"/>
      <c r="B20" s="531"/>
      <c r="C20" s="530"/>
      <c r="D20" s="531"/>
      <c r="E20" s="531" t="s">
        <v>123</v>
      </c>
      <c r="F20" s="547"/>
      <c r="G20" s="587"/>
      <c r="H20" s="548"/>
      <c r="I20" s="548"/>
      <c r="J20" s="620">
        <v>0.75</v>
      </c>
      <c r="K20" s="531"/>
      <c r="L20" s="531"/>
      <c r="M20" s="531"/>
      <c r="N20" s="531"/>
      <c r="O20" s="531"/>
      <c r="P20" s="531"/>
      <c r="Q20" s="531"/>
      <c r="R20" s="546"/>
      <c r="S20" s="546"/>
      <c r="T20" s="546"/>
      <c r="U20" s="546"/>
      <c r="V20" s="546"/>
      <c r="W20" s="546"/>
      <c r="X20" s="546"/>
      <c r="Y20" s="546"/>
      <c r="Z20" s="546"/>
      <c r="AA20" s="546"/>
      <c r="AD20" s="546"/>
      <c r="AE20" s="531"/>
      <c r="AF20" s="531"/>
      <c r="AG20" s="531"/>
      <c r="AH20" s="531"/>
      <c r="AI20" s="531"/>
      <c r="AJ20" s="531"/>
      <c r="AK20" s="531"/>
      <c r="AL20" s="531"/>
      <c r="AO20" s="549"/>
      <c r="AP20" s="549"/>
      <c r="AQ20" s="549"/>
      <c r="AR20" s="549"/>
      <c r="AS20" s="549"/>
      <c r="AT20" s="549"/>
      <c r="AU20" s="549"/>
      <c r="AV20" s="549"/>
      <c r="AW20" s="549"/>
      <c r="AX20" s="549"/>
      <c r="AY20" s="549"/>
      <c r="AZ20" s="549"/>
      <c r="BA20" s="549"/>
      <c r="BB20" s="549"/>
      <c r="BC20" s="549"/>
      <c r="BF20" s="531"/>
    </row>
    <row r="21" spans="1:58" ht="15" customHeight="1">
      <c r="A21" s="531"/>
      <c r="B21" s="531"/>
      <c r="C21" s="530"/>
      <c r="D21" s="531"/>
      <c r="E21" s="531" t="s">
        <v>124</v>
      </c>
      <c r="F21" s="547"/>
      <c r="G21" s="587"/>
      <c r="H21" s="548"/>
      <c r="I21" s="548"/>
      <c r="J21" s="620">
        <v>0.5</v>
      </c>
      <c r="K21" s="531"/>
      <c r="L21" s="531"/>
      <c r="M21" s="531"/>
      <c r="N21" s="531"/>
      <c r="O21" s="531"/>
      <c r="P21" s="531"/>
      <c r="Q21" s="531"/>
      <c r="R21" s="546"/>
      <c r="S21" s="546"/>
      <c r="T21" s="546"/>
      <c r="U21" s="546"/>
      <c r="V21" s="546"/>
      <c r="W21" s="546"/>
      <c r="X21" s="546"/>
      <c r="Y21" s="546"/>
      <c r="Z21" s="546"/>
      <c r="AA21" s="546"/>
      <c r="AD21" s="546"/>
      <c r="AE21" s="531"/>
      <c r="AF21" s="531"/>
      <c r="AG21" s="531"/>
      <c r="AH21" s="531"/>
      <c r="AI21" s="531"/>
      <c r="AJ21" s="531"/>
      <c r="AK21" s="531"/>
      <c r="AL21" s="531"/>
      <c r="AO21" s="549"/>
      <c r="AP21" s="549"/>
      <c r="AQ21" s="549"/>
      <c r="AR21" s="549"/>
      <c r="AS21" s="549"/>
      <c r="AT21" s="549"/>
      <c r="AU21" s="549"/>
      <c r="AV21" s="549"/>
      <c r="AW21" s="549"/>
      <c r="AX21" s="549"/>
      <c r="AY21" s="549"/>
      <c r="AZ21" s="549"/>
      <c r="BA21" s="549"/>
      <c r="BB21" s="549"/>
      <c r="BC21" s="549"/>
      <c r="BF21" s="531"/>
    </row>
    <row r="22" spans="1:58" ht="15" customHeight="1">
      <c r="A22" s="531" t="str">
        <f>'EIA23 EQ Cost'!B18</f>
        <v>RSHEHPB120</v>
      </c>
      <c r="B22" s="531" t="str">
        <f>'EIA23 EQ Cost'!C18</f>
        <v>Electric Heat Pump Base.RSH.ELC.20</v>
      </c>
      <c r="C22" s="530" t="s">
        <v>32</v>
      </c>
      <c r="D22" s="531" t="s">
        <v>122</v>
      </c>
      <c r="E22" s="531"/>
      <c r="F22" s="547">
        <f>'EIA23 EQ Cost'!G18</f>
        <v>2020</v>
      </c>
      <c r="G22" s="587">
        <f>'EIA23 EQ Cost'!H18</f>
        <v>15.5</v>
      </c>
      <c r="H22" s="548">
        <f>'EIA23 EQ Cost'!J18</f>
        <v>9.8821833451327201</v>
      </c>
      <c r="I22" s="548"/>
      <c r="J22" s="531"/>
      <c r="K22" s="531">
        <f>0.16*2</f>
        <v>0.32</v>
      </c>
      <c r="L22" s="531">
        <f t="shared" ref="L22:O22" si="5">0.16*2</f>
        <v>0.32</v>
      </c>
      <c r="M22" s="531">
        <f t="shared" si="5"/>
        <v>0.32</v>
      </c>
      <c r="N22" s="531">
        <f t="shared" si="5"/>
        <v>0.32</v>
      </c>
      <c r="O22" s="531">
        <f t="shared" si="5"/>
        <v>0.32</v>
      </c>
      <c r="P22" s="531"/>
      <c r="Q22" s="531">
        <v>0.18</v>
      </c>
      <c r="R22" s="546"/>
      <c r="S22" s="546"/>
      <c r="T22" s="546"/>
      <c r="U22" s="546">
        <v>0</v>
      </c>
      <c r="V22" s="546">
        <v>0</v>
      </c>
      <c r="W22" s="546">
        <v>0</v>
      </c>
      <c r="X22" s="546">
        <v>0</v>
      </c>
      <c r="Y22" s="546">
        <v>0</v>
      </c>
      <c r="Z22" s="546">
        <v>0</v>
      </c>
      <c r="AA22" s="546">
        <v>0</v>
      </c>
      <c r="AD22" s="546"/>
      <c r="AE22" s="531"/>
      <c r="AF22" s="531"/>
      <c r="AG22" s="531"/>
      <c r="AH22" s="531"/>
      <c r="AI22" s="531"/>
      <c r="AJ22" s="531"/>
      <c r="AK22" s="531"/>
      <c r="AL22" s="531"/>
      <c r="AO22" s="549"/>
      <c r="AP22" s="549"/>
      <c r="AQ22" s="549"/>
      <c r="AR22" s="549"/>
      <c r="AS22" s="549"/>
      <c r="AT22" s="549"/>
      <c r="AU22" s="549"/>
      <c r="AV22" s="549"/>
      <c r="AW22" s="549"/>
      <c r="AX22" s="549"/>
      <c r="AY22" s="549"/>
      <c r="AZ22" s="549"/>
      <c r="BA22" s="549"/>
      <c r="BB22" s="549"/>
      <c r="BC22" s="549"/>
      <c r="BF22" s="531" t="s">
        <v>37</v>
      </c>
    </row>
    <row r="23" spans="1:58" ht="15" customHeight="1">
      <c r="A23" s="531"/>
      <c r="B23" s="531"/>
      <c r="C23" s="530"/>
      <c r="D23" s="531"/>
      <c r="E23" s="531" t="s">
        <v>123</v>
      </c>
      <c r="F23" s="547"/>
      <c r="G23" s="587"/>
      <c r="H23" s="548"/>
      <c r="I23" s="548"/>
      <c r="J23" s="620">
        <v>0.75</v>
      </c>
      <c r="K23" s="531"/>
      <c r="L23" s="531"/>
      <c r="M23" s="531"/>
      <c r="N23" s="531"/>
      <c r="O23" s="531"/>
      <c r="P23" s="531"/>
      <c r="Q23" s="531"/>
      <c r="R23" s="546"/>
      <c r="S23" s="546"/>
      <c r="T23" s="546"/>
      <c r="U23" s="546"/>
      <c r="V23" s="546"/>
      <c r="W23" s="546"/>
      <c r="X23" s="546"/>
      <c r="Y23" s="546"/>
      <c r="Z23" s="546"/>
      <c r="AA23" s="546"/>
      <c r="AD23" s="546"/>
      <c r="AE23" s="531"/>
      <c r="AF23" s="531"/>
      <c r="AG23" s="531"/>
      <c r="AH23" s="531"/>
      <c r="AI23" s="531"/>
      <c r="AJ23" s="531"/>
      <c r="AK23" s="531"/>
      <c r="AL23" s="531"/>
      <c r="AO23" s="549"/>
      <c r="AP23" s="549"/>
      <c r="AQ23" s="549"/>
      <c r="AR23" s="549"/>
      <c r="AS23" s="549"/>
      <c r="AT23" s="549"/>
      <c r="AU23" s="549"/>
      <c r="AV23" s="549"/>
      <c r="AW23" s="549"/>
      <c r="AX23" s="549"/>
      <c r="AY23" s="549"/>
      <c r="AZ23" s="549"/>
      <c r="BA23" s="549"/>
      <c r="BB23" s="549"/>
      <c r="BC23" s="549"/>
      <c r="BF23" s="531"/>
    </row>
    <row r="24" spans="1:58" ht="15" customHeight="1">
      <c r="A24" s="531"/>
      <c r="B24" s="531"/>
      <c r="C24" s="530"/>
      <c r="D24" s="531"/>
      <c r="E24" s="531" t="s">
        <v>124</v>
      </c>
      <c r="F24" s="547"/>
      <c r="G24" s="587"/>
      <c r="H24" s="548"/>
      <c r="I24" s="548"/>
      <c r="J24" s="620">
        <v>0.5</v>
      </c>
      <c r="K24" s="531"/>
      <c r="L24" s="531"/>
      <c r="M24" s="531"/>
      <c r="N24" s="531"/>
      <c r="O24" s="531"/>
      <c r="P24" s="531"/>
      <c r="Q24" s="531"/>
      <c r="R24" s="546"/>
      <c r="S24" s="546"/>
      <c r="T24" s="546"/>
      <c r="U24" s="546"/>
      <c r="V24" s="546"/>
      <c r="W24" s="546"/>
      <c r="X24" s="546"/>
      <c r="Y24" s="546"/>
      <c r="Z24" s="546"/>
      <c r="AA24" s="546"/>
      <c r="AD24" s="546"/>
      <c r="AE24" s="531"/>
      <c r="AF24" s="531"/>
      <c r="AG24" s="531"/>
      <c r="AH24" s="531"/>
      <c r="AI24" s="531"/>
      <c r="AJ24" s="531"/>
      <c r="AK24" s="531"/>
      <c r="AL24" s="531"/>
      <c r="AO24" s="549"/>
      <c r="AP24" s="549"/>
      <c r="AQ24" s="549"/>
      <c r="AR24" s="549"/>
      <c r="AS24" s="549"/>
      <c r="AT24" s="549"/>
      <c r="AU24" s="549"/>
      <c r="AV24" s="549"/>
      <c r="AW24" s="549"/>
      <c r="AX24" s="549"/>
      <c r="AY24" s="549"/>
      <c r="AZ24" s="549"/>
      <c r="BA24" s="549"/>
      <c r="BB24" s="549"/>
      <c r="BC24" s="549"/>
      <c r="BF24" s="531"/>
    </row>
    <row r="25" spans="1:58" ht="15" customHeight="1">
      <c r="A25" s="531" t="str">
        <f>'EIA23 EQ Cost'!B19</f>
        <v>RSHEHPBS22</v>
      </c>
      <c r="B25" s="531" t="str">
        <f>'EIA23 EQ Cost'!C19</f>
        <v>Electric Heat Pump Base.RSH.ELC.22</v>
      </c>
      <c r="C25" s="530" t="s">
        <v>32</v>
      </c>
      <c r="D25" s="531" t="s">
        <v>122</v>
      </c>
      <c r="E25" s="531"/>
      <c r="F25" s="547">
        <f>'EIA23 EQ Cost'!G19</f>
        <v>2022</v>
      </c>
      <c r="G25" s="587">
        <f>'EIA23 EQ Cost'!H19</f>
        <v>15.5</v>
      </c>
      <c r="H25" s="548">
        <f>'EIA23 EQ Cost'!J19</f>
        <v>9.8821833451327201</v>
      </c>
      <c r="I25" s="548"/>
      <c r="J25" s="531"/>
      <c r="K25" s="531">
        <f>0.16*2</f>
        <v>0.32</v>
      </c>
      <c r="L25" s="531">
        <f t="shared" ref="L25:O25" si="6">0.16*2</f>
        <v>0.32</v>
      </c>
      <c r="M25" s="531">
        <f t="shared" si="6"/>
        <v>0.32</v>
      </c>
      <c r="N25" s="531">
        <f t="shared" si="6"/>
        <v>0.32</v>
      </c>
      <c r="O25" s="531">
        <f t="shared" si="6"/>
        <v>0.32</v>
      </c>
      <c r="P25" s="531"/>
      <c r="Q25" s="531">
        <v>0.18</v>
      </c>
      <c r="R25" s="546"/>
      <c r="S25" s="546"/>
      <c r="T25" s="546"/>
      <c r="U25" s="546"/>
      <c r="V25" s="546">
        <v>0</v>
      </c>
      <c r="W25" s="546">
        <v>0</v>
      </c>
      <c r="X25" s="546">
        <v>0</v>
      </c>
      <c r="Y25" s="546">
        <v>0</v>
      </c>
      <c r="Z25" s="546">
        <v>0</v>
      </c>
      <c r="AA25" s="546">
        <v>0</v>
      </c>
      <c r="AD25" s="546"/>
      <c r="AE25" s="531"/>
      <c r="AF25" s="531"/>
      <c r="AG25" s="531"/>
      <c r="AH25" s="531"/>
      <c r="AI25" s="531"/>
      <c r="AJ25" s="531"/>
      <c r="AK25" s="531"/>
      <c r="AL25" s="531"/>
      <c r="AO25" s="549"/>
      <c r="AP25" s="549"/>
      <c r="AQ25" s="549"/>
      <c r="AR25" s="549"/>
      <c r="AS25" s="549"/>
      <c r="AT25" s="549"/>
      <c r="AU25" s="549"/>
      <c r="AV25" s="549"/>
      <c r="AW25" s="549"/>
      <c r="AX25" s="549"/>
      <c r="AY25" s="549"/>
      <c r="AZ25" s="549"/>
      <c r="BA25" s="549"/>
      <c r="BB25" s="549"/>
      <c r="BC25" s="549"/>
      <c r="BF25" s="531" t="s">
        <v>37</v>
      </c>
    </row>
    <row r="26" spans="1:58" ht="15" customHeight="1">
      <c r="A26" s="531"/>
      <c r="B26" s="531"/>
      <c r="C26" s="530"/>
      <c r="D26" s="531"/>
      <c r="E26" s="531" t="s">
        <v>123</v>
      </c>
      <c r="F26" s="547"/>
      <c r="G26" s="587"/>
      <c r="H26" s="548"/>
      <c r="I26" s="548"/>
      <c r="J26" s="620">
        <v>0.75</v>
      </c>
      <c r="K26" s="531"/>
      <c r="L26" s="531"/>
      <c r="M26" s="531"/>
      <c r="N26" s="531"/>
      <c r="O26" s="531"/>
      <c r="P26" s="531"/>
      <c r="Q26" s="531"/>
      <c r="R26" s="546"/>
      <c r="S26" s="546"/>
      <c r="T26" s="546"/>
      <c r="U26" s="546"/>
      <c r="V26" s="546"/>
      <c r="W26" s="546"/>
      <c r="X26" s="546"/>
      <c r="Y26" s="546"/>
      <c r="Z26" s="546"/>
      <c r="AA26" s="546"/>
      <c r="AD26" s="546"/>
      <c r="AE26" s="531"/>
      <c r="AF26" s="531"/>
      <c r="AG26" s="531"/>
      <c r="AH26" s="531"/>
      <c r="AI26" s="531"/>
      <c r="AJ26" s="531"/>
      <c r="AK26" s="531"/>
      <c r="AL26" s="531"/>
      <c r="AO26" s="549"/>
      <c r="AP26" s="549"/>
      <c r="AQ26" s="549"/>
      <c r="AR26" s="549"/>
      <c r="AS26" s="549"/>
      <c r="AT26" s="549"/>
      <c r="AU26" s="549"/>
      <c r="AV26" s="549"/>
      <c r="AW26" s="549"/>
      <c r="AX26" s="549"/>
      <c r="AY26" s="549"/>
      <c r="AZ26" s="549"/>
      <c r="BA26" s="549"/>
      <c r="BB26" s="549"/>
      <c r="BC26" s="549"/>
      <c r="BF26" s="531"/>
    </row>
    <row r="27" spans="1:58" ht="15" customHeight="1">
      <c r="A27" s="531"/>
      <c r="B27" s="531"/>
      <c r="C27" s="530"/>
      <c r="D27" s="531"/>
      <c r="E27" s="531" t="s">
        <v>124</v>
      </c>
      <c r="F27" s="547"/>
      <c r="G27" s="587"/>
      <c r="H27" s="548"/>
      <c r="I27" s="548"/>
      <c r="J27" s="620">
        <v>0.5</v>
      </c>
      <c r="K27" s="531"/>
      <c r="L27" s="531"/>
      <c r="M27" s="531"/>
      <c r="N27" s="531"/>
      <c r="O27" s="531"/>
      <c r="P27" s="531"/>
      <c r="Q27" s="531"/>
      <c r="R27" s="546"/>
      <c r="S27" s="546"/>
      <c r="T27" s="546"/>
      <c r="U27" s="546"/>
      <c r="V27" s="546"/>
      <c r="W27" s="546"/>
      <c r="X27" s="546"/>
      <c r="Y27" s="546"/>
      <c r="Z27" s="546"/>
      <c r="AA27" s="546"/>
      <c r="AD27" s="546"/>
      <c r="AE27" s="531"/>
      <c r="AF27" s="531"/>
      <c r="AG27" s="531"/>
      <c r="AH27" s="531"/>
      <c r="AI27" s="531"/>
      <c r="AJ27" s="531"/>
      <c r="AK27" s="531"/>
      <c r="AL27" s="531"/>
      <c r="AO27" s="549"/>
      <c r="AP27" s="549"/>
      <c r="AQ27" s="549"/>
      <c r="AR27" s="549"/>
      <c r="AS27" s="549"/>
      <c r="AT27" s="549"/>
      <c r="AU27" s="549"/>
      <c r="AV27" s="549"/>
      <c r="AW27" s="549"/>
      <c r="AX27" s="549"/>
      <c r="AY27" s="549"/>
      <c r="AZ27" s="549"/>
      <c r="BA27" s="549"/>
      <c r="BB27" s="549"/>
      <c r="BC27" s="549"/>
      <c r="BF27" s="531"/>
    </row>
    <row r="28" spans="1:58" ht="15" customHeight="1">
      <c r="A28" s="531" t="str">
        <f>'EIA23 EQ Cost'!B20</f>
        <v>RSHEHPV122</v>
      </c>
      <c r="B28" s="531" t="str">
        <f>'EIA23 EQ Cost'!C20</f>
        <v>Electric Heat Pump Ver1.RSH.ELC.22</v>
      </c>
      <c r="C28" s="530" t="s">
        <v>32</v>
      </c>
      <c r="D28" s="531" t="s">
        <v>122</v>
      </c>
      <c r="E28" s="531"/>
      <c r="F28" s="547">
        <f>'EIA23 EQ Cost'!G20</f>
        <v>2022</v>
      </c>
      <c r="G28" s="587">
        <f>'EIA23 EQ Cost'!H20</f>
        <v>15.5</v>
      </c>
      <c r="H28" s="548">
        <f>'EIA23 EQ Cost'!J20</f>
        <v>12.381456458581987</v>
      </c>
      <c r="I28" s="548"/>
      <c r="J28" s="531"/>
      <c r="K28" s="531">
        <f>0.16*2</f>
        <v>0.32</v>
      </c>
      <c r="L28" s="531">
        <f t="shared" ref="L28:O28" si="7">0.16*2</f>
        <v>0.32</v>
      </c>
      <c r="M28" s="531">
        <f t="shared" si="7"/>
        <v>0.32</v>
      </c>
      <c r="N28" s="531">
        <f t="shared" si="7"/>
        <v>0.32</v>
      </c>
      <c r="O28" s="531">
        <f t="shared" si="7"/>
        <v>0.32</v>
      </c>
      <c r="P28" s="531"/>
      <c r="Q28" s="531">
        <v>0.18</v>
      </c>
      <c r="R28" s="546"/>
      <c r="S28" s="546"/>
      <c r="T28" s="546"/>
      <c r="U28" s="546"/>
      <c r="V28" s="546">
        <v>0</v>
      </c>
      <c r="W28" s="546">
        <v>0</v>
      </c>
      <c r="X28" s="546">
        <v>0</v>
      </c>
      <c r="Y28" s="546">
        <v>0</v>
      </c>
      <c r="Z28" s="546">
        <v>0</v>
      </c>
      <c r="AA28" s="546">
        <v>0</v>
      </c>
      <c r="AD28" s="546"/>
      <c r="AE28" s="531"/>
      <c r="AF28" s="531"/>
      <c r="AG28" s="531"/>
      <c r="AH28" s="531"/>
      <c r="AI28" s="531"/>
      <c r="AJ28" s="531"/>
      <c r="AK28" s="531"/>
      <c r="AL28" s="531"/>
      <c r="AO28" s="549"/>
      <c r="AP28" s="549"/>
      <c r="AQ28" s="549"/>
      <c r="AR28" s="549"/>
      <c r="AS28" s="549"/>
      <c r="AT28" s="549"/>
      <c r="AU28" s="549"/>
      <c r="AV28" s="549"/>
      <c r="AW28" s="549"/>
      <c r="AX28" s="549"/>
      <c r="AY28" s="549"/>
      <c r="AZ28" s="549"/>
      <c r="BA28" s="549"/>
      <c r="BB28" s="549"/>
      <c r="BC28" s="549"/>
      <c r="BF28" s="531"/>
    </row>
    <row r="29" spans="1:58" ht="15" customHeight="1">
      <c r="A29" s="531"/>
      <c r="B29" s="531"/>
      <c r="C29" s="530"/>
      <c r="D29" s="531"/>
      <c r="E29" s="531" t="s">
        <v>123</v>
      </c>
      <c r="F29" s="547"/>
      <c r="G29" s="587"/>
      <c r="H29" s="548"/>
      <c r="I29" s="548"/>
      <c r="J29" s="620">
        <v>0.75</v>
      </c>
      <c r="K29" s="531"/>
      <c r="L29" s="531"/>
      <c r="M29" s="531"/>
      <c r="N29" s="531"/>
      <c r="O29" s="531"/>
      <c r="P29" s="531"/>
      <c r="Q29" s="531"/>
      <c r="R29" s="546"/>
      <c r="S29" s="546"/>
      <c r="T29" s="546"/>
      <c r="U29" s="546"/>
      <c r="V29" s="546"/>
      <c r="W29" s="546"/>
      <c r="X29" s="546"/>
      <c r="Y29" s="546"/>
      <c r="Z29" s="546"/>
      <c r="AA29" s="546"/>
      <c r="AD29" s="546"/>
      <c r="AE29" s="531"/>
      <c r="AF29" s="531"/>
      <c r="AG29" s="531"/>
      <c r="AH29" s="531"/>
      <c r="AI29" s="531"/>
      <c r="AJ29" s="531"/>
      <c r="AK29" s="531"/>
      <c r="AL29" s="531"/>
      <c r="AO29" s="549"/>
      <c r="AP29" s="549"/>
      <c r="AQ29" s="549"/>
      <c r="AR29" s="549"/>
      <c r="AS29" s="549"/>
      <c r="AT29" s="549"/>
      <c r="AU29" s="549"/>
      <c r="AV29" s="549"/>
      <c r="AW29" s="549"/>
      <c r="AX29" s="549"/>
      <c r="AY29" s="549"/>
      <c r="AZ29" s="549"/>
      <c r="BA29" s="549"/>
      <c r="BB29" s="549"/>
      <c r="BC29" s="549"/>
      <c r="BF29" s="531"/>
    </row>
    <row r="30" spans="1:58" ht="15" customHeight="1">
      <c r="A30" s="531"/>
      <c r="B30" s="531"/>
      <c r="C30" s="530"/>
      <c r="D30" s="531"/>
      <c r="E30" s="531" t="s">
        <v>124</v>
      </c>
      <c r="F30" s="547"/>
      <c r="G30" s="587"/>
      <c r="H30" s="548"/>
      <c r="I30" s="548"/>
      <c r="J30" s="620">
        <v>0.5</v>
      </c>
      <c r="K30" s="531"/>
      <c r="L30" s="531"/>
      <c r="M30" s="531"/>
      <c r="N30" s="531"/>
      <c r="O30" s="531"/>
      <c r="P30" s="531"/>
      <c r="Q30" s="531"/>
      <c r="R30" s="546"/>
      <c r="S30" s="546"/>
      <c r="T30" s="546"/>
      <c r="U30" s="546"/>
      <c r="V30" s="546"/>
      <c r="W30" s="546"/>
      <c r="X30" s="546"/>
      <c r="Y30" s="546"/>
      <c r="Z30" s="546"/>
      <c r="AA30" s="546"/>
      <c r="AD30" s="546"/>
      <c r="AE30" s="531"/>
      <c r="AF30" s="531"/>
      <c r="AG30" s="531"/>
      <c r="AH30" s="531"/>
      <c r="AI30" s="531"/>
      <c r="AJ30" s="531"/>
      <c r="AK30" s="531"/>
      <c r="AL30" s="531"/>
      <c r="AO30" s="549"/>
      <c r="AP30" s="549"/>
      <c r="AQ30" s="549"/>
      <c r="AR30" s="549"/>
      <c r="AS30" s="549"/>
      <c r="AT30" s="549"/>
      <c r="AU30" s="549"/>
      <c r="AV30" s="549"/>
      <c r="AW30" s="549"/>
      <c r="AX30" s="549"/>
      <c r="AY30" s="549"/>
      <c r="AZ30" s="549"/>
      <c r="BA30" s="549"/>
      <c r="BB30" s="549"/>
      <c r="BC30" s="549"/>
      <c r="BF30" s="531"/>
    </row>
    <row r="31" spans="1:58" ht="15" customHeight="1">
      <c r="A31" s="531" t="str">
        <f>'EIA23 EQ Cost'!B21</f>
        <v>RSHEHPV123</v>
      </c>
      <c r="B31" s="531" t="str">
        <f>'EIA23 EQ Cost'!C21</f>
        <v>Electric Heat Pump Ver1.RSH.ELC.23</v>
      </c>
      <c r="C31" s="530" t="s">
        <v>32</v>
      </c>
      <c r="D31" s="531" t="s">
        <v>122</v>
      </c>
      <c r="E31" s="531"/>
      <c r="F31" s="547">
        <f>'EIA23 EQ Cost'!G21</f>
        <v>2023</v>
      </c>
      <c r="G31" s="587">
        <f>'EIA23 EQ Cost'!H21</f>
        <v>15.5</v>
      </c>
      <c r="H31" s="548">
        <f>'EIA23 EQ Cost'!J21</f>
        <v>9.7816378750514286</v>
      </c>
      <c r="I31" s="548"/>
      <c r="J31" s="531"/>
      <c r="K31" s="531">
        <f>0.16*2</f>
        <v>0.32</v>
      </c>
      <c r="L31" s="531">
        <f t="shared" ref="L31:O31" si="8">0.16*2</f>
        <v>0.32</v>
      </c>
      <c r="M31" s="531">
        <f t="shared" si="8"/>
        <v>0.32</v>
      </c>
      <c r="N31" s="531">
        <f t="shared" si="8"/>
        <v>0.32</v>
      </c>
      <c r="O31" s="531">
        <f t="shared" si="8"/>
        <v>0.32</v>
      </c>
      <c r="P31" s="531"/>
      <c r="Q31" s="531">
        <v>0.18</v>
      </c>
      <c r="R31" s="546"/>
      <c r="S31" s="546"/>
      <c r="T31" s="546"/>
      <c r="U31" s="546"/>
      <c r="V31" s="546">
        <v>0</v>
      </c>
      <c r="W31" s="546">
        <v>0</v>
      </c>
      <c r="X31" s="546">
        <v>0</v>
      </c>
      <c r="Y31" s="546">
        <v>0</v>
      </c>
      <c r="Z31" s="546">
        <v>0</v>
      </c>
      <c r="AA31" s="546">
        <v>0</v>
      </c>
      <c r="AD31" s="546"/>
      <c r="AE31" s="531"/>
      <c r="AF31" s="531"/>
      <c r="AG31" s="531"/>
      <c r="AH31" s="531"/>
      <c r="AI31" s="531"/>
      <c r="AJ31" s="531"/>
      <c r="AK31" s="531"/>
      <c r="AL31" s="531"/>
      <c r="AO31" s="549"/>
      <c r="AP31" s="549"/>
      <c r="AQ31" s="549"/>
      <c r="AR31" s="549"/>
      <c r="AS31" s="549"/>
      <c r="AT31" s="549"/>
      <c r="AU31" s="549"/>
      <c r="AV31" s="549"/>
      <c r="AW31" s="549"/>
      <c r="AX31" s="549"/>
      <c r="AY31" s="549"/>
      <c r="AZ31" s="549"/>
      <c r="BA31" s="549"/>
      <c r="BB31" s="549"/>
      <c r="BC31" s="549"/>
      <c r="BF31" s="531" t="s">
        <v>37</v>
      </c>
    </row>
    <row r="32" spans="1:58" ht="15" customHeight="1">
      <c r="A32" s="531"/>
      <c r="B32" s="531"/>
      <c r="C32" s="530"/>
      <c r="D32" s="531"/>
      <c r="E32" s="531" t="s">
        <v>123</v>
      </c>
      <c r="F32" s="547"/>
      <c r="G32" s="587"/>
      <c r="H32" s="548"/>
      <c r="I32" s="548"/>
      <c r="J32" s="620">
        <v>0.75</v>
      </c>
      <c r="K32" s="531"/>
      <c r="L32" s="531"/>
      <c r="M32" s="531"/>
      <c r="N32" s="531"/>
      <c r="O32" s="531"/>
      <c r="P32" s="531"/>
      <c r="Q32" s="531"/>
      <c r="R32" s="546"/>
      <c r="S32" s="546"/>
      <c r="T32" s="546"/>
      <c r="U32" s="546"/>
      <c r="V32" s="546"/>
      <c r="W32" s="546"/>
      <c r="X32" s="546"/>
      <c r="Y32" s="546"/>
      <c r="Z32" s="546"/>
      <c r="AA32" s="546"/>
      <c r="AD32" s="546"/>
      <c r="AE32" s="531"/>
      <c r="AF32" s="531"/>
      <c r="AG32" s="531"/>
      <c r="AH32" s="531"/>
      <c r="AI32" s="531"/>
      <c r="AJ32" s="531"/>
      <c r="AK32" s="531"/>
      <c r="AL32" s="531"/>
      <c r="AO32" s="549"/>
      <c r="AP32" s="549"/>
      <c r="AQ32" s="549"/>
      <c r="AR32" s="549"/>
      <c r="AS32" s="549"/>
      <c r="AT32" s="549"/>
      <c r="AU32" s="549"/>
      <c r="AV32" s="549"/>
      <c r="AW32" s="549"/>
      <c r="AX32" s="549"/>
      <c r="AY32" s="549"/>
      <c r="AZ32" s="549"/>
      <c r="BA32" s="549"/>
      <c r="BB32" s="549"/>
      <c r="BC32" s="549"/>
      <c r="BF32" s="531"/>
    </row>
    <row r="33" spans="1:58" ht="15" customHeight="1">
      <c r="A33" s="531"/>
      <c r="B33" s="531"/>
      <c r="C33" s="530"/>
      <c r="D33" s="531"/>
      <c r="E33" s="531" t="s">
        <v>124</v>
      </c>
      <c r="F33" s="547"/>
      <c r="G33" s="587"/>
      <c r="H33" s="548"/>
      <c r="I33" s="548"/>
      <c r="J33" s="620">
        <v>0.5</v>
      </c>
      <c r="K33" s="531"/>
      <c r="L33" s="531"/>
      <c r="M33" s="531"/>
      <c r="N33" s="531"/>
      <c r="O33" s="531"/>
      <c r="P33" s="531"/>
      <c r="Q33" s="531"/>
      <c r="R33" s="546"/>
      <c r="S33" s="546"/>
      <c r="T33" s="546"/>
      <c r="U33" s="546"/>
      <c r="V33" s="546"/>
      <c r="W33" s="546"/>
      <c r="X33" s="546"/>
      <c r="Y33" s="546"/>
      <c r="Z33" s="546"/>
      <c r="AA33" s="546"/>
      <c r="AD33" s="546"/>
      <c r="AE33" s="531"/>
      <c r="AF33" s="531"/>
      <c r="AG33" s="531"/>
      <c r="AH33" s="531"/>
      <c r="AI33" s="531"/>
      <c r="AJ33" s="531"/>
      <c r="AK33" s="531"/>
      <c r="AL33" s="531"/>
      <c r="AO33" s="549"/>
      <c r="AP33" s="549"/>
      <c r="AQ33" s="549"/>
      <c r="AR33" s="549"/>
      <c r="AS33" s="549"/>
      <c r="AT33" s="549"/>
      <c r="AU33" s="549"/>
      <c r="AV33" s="549"/>
      <c r="AW33" s="549"/>
      <c r="AX33" s="549"/>
      <c r="AY33" s="549"/>
      <c r="AZ33" s="549"/>
      <c r="BA33" s="549"/>
      <c r="BB33" s="549"/>
      <c r="BC33" s="549"/>
      <c r="BF33" s="531"/>
    </row>
    <row r="34" spans="1:58" ht="15" customHeight="1">
      <c r="A34" s="531" t="str">
        <f>'EIA23 EQ Cost'!B22</f>
        <v>RSHEHPV223</v>
      </c>
      <c r="B34" s="531" t="str">
        <f>'EIA23 EQ Cost'!C22</f>
        <v>Electric Heat Pump Ver2.RSH.ELC.23</v>
      </c>
      <c r="C34" s="530" t="s">
        <v>32</v>
      </c>
      <c r="D34" s="531" t="s">
        <v>122</v>
      </c>
      <c r="E34" s="531"/>
      <c r="F34" s="547">
        <f>'EIA23 EQ Cost'!G22</f>
        <v>2023</v>
      </c>
      <c r="G34" s="587">
        <f>'EIA23 EQ Cost'!H22</f>
        <v>15.5</v>
      </c>
      <c r="H34" s="548">
        <f>'EIA23 EQ Cost'!J22</f>
        <v>9.9683651766309715</v>
      </c>
      <c r="I34" s="548"/>
      <c r="J34" s="531"/>
      <c r="K34" s="531">
        <f>0.16*2</f>
        <v>0.32</v>
      </c>
      <c r="L34" s="531">
        <f t="shared" ref="L34:O34" si="9">0.16*2</f>
        <v>0.32</v>
      </c>
      <c r="M34" s="531">
        <f t="shared" si="9"/>
        <v>0.32</v>
      </c>
      <c r="N34" s="531">
        <f t="shared" si="9"/>
        <v>0.32</v>
      </c>
      <c r="O34" s="531">
        <f t="shared" si="9"/>
        <v>0.32</v>
      </c>
      <c r="P34" s="531"/>
      <c r="Q34" s="531">
        <v>0.18</v>
      </c>
      <c r="R34" s="546"/>
      <c r="S34" s="546"/>
      <c r="T34" s="546"/>
      <c r="U34" s="546"/>
      <c r="V34" s="546">
        <v>0</v>
      </c>
      <c r="W34" s="546">
        <v>0</v>
      </c>
      <c r="X34" s="546">
        <v>0</v>
      </c>
      <c r="Y34" s="546">
        <v>0</v>
      </c>
      <c r="Z34" s="546">
        <v>0</v>
      </c>
      <c r="AA34" s="546">
        <v>0</v>
      </c>
      <c r="AD34" s="546"/>
      <c r="AE34" s="531"/>
      <c r="AF34" s="531"/>
      <c r="AG34" s="531"/>
      <c r="AH34" s="531"/>
      <c r="AI34" s="531"/>
      <c r="AJ34" s="531"/>
      <c r="AK34" s="531"/>
      <c r="AL34" s="531"/>
      <c r="AO34" s="549"/>
      <c r="AP34" s="549"/>
      <c r="AQ34" s="549"/>
      <c r="AR34" s="549"/>
      <c r="AS34" s="549"/>
      <c r="AT34" s="549"/>
      <c r="AU34" s="549"/>
      <c r="AV34" s="549"/>
      <c r="AW34" s="549"/>
      <c r="AX34" s="549"/>
      <c r="AY34" s="549"/>
      <c r="AZ34" s="549"/>
      <c r="BA34" s="549"/>
      <c r="BB34" s="549"/>
      <c r="BC34" s="549"/>
      <c r="BF34" s="531" t="s">
        <v>37</v>
      </c>
    </row>
    <row r="35" spans="1:58" ht="15" customHeight="1">
      <c r="A35" s="531"/>
      <c r="B35" s="531"/>
      <c r="C35" s="530"/>
      <c r="D35" s="531"/>
      <c r="E35" s="531" t="s">
        <v>123</v>
      </c>
      <c r="F35" s="547"/>
      <c r="G35" s="587"/>
      <c r="H35" s="548"/>
      <c r="I35" s="548"/>
      <c r="J35" s="620">
        <v>0.75</v>
      </c>
      <c r="K35" s="531"/>
      <c r="L35" s="531"/>
      <c r="M35" s="531"/>
      <c r="N35" s="531"/>
      <c r="O35" s="531"/>
      <c r="P35" s="531"/>
      <c r="Q35" s="531"/>
      <c r="R35" s="546"/>
      <c r="S35" s="546"/>
      <c r="T35" s="546"/>
      <c r="U35" s="546"/>
      <c r="V35" s="546"/>
      <c r="W35" s="546"/>
      <c r="X35" s="546"/>
      <c r="Y35" s="546"/>
      <c r="Z35" s="546"/>
      <c r="AA35" s="546"/>
      <c r="AD35" s="546"/>
      <c r="AE35" s="531"/>
      <c r="AF35" s="531"/>
      <c r="AG35" s="531"/>
      <c r="AH35" s="531"/>
      <c r="AI35" s="531"/>
      <c r="AJ35" s="531"/>
      <c r="AK35" s="531"/>
      <c r="AL35" s="531"/>
      <c r="AO35" s="549"/>
      <c r="AP35" s="549"/>
      <c r="AQ35" s="549"/>
      <c r="AR35" s="549"/>
      <c r="AS35" s="549"/>
      <c r="AT35" s="549"/>
      <c r="AU35" s="549"/>
      <c r="AV35" s="549"/>
      <c r="AW35" s="549"/>
      <c r="AX35" s="549"/>
      <c r="AY35" s="549"/>
      <c r="AZ35" s="549"/>
      <c r="BA35" s="549"/>
      <c r="BB35" s="549"/>
      <c r="BC35" s="549"/>
      <c r="BF35" s="531"/>
    </row>
    <row r="36" spans="1:58" ht="15" customHeight="1">
      <c r="A36" s="531"/>
      <c r="B36" s="531"/>
      <c r="C36" s="530"/>
      <c r="D36" s="531"/>
      <c r="E36" s="531" t="s">
        <v>124</v>
      </c>
      <c r="F36" s="547"/>
      <c r="G36" s="587"/>
      <c r="H36" s="548"/>
      <c r="I36" s="548"/>
      <c r="J36" s="620">
        <v>0.5</v>
      </c>
      <c r="K36" s="531"/>
      <c r="L36" s="531"/>
      <c r="M36" s="531"/>
      <c r="N36" s="531"/>
      <c r="O36" s="531"/>
      <c r="P36" s="531"/>
      <c r="Q36" s="531"/>
      <c r="R36" s="546"/>
      <c r="S36" s="546"/>
      <c r="T36" s="546"/>
      <c r="U36" s="546"/>
      <c r="V36" s="546"/>
      <c r="W36" s="546"/>
      <c r="X36" s="546"/>
      <c r="Y36" s="546"/>
      <c r="Z36" s="546"/>
      <c r="AA36" s="546"/>
      <c r="AD36" s="546"/>
      <c r="AE36" s="531"/>
      <c r="AF36" s="531"/>
      <c r="AG36" s="531"/>
      <c r="AH36" s="531"/>
      <c r="AI36" s="531"/>
      <c r="AJ36" s="531"/>
      <c r="AK36" s="531"/>
      <c r="AL36" s="531"/>
      <c r="AO36" s="549"/>
      <c r="AP36" s="549"/>
      <c r="AQ36" s="549"/>
      <c r="AR36" s="549"/>
      <c r="AS36" s="549"/>
      <c r="AT36" s="549"/>
      <c r="AU36" s="549"/>
      <c r="AV36" s="549"/>
      <c r="AW36" s="549"/>
      <c r="AX36" s="549"/>
      <c r="AY36" s="549"/>
      <c r="AZ36" s="549"/>
      <c r="BA36" s="549"/>
      <c r="BB36" s="549"/>
      <c r="BC36" s="549"/>
      <c r="BF36" s="531"/>
    </row>
    <row r="37" spans="1:58" ht="15" customHeight="1">
      <c r="A37" s="531" t="str">
        <f>'EIA23 EQ Cost'!B23</f>
        <v>RSHEHPV323</v>
      </c>
      <c r="B37" s="531" t="str">
        <f>'EIA23 EQ Cost'!C23</f>
        <v>Electric Heat Pump Ver3.RSH.ELC.23</v>
      </c>
      <c r="C37" s="530" t="s">
        <v>32</v>
      </c>
      <c r="D37" s="531" t="s">
        <v>122</v>
      </c>
      <c r="E37" s="531"/>
      <c r="F37" s="547">
        <f>'EIA23 EQ Cost'!G23</f>
        <v>2023</v>
      </c>
      <c r="G37" s="587">
        <f>'EIA23 EQ Cost'!H23</f>
        <v>15.5</v>
      </c>
      <c r="H37" s="548">
        <f>'EIA23 EQ Cost'!J23</f>
        <v>12.381456458581987</v>
      </c>
      <c r="I37" s="548"/>
      <c r="J37" s="531"/>
      <c r="K37" s="531">
        <f>0.16*2</f>
        <v>0.32</v>
      </c>
      <c r="L37" s="531">
        <f t="shared" ref="L37:O37" si="10">0.16*2</f>
        <v>0.32</v>
      </c>
      <c r="M37" s="531">
        <f t="shared" si="10"/>
        <v>0.32</v>
      </c>
      <c r="N37" s="531">
        <f t="shared" si="10"/>
        <v>0.32</v>
      </c>
      <c r="O37" s="531">
        <f t="shared" si="10"/>
        <v>0.32</v>
      </c>
      <c r="P37" s="531"/>
      <c r="Q37" s="531">
        <v>0.18</v>
      </c>
      <c r="R37" s="546"/>
      <c r="S37" s="546"/>
      <c r="T37" s="546"/>
      <c r="U37" s="546"/>
      <c r="V37" s="546">
        <v>0</v>
      </c>
      <c r="W37" s="546">
        <v>0</v>
      </c>
      <c r="X37" s="546">
        <v>0</v>
      </c>
      <c r="Y37" s="546">
        <v>0</v>
      </c>
      <c r="Z37" s="546">
        <v>0</v>
      </c>
      <c r="AA37" s="546">
        <v>0</v>
      </c>
      <c r="AD37" s="546"/>
      <c r="AE37" s="531"/>
      <c r="AF37" s="531"/>
      <c r="AG37" s="531"/>
      <c r="AH37" s="531"/>
      <c r="AI37" s="531"/>
      <c r="AJ37" s="531"/>
      <c r="AK37" s="531"/>
      <c r="AL37" s="531"/>
      <c r="AO37" s="549"/>
      <c r="AP37" s="549"/>
      <c r="AQ37" s="549"/>
      <c r="AR37" s="549"/>
      <c r="AS37" s="549"/>
      <c r="AT37" s="549"/>
      <c r="AU37" s="549"/>
      <c r="AV37" s="549"/>
      <c r="AW37" s="549"/>
      <c r="AX37" s="549"/>
      <c r="AY37" s="549"/>
      <c r="AZ37" s="549"/>
      <c r="BA37" s="549"/>
      <c r="BB37" s="549"/>
      <c r="BC37" s="549"/>
      <c r="BF37" s="531" t="s">
        <v>37</v>
      </c>
    </row>
    <row r="38" spans="1:58" ht="15" customHeight="1">
      <c r="A38" s="531"/>
      <c r="B38" s="531"/>
      <c r="C38" s="530"/>
      <c r="D38" s="531"/>
      <c r="E38" s="531" t="s">
        <v>123</v>
      </c>
      <c r="F38" s="547"/>
      <c r="G38" s="587"/>
      <c r="H38" s="548"/>
      <c r="I38" s="548"/>
      <c r="J38" s="620">
        <v>0.75</v>
      </c>
      <c r="K38" s="531"/>
      <c r="L38" s="531"/>
      <c r="M38" s="531"/>
      <c r="N38" s="531"/>
      <c r="O38" s="531"/>
      <c r="P38" s="531"/>
      <c r="Q38" s="531"/>
      <c r="R38" s="546"/>
      <c r="S38" s="546"/>
      <c r="T38" s="546"/>
      <c r="U38" s="546"/>
      <c r="V38" s="546"/>
      <c r="W38" s="546"/>
      <c r="X38" s="546"/>
      <c r="Y38" s="546"/>
      <c r="Z38" s="546"/>
      <c r="AA38" s="546"/>
      <c r="AD38" s="546"/>
      <c r="AE38" s="531"/>
      <c r="AF38" s="531"/>
      <c r="AG38" s="531"/>
      <c r="AH38" s="531"/>
      <c r="AI38" s="531"/>
      <c r="AJ38" s="531"/>
      <c r="AK38" s="531"/>
      <c r="AL38" s="531"/>
      <c r="AO38" s="549"/>
      <c r="AP38" s="549"/>
      <c r="AQ38" s="549"/>
      <c r="AR38" s="549"/>
      <c r="AS38" s="549"/>
      <c r="AT38" s="549"/>
      <c r="AU38" s="549"/>
      <c r="AV38" s="549"/>
      <c r="AW38" s="549"/>
      <c r="AX38" s="549"/>
      <c r="AY38" s="549"/>
      <c r="AZ38" s="549"/>
      <c r="BA38" s="549"/>
      <c r="BB38" s="549"/>
      <c r="BC38" s="549"/>
      <c r="BF38" s="531"/>
    </row>
    <row r="39" spans="1:58" ht="15" customHeight="1">
      <c r="A39" s="531"/>
      <c r="B39" s="531"/>
      <c r="C39" s="530"/>
      <c r="D39" s="531"/>
      <c r="E39" s="531" t="s">
        <v>124</v>
      </c>
      <c r="F39" s="547"/>
      <c r="G39" s="587"/>
      <c r="H39" s="548"/>
      <c r="I39" s="548"/>
      <c r="J39" s="620">
        <v>0.5</v>
      </c>
      <c r="K39" s="531"/>
      <c r="L39" s="531"/>
      <c r="M39" s="531"/>
      <c r="N39" s="531"/>
      <c r="O39" s="531"/>
      <c r="P39" s="531"/>
      <c r="Q39" s="531"/>
      <c r="R39" s="546"/>
      <c r="S39" s="546"/>
      <c r="T39" s="546"/>
      <c r="U39" s="546"/>
      <c r="V39" s="546"/>
      <c r="W39" s="546"/>
      <c r="X39" s="546"/>
      <c r="Y39" s="546"/>
      <c r="Z39" s="546"/>
      <c r="AA39" s="546"/>
      <c r="AD39" s="546"/>
      <c r="AE39" s="531"/>
      <c r="AF39" s="531"/>
      <c r="AG39" s="531"/>
      <c r="AH39" s="531"/>
      <c r="AI39" s="531"/>
      <c r="AJ39" s="531"/>
      <c r="AK39" s="531"/>
      <c r="AL39" s="531"/>
      <c r="AO39" s="549"/>
      <c r="AP39" s="549"/>
      <c r="AQ39" s="549"/>
      <c r="AR39" s="549"/>
      <c r="AS39" s="549"/>
      <c r="AT39" s="549"/>
      <c r="AU39" s="549"/>
      <c r="AV39" s="549"/>
      <c r="AW39" s="549"/>
      <c r="AX39" s="549"/>
      <c r="AY39" s="549"/>
      <c r="AZ39" s="549"/>
      <c r="BA39" s="549"/>
      <c r="BB39" s="549"/>
      <c r="BC39" s="549"/>
      <c r="BF39" s="531"/>
    </row>
    <row r="40" spans="1:58" ht="15" customHeight="1">
      <c r="A40" s="531" t="str">
        <f>'EIA23 EQ Cost'!B24</f>
        <v>RSHEHPV130</v>
      </c>
      <c r="B40" s="531" t="str">
        <f>'EIA23 EQ Cost'!C24</f>
        <v>Electric Heat Pump Ver1.RSH.ELC.30</v>
      </c>
      <c r="C40" s="530" t="s">
        <v>32</v>
      </c>
      <c r="D40" s="531" t="s">
        <v>122</v>
      </c>
      <c r="E40" s="531"/>
      <c r="F40" s="547">
        <f>'EIA23 EQ Cost'!G24</f>
        <v>2030</v>
      </c>
      <c r="G40" s="587">
        <f>'EIA23 EQ Cost'!H24</f>
        <v>15.5</v>
      </c>
      <c r="H40" s="548">
        <f>'EIA23 EQ Cost'!J24</f>
        <v>9.9683651766309715</v>
      </c>
      <c r="I40" s="548"/>
      <c r="J40" s="531"/>
      <c r="K40" s="531">
        <f>0.16*2</f>
        <v>0.32</v>
      </c>
      <c r="L40" s="531">
        <f t="shared" ref="L40:O40" si="11">0.16*2</f>
        <v>0.32</v>
      </c>
      <c r="M40" s="531">
        <f t="shared" si="11"/>
        <v>0.32</v>
      </c>
      <c r="N40" s="531">
        <f t="shared" si="11"/>
        <v>0.32</v>
      </c>
      <c r="O40" s="531">
        <f t="shared" si="11"/>
        <v>0.32</v>
      </c>
      <c r="P40" s="531"/>
      <c r="Q40" s="531">
        <v>0.18</v>
      </c>
      <c r="R40" s="546"/>
      <c r="S40" s="546"/>
      <c r="T40" s="546"/>
      <c r="U40" s="546"/>
      <c r="V40" s="546"/>
      <c r="W40" s="546"/>
      <c r="X40" s="546">
        <v>0</v>
      </c>
      <c r="Y40" s="546">
        <v>0</v>
      </c>
      <c r="Z40" s="546">
        <v>0</v>
      </c>
      <c r="AA40" s="546">
        <v>0</v>
      </c>
      <c r="AD40" s="546"/>
      <c r="AE40" s="531"/>
      <c r="AF40" s="531"/>
      <c r="AG40" s="531"/>
      <c r="AH40" s="531"/>
      <c r="AI40" s="531"/>
      <c r="AJ40" s="531"/>
      <c r="AK40" s="531"/>
      <c r="AL40" s="531"/>
      <c r="AO40" s="549"/>
      <c r="AP40" s="549"/>
      <c r="AQ40" s="549"/>
      <c r="AR40" s="549"/>
      <c r="AS40" s="549"/>
      <c r="AT40" s="549"/>
      <c r="AU40" s="549"/>
      <c r="AV40" s="549"/>
      <c r="AW40" s="549"/>
      <c r="AX40" s="549"/>
      <c r="AY40" s="549"/>
      <c r="AZ40" s="549"/>
      <c r="BA40" s="549"/>
      <c r="BB40" s="549"/>
      <c r="BC40" s="549"/>
      <c r="BF40" s="531" t="s">
        <v>37</v>
      </c>
    </row>
    <row r="41" spans="1:58" ht="15" customHeight="1">
      <c r="A41" s="531"/>
      <c r="B41" s="531"/>
      <c r="C41" s="530"/>
      <c r="D41" s="531"/>
      <c r="E41" s="531" t="s">
        <v>123</v>
      </c>
      <c r="F41" s="547"/>
      <c r="G41" s="587"/>
      <c r="H41" s="548"/>
      <c r="I41" s="548"/>
      <c r="J41" s="620">
        <v>0.75</v>
      </c>
      <c r="K41" s="531"/>
      <c r="L41" s="531"/>
      <c r="M41" s="531"/>
      <c r="N41" s="531"/>
      <c r="O41" s="531"/>
      <c r="P41" s="531"/>
      <c r="Q41" s="531"/>
      <c r="R41" s="546"/>
      <c r="S41" s="546"/>
      <c r="T41" s="546"/>
      <c r="U41" s="546"/>
      <c r="V41" s="546"/>
      <c r="W41" s="546"/>
      <c r="X41" s="546"/>
      <c r="Y41" s="546"/>
      <c r="Z41" s="546"/>
      <c r="AA41" s="546"/>
      <c r="AD41" s="546"/>
      <c r="AE41" s="531"/>
      <c r="AF41" s="531"/>
      <c r="AG41" s="531"/>
      <c r="AH41" s="531"/>
      <c r="AI41" s="531"/>
      <c r="AJ41" s="531"/>
      <c r="AK41" s="531"/>
      <c r="AL41" s="531"/>
      <c r="AO41" s="549"/>
      <c r="AP41" s="549"/>
      <c r="AQ41" s="549"/>
      <c r="AR41" s="549"/>
      <c r="AS41" s="549"/>
      <c r="AT41" s="549"/>
      <c r="AU41" s="549"/>
      <c r="AV41" s="549"/>
      <c r="AW41" s="549"/>
      <c r="AX41" s="549"/>
      <c r="AY41" s="549"/>
      <c r="AZ41" s="549"/>
      <c r="BA41" s="549"/>
      <c r="BB41" s="549"/>
      <c r="BC41" s="549"/>
      <c r="BF41" s="531"/>
    </row>
    <row r="42" spans="1:58" ht="15" customHeight="1">
      <c r="A42" s="531"/>
      <c r="B42" s="531"/>
      <c r="C42" s="530"/>
      <c r="D42" s="531"/>
      <c r="E42" s="531" t="s">
        <v>124</v>
      </c>
      <c r="F42" s="547"/>
      <c r="G42" s="587"/>
      <c r="H42" s="548"/>
      <c r="I42" s="548"/>
      <c r="J42" s="620">
        <v>0.5</v>
      </c>
      <c r="K42" s="531"/>
      <c r="L42" s="531"/>
      <c r="M42" s="531"/>
      <c r="N42" s="531"/>
      <c r="O42" s="531"/>
      <c r="P42" s="531"/>
      <c r="Q42" s="531"/>
      <c r="R42" s="546"/>
      <c r="S42" s="546"/>
      <c r="T42" s="546"/>
      <c r="U42" s="546"/>
      <c r="V42" s="546"/>
      <c r="W42" s="546"/>
      <c r="X42" s="546"/>
      <c r="Y42" s="546"/>
      <c r="Z42" s="546"/>
      <c r="AA42" s="546"/>
      <c r="AD42" s="546"/>
      <c r="AE42" s="531"/>
      <c r="AF42" s="531"/>
      <c r="AG42" s="531"/>
      <c r="AH42" s="531"/>
      <c r="AI42" s="531"/>
      <c r="AJ42" s="531"/>
      <c r="AK42" s="531"/>
      <c r="AL42" s="531"/>
      <c r="AO42" s="549"/>
      <c r="AP42" s="549"/>
      <c r="AQ42" s="549"/>
      <c r="AR42" s="549"/>
      <c r="AS42" s="549"/>
      <c r="AT42" s="549"/>
      <c r="AU42" s="549"/>
      <c r="AV42" s="549"/>
      <c r="AW42" s="549"/>
      <c r="AX42" s="549"/>
      <c r="AY42" s="549"/>
      <c r="AZ42" s="549"/>
      <c r="BA42" s="549"/>
      <c r="BB42" s="549"/>
      <c r="BC42" s="549"/>
      <c r="BF42" s="531"/>
    </row>
    <row r="43" spans="1:58" ht="16.899999999999999" customHeight="1">
      <c r="A43" s="531" t="str">
        <f>'EIA23 EQ Cost'!B25</f>
        <v>RSHEHPV230</v>
      </c>
      <c r="B43" s="531" t="str">
        <f>'EIA23 EQ Cost'!C25</f>
        <v>Electric Heat Pump Ver2.RSH.ELC.30</v>
      </c>
      <c r="C43" s="530" t="s">
        <v>32</v>
      </c>
      <c r="D43" s="531" t="s">
        <v>122</v>
      </c>
      <c r="E43" s="531"/>
      <c r="F43" s="547">
        <f>'EIA23 EQ Cost'!G25</f>
        <v>2030</v>
      </c>
      <c r="G43" s="587">
        <f>'EIA23 EQ Cost'!H25</f>
        <v>15.5</v>
      </c>
      <c r="H43" s="548">
        <f>'EIA23 EQ Cost'!J25</f>
        <v>12.381456458581987</v>
      </c>
      <c r="I43" s="548"/>
      <c r="J43" s="531"/>
      <c r="K43" s="531">
        <f>0.16*2</f>
        <v>0.32</v>
      </c>
      <c r="L43" s="531">
        <f t="shared" ref="L43:O43" si="12">0.16*2</f>
        <v>0.32</v>
      </c>
      <c r="M43" s="531">
        <f t="shared" si="12"/>
        <v>0.32</v>
      </c>
      <c r="N43" s="531">
        <f t="shared" si="12"/>
        <v>0.32</v>
      </c>
      <c r="O43" s="531">
        <f t="shared" si="12"/>
        <v>0.32</v>
      </c>
      <c r="P43" s="531"/>
      <c r="Q43" s="531">
        <v>0.18</v>
      </c>
      <c r="R43" s="546"/>
      <c r="S43" s="546"/>
      <c r="T43" s="546"/>
      <c r="U43" s="546"/>
      <c r="V43" s="546"/>
      <c r="W43" s="546"/>
      <c r="X43" s="546">
        <v>0</v>
      </c>
      <c r="Y43" s="546">
        <v>0</v>
      </c>
      <c r="Z43" s="546">
        <v>0</v>
      </c>
      <c r="AA43" s="546">
        <v>0</v>
      </c>
      <c r="AD43" s="546"/>
      <c r="AE43" s="531"/>
      <c r="AF43" s="531"/>
      <c r="AG43" s="531"/>
      <c r="AH43" s="531"/>
      <c r="AI43" s="531"/>
      <c r="AJ43" s="531"/>
      <c r="AK43" s="531"/>
      <c r="AL43" s="531"/>
      <c r="AO43" s="549"/>
      <c r="AP43" s="549"/>
      <c r="AQ43" s="549"/>
      <c r="AR43" s="549"/>
      <c r="AS43" s="549"/>
      <c r="AT43" s="549"/>
      <c r="AU43" s="549"/>
      <c r="AV43" s="549"/>
      <c r="AW43" s="549"/>
      <c r="AX43" s="549"/>
      <c r="AY43" s="549"/>
      <c r="AZ43" s="549"/>
      <c r="BA43" s="549"/>
      <c r="BB43" s="549"/>
      <c r="BC43" s="549"/>
      <c r="BF43" s="531" t="s">
        <v>37</v>
      </c>
    </row>
    <row r="44" spans="1:58" ht="16.899999999999999" customHeight="1">
      <c r="A44" s="531"/>
      <c r="B44" s="531"/>
      <c r="C44" s="530"/>
      <c r="D44" s="531"/>
      <c r="E44" s="531" t="s">
        <v>123</v>
      </c>
      <c r="F44" s="547"/>
      <c r="G44" s="587"/>
      <c r="H44" s="548"/>
      <c r="I44" s="548"/>
      <c r="J44" s="620">
        <v>0.75</v>
      </c>
      <c r="K44" s="531"/>
      <c r="L44" s="531"/>
      <c r="M44" s="531"/>
      <c r="N44" s="531"/>
      <c r="O44" s="531"/>
      <c r="P44" s="531"/>
      <c r="Q44" s="531"/>
      <c r="R44" s="546"/>
      <c r="S44" s="546"/>
      <c r="T44" s="546"/>
      <c r="U44" s="546"/>
      <c r="V44" s="546"/>
      <c r="W44" s="546"/>
      <c r="X44" s="546"/>
      <c r="Y44" s="546"/>
      <c r="Z44" s="546"/>
      <c r="AA44" s="546"/>
      <c r="AD44" s="546"/>
      <c r="AE44" s="531"/>
      <c r="AF44" s="531"/>
      <c r="AG44" s="531"/>
      <c r="AH44" s="531"/>
      <c r="AI44" s="531"/>
      <c r="AJ44" s="531"/>
      <c r="AK44" s="531"/>
      <c r="AL44" s="531"/>
      <c r="AO44" s="549"/>
      <c r="AP44" s="549"/>
      <c r="AQ44" s="549"/>
      <c r="AR44" s="549"/>
      <c r="AS44" s="549"/>
      <c r="AT44" s="549"/>
      <c r="AU44" s="549"/>
      <c r="AV44" s="549"/>
      <c r="AW44" s="549"/>
      <c r="AX44" s="549"/>
      <c r="AY44" s="549"/>
      <c r="AZ44" s="549"/>
      <c r="BA44" s="549"/>
      <c r="BB44" s="549"/>
      <c r="BC44" s="549"/>
      <c r="BF44" s="531"/>
    </row>
    <row r="45" spans="1:58" ht="16.899999999999999" customHeight="1">
      <c r="A45" s="531"/>
      <c r="B45" s="531"/>
      <c r="C45" s="530"/>
      <c r="D45" s="531"/>
      <c r="E45" s="531" t="s">
        <v>124</v>
      </c>
      <c r="F45" s="547"/>
      <c r="G45" s="587"/>
      <c r="H45" s="548"/>
      <c r="I45" s="548"/>
      <c r="J45" s="620">
        <v>0.5</v>
      </c>
      <c r="K45" s="531"/>
      <c r="L45" s="531"/>
      <c r="M45" s="531"/>
      <c r="N45" s="531"/>
      <c r="O45" s="531"/>
      <c r="P45" s="531"/>
      <c r="Q45" s="531"/>
      <c r="R45" s="546"/>
      <c r="S45" s="546"/>
      <c r="T45" s="546"/>
      <c r="U45" s="546"/>
      <c r="V45" s="546"/>
      <c r="W45" s="546"/>
      <c r="X45" s="546"/>
      <c r="Y45" s="546"/>
      <c r="Z45" s="546"/>
      <c r="AA45" s="546"/>
      <c r="AD45" s="546"/>
      <c r="AE45" s="531"/>
      <c r="AF45" s="531"/>
      <c r="AG45" s="531"/>
      <c r="AH45" s="531"/>
      <c r="AI45" s="531"/>
      <c r="AJ45" s="531"/>
      <c r="AK45" s="531"/>
      <c r="AL45" s="531"/>
      <c r="AO45" s="549"/>
      <c r="AP45" s="549"/>
      <c r="AQ45" s="549"/>
      <c r="AR45" s="549"/>
      <c r="AS45" s="549"/>
      <c r="AT45" s="549"/>
      <c r="AU45" s="549"/>
      <c r="AV45" s="549"/>
      <c r="AW45" s="549"/>
      <c r="AX45" s="549"/>
      <c r="AY45" s="549"/>
      <c r="AZ45" s="549"/>
      <c r="BA45" s="549"/>
      <c r="BB45" s="549"/>
      <c r="BC45" s="549"/>
      <c r="BF45" s="531"/>
    </row>
    <row r="46" spans="1:58" ht="15" customHeight="1">
      <c r="A46" s="531" t="str">
        <f>'EIA23 EQ Cost'!B26</f>
        <v>RSHEHPV140</v>
      </c>
      <c r="B46" s="531" t="str">
        <f>'EIA23 EQ Cost'!C26</f>
        <v>Electric Heat Pump Ver1.RSH.ELC.40</v>
      </c>
      <c r="C46" s="530" t="s">
        <v>32</v>
      </c>
      <c r="D46" s="531" t="s">
        <v>122</v>
      </c>
      <c r="E46" s="531"/>
      <c r="F46" s="547">
        <f>'EIA23 EQ Cost'!G26</f>
        <v>2040</v>
      </c>
      <c r="G46" s="587">
        <f>'EIA23 EQ Cost'!H26</f>
        <v>15.5</v>
      </c>
      <c r="H46" s="548">
        <f>'EIA23 EQ Cost'!J26</f>
        <v>10.399274334122223</v>
      </c>
      <c r="I46" s="548"/>
      <c r="J46" s="531"/>
      <c r="K46" s="531">
        <f>0.16*2</f>
        <v>0.32</v>
      </c>
      <c r="L46" s="531">
        <f t="shared" ref="L46:O46" si="13">0.16*2</f>
        <v>0.32</v>
      </c>
      <c r="M46" s="531">
        <f t="shared" si="13"/>
        <v>0.32</v>
      </c>
      <c r="N46" s="531">
        <f t="shared" si="13"/>
        <v>0.32</v>
      </c>
      <c r="O46" s="531">
        <f t="shared" si="13"/>
        <v>0.32</v>
      </c>
      <c r="P46" s="531"/>
      <c r="Q46" s="531">
        <v>0.18</v>
      </c>
      <c r="R46" s="546"/>
      <c r="S46" s="546"/>
      <c r="T46" s="546"/>
      <c r="U46" s="546"/>
      <c r="V46" s="546"/>
      <c r="W46" s="546"/>
      <c r="X46" s="546"/>
      <c r="Y46" s="546"/>
      <c r="Z46" s="546">
        <v>0</v>
      </c>
      <c r="AA46" s="546">
        <v>0</v>
      </c>
      <c r="AD46" s="546"/>
      <c r="AE46" s="531"/>
      <c r="AF46" s="531"/>
      <c r="AG46" s="531"/>
      <c r="AH46" s="531"/>
      <c r="AI46" s="531"/>
      <c r="AJ46" s="531"/>
      <c r="AK46" s="531"/>
      <c r="AL46" s="531"/>
      <c r="AO46" s="549"/>
      <c r="AP46" s="549"/>
      <c r="AQ46" s="549"/>
      <c r="AR46" s="549"/>
      <c r="AS46" s="549"/>
      <c r="AT46" s="549"/>
      <c r="AU46" s="549"/>
      <c r="AV46" s="549"/>
      <c r="AW46" s="549"/>
      <c r="AX46" s="549"/>
      <c r="AY46" s="549"/>
      <c r="AZ46" s="549"/>
      <c r="BA46" s="549"/>
      <c r="BB46" s="549"/>
      <c r="BC46" s="549"/>
      <c r="BF46" s="531" t="s">
        <v>37</v>
      </c>
    </row>
    <row r="47" spans="1:58" ht="15" customHeight="1">
      <c r="A47" s="531"/>
      <c r="B47" s="531"/>
      <c r="C47" s="530"/>
      <c r="D47" s="531"/>
      <c r="E47" s="531" t="s">
        <v>123</v>
      </c>
      <c r="F47" s="547"/>
      <c r="G47" s="587"/>
      <c r="H47" s="548"/>
      <c r="I47" s="548"/>
      <c r="J47" s="620">
        <v>0.75</v>
      </c>
      <c r="K47" s="531"/>
      <c r="L47" s="531"/>
      <c r="M47" s="531"/>
      <c r="N47" s="531"/>
      <c r="O47" s="531"/>
      <c r="P47" s="531"/>
      <c r="Q47" s="531"/>
      <c r="R47" s="546"/>
      <c r="S47" s="546"/>
      <c r="T47" s="546"/>
      <c r="U47" s="546"/>
      <c r="V47" s="546"/>
      <c r="W47" s="546"/>
      <c r="X47" s="546"/>
      <c r="Y47" s="546"/>
      <c r="Z47" s="546"/>
      <c r="AA47" s="546"/>
      <c r="AD47" s="546"/>
      <c r="AE47" s="531"/>
      <c r="AF47" s="531"/>
      <c r="AG47" s="531"/>
      <c r="AH47" s="531"/>
      <c r="AI47" s="531"/>
      <c r="AJ47" s="531"/>
      <c r="AK47" s="531"/>
      <c r="AL47" s="531"/>
      <c r="AO47" s="549"/>
      <c r="AP47" s="549"/>
      <c r="AQ47" s="549"/>
      <c r="AR47" s="549"/>
      <c r="AS47" s="549"/>
      <c r="AT47" s="549"/>
      <c r="AU47" s="549"/>
      <c r="AV47" s="549"/>
      <c r="AW47" s="549"/>
      <c r="AX47" s="549"/>
      <c r="AY47" s="549"/>
      <c r="AZ47" s="549"/>
      <c r="BA47" s="549"/>
      <c r="BB47" s="549"/>
      <c r="BC47" s="549"/>
      <c r="BF47" s="531"/>
    </row>
    <row r="48" spans="1:58" ht="15" customHeight="1">
      <c r="A48" s="531"/>
      <c r="B48" s="531"/>
      <c r="C48" s="530"/>
      <c r="D48" s="531"/>
      <c r="E48" s="531" t="s">
        <v>124</v>
      </c>
      <c r="F48" s="547"/>
      <c r="G48" s="587"/>
      <c r="H48" s="548"/>
      <c r="I48" s="548"/>
      <c r="J48" s="620">
        <v>0.5</v>
      </c>
      <c r="K48" s="531"/>
      <c r="L48" s="531"/>
      <c r="M48" s="531"/>
      <c r="N48" s="531"/>
      <c r="O48" s="531"/>
      <c r="P48" s="531"/>
      <c r="Q48" s="531"/>
      <c r="R48" s="546"/>
      <c r="S48" s="546"/>
      <c r="T48" s="546"/>
      <c r="U48" s="546"/>
      <c r="V48" s="546"/>
      <c r="W48" s="546"/>
      <c r="X48" s="546"/>
      <c r="Y48" s="546"/>
      <c r="Z48" s="546"/>
      <c r="AA48" s="546"/>
      <c r="AD48" s="546"/>
      <c r="AE48" s="531"/>
      <c r="AF48" s="531"/>
      <c r="AG48" s="531"/>
      <c r="AH48" s="531"/>
      <c r="AI48" s="531"/>
      <c r="AJ48" s="531"/>
      <c r="AK48" s="531"/>
      <c r="AL48" s="531"/>
      <c r="AO48" s="549"/>
      <c r="AP48" s="549"/>
      <c r="AQ48" s="549"/>
      <c r="AR48" s="549"/>
      <c r="AS48" s="549"/>
      <c r="AT48" s="549"/>
      <c r="AU48" s="549"/>
      <c r="AV48" s="549"/>
      <c r="AW48" s="549"/>
      <c r="AX48" s="549"/>
      <c r="AY48" s="549"/>
      <c r="AZ48" s="549"/>
      <c r="BA48" s="549"/>
      <c r="BB48" s="549"/>
      <c r="BC48" s="549"/>
      <c r="BF48" s="531"/>
    </row>
    <row r="49" spans="1:58" ht="15" customHeight="1">
      <c r="A49" s="531" t="str">
        <f>'EIA23 EQ Cost'!B27</f>
        <v>RSHEHPV240</v>
      </c>
      <c r="B49" s="531" t="str">
        <f>'EIA23 EQ Cost'!C27</f>
        <v>Electric Heat Pump Ver2.RSH.ELC.40</v>
      </c>
      <c r="C49" s="530" t="s">
        <v>32</v>
      </c>
      <c r="D49" s="531" t="s">
        <v>122</v>
      </c>
      <c r="E49" s="531"/>
      <c r="F49" s="547">
        <f>'EIA23 EQ Cost'!G27</f>
        <v>2040</v>
      </c>
      <c r="G49" s="587">
        <f>'EIA23 EQ Cost'!H27</f>
        <v>15.5</v>
      </c>
      <c r="H49" s="548">
        <f>'EIA23 EQ Cost'!J27</f>
        <v>12.381456458581987</v>
      </c>
      <c r="I49" s="548"/>
      <c r="J49" s="531"/>
      <c r="K49" s="531">
        <f>0.16*2</f>
        <v>0.32</v>
      </c>
      <c r="L49" s="531">
        <f t="shared" ref="L49:O49" si="14">0.16*2</f>
        <v>0.32</v>
      </c>
      <c r="M49" s="531">
        <f t="shared" si="14"/>
        <v>0.32</v>
      </c>
      <c r="N49" s="531">
        <f t="shared" si="14"/>
        <v>0.32</v>
      </c>
      <c r="O49" s="531">
        <f t="shared" si="14"/>
        <v>0.32</v>
      </c>
      <c r="P49" s="531"/>
      <c r="Q49" s="531">
        <v>0.18</v>
      </c>
      <c r="R49" s="597"/>
      <c r="S49" s="597"/>
      <c r="T49" s="597"/>
      <c r="U49" s="597"/>
      <c r="V49" s="546"/>
      <c r="W49" s="546"/>
      <c r="X49" s="546"/>
      <c r="Y49" s="546"/>
      <c r="Z49" s="546">
        <v>0</v>
      </c>
      <c r="AA49" s="546">
        <v>0</v>
      </c>
      <c r="AD49" s="546"/>
      <c r="AE49" s="531"/>
      <c r="AF49" s="531"/>
      <c r="AG49" s="531"/>
      <c r="AH49" s="531"/>
      <c r="AI49" s="531"/>
      <c r="AJ49" s="531"/>
      <c r="AK49" s="531"/>
      <c r="AL49" s="531"/>
      <c r="AO49" s="597"/>
      <c r="AP49" s="597"/>
      <c r="AQ49" s="597"/>
      <c r="AR49" s="597"/>
      <c r="AS49" s="597"/>
      <c r="AT49" s="597"/>
      <c r="AU49" s="597"/>
      <c r="AV49" s="597"/>
      <c r="AW49" s="597"/>
      <c r="AX49" s="597"/>
      <c r="AY49" s="597"/>
      <c r="AZ49" s="597"/>
      <c r="BA49" s="597"/>
      <c r="BB49" s="597"/>
      <c r="BC49" s="597"/>
      <c r="BF49" s="531" t="s">
        <v>37</v>
      </c>
    </row>
    <row r="50" spans="1:58" ht="15" customHeight="1">
      <c r="A50" s="531"/>
      <c r="B50" s="531"/>
      <c r="C50" s="530"/>
      <c r="D50" s="531"/>
      <c r="E50" s="531" t="s">
        <v>123</v>
      </c>
      <c r="F50" s="547"/>
      <c r="G50" s="587"/>
      <c r="H50" s="548"/>
      <c r="I50" s="548"/>
      <c r="J50" s="620">
        <v>0.75</v>
      </c>
      <c r="K50" s="531"/>
      <c r="L50" s="531"/>
      <c r="M50" s="531"/>
      <c r="N50" s="531"/>
      <c r="O50" s="531"/>
      <c r="P50" s="531"/>
      <c r="Q50" s="531"/>
      <c r="R50" s="597"/>
      <c r="S50" s="597"/>
      <c r="T50" s="597"/>
      <c r="U50" s="597"/>
      <c r="V50" s="546"/>
      <c r="W50" s="546"/>
      <c r="X50" s="546"/>
      <c r="Y50" s="546"/>
      <c r="Z50" s="546"/>
      <c r="AA50" s="546"/>
      <c r="AD50" s="546"/>
      <c r="AE50" s="531"/>
      <c r="AF50" s="531"/>
      <c r="AG50" s="531"/>
      <c r="AH50" s="531"/>
      <c r="AI50" s="531"/>
      <c r="AJ50" s="531"/>
      <c r="AK50" s="531"/>
      <c r="AL50" s="531"/>
      <c r="AO50" s="597"/>
      <c r="AP50" s="597"/>
      <c r="AQ50" s="597"/>
      <c r="AR50" s="597"/>
      <c r="AS50" s="597"/>
      <c r="AT50" s="597"/>
      <c r="AU50" s="597"/>
      <c r="AV50" s="597"/>
      <c r="AW50" s="597"/>
      <c r="AX50" s="597"/>
      <c r="AY50" s="597"/>
      <c r="AZ50" s="597"/>
      <c r="BA50" s="597"/>
      <c r="BB50" s="597"/>
      <c r="BC50" s="597"/>
      <c r="BF50" s="531"/>
    </row>
    <row r="51" spans="1:58" ht="15" customHeight="1">
      <c r="A51" s="531"/>
      <c r="B51" s="531"/>
      <c r="C51" s="530"/>
      <c r="D51" s="531"/>
      <c r="E51" s="531" t="s">
        <v>124</v>
      </c>
      <c r="F51" s="547"/>
      <c r="G51" s="587"/>
      <c r="H51" s="548"/>
      <c r="I51" s="548"/>
      <c r="J51" s="620">
        <v>0.5</v>
      </c>
      <c r="K51" s="531"/>
      <c r="L51" s="531"/>
      <c r="M51" s="531"/>
      <c r="N51" s="531"/>
      <c r="O51" s="531"/>
      <c r="P51" s="531"/>
      <c r="Q51" s="531"/>
      <c r="R51" s="597"/>
      <c r="S51" s="597"/>
      <c r="T51" s="597"/>
      <c r="U51" s="597"/>
      <c r="V51" s="546"/>
      <c r="W51" s="546"/>
      <c r="X51" s="546"/>
      <c r="Y51" s="546"/>
      <c r="Z51" s="546"/>
      <c r="AA51" s="546"/>
      <c r="AD51" s="546"/>
      <c r="AE51" s="531"/>
      <c r="AF51" s="531"/>
      <c r="AG51" s="531"/>
      <c r="AH51" s="531"/>
      <c r="AI51" s="531"/>
      <c r="AJ51" s="531"/>
      <c r="AK51" s="531"/>
      <c r="AL51" s="531"/>
      <c r="AO51" s="597"/>
      <c r="AP51" s="597"/>
      <c r="AQ51" s="597"/>
      <c r="AR51" s="597"/>
      <c r="AS51" s="597"/>
      <c r="AT51" s="597"/>
      <c r="AU51" s="597"/>
      <c r="AV51" s="597"/>
      <c r="AW51" s="597"/>
      <c r="AX51" s="597"/>
      <c r="AY51" s="597"/>
      <c r="AZ51" s="597"/>
      <c r="BA51" s="597"/>
      <c r="BB51" s="597"/>
      <c r="BC51" s="597"/>
      <c r="BF51" s="531"/>
    </row>
    <row r="52" spans="1:58" ht="15" customHeight="1">
      <c r="A52" s="531" t="str">
        <f>'EIA23 EQ Cost'!B28</f>
        <v>RSHEHPV150</v>
      </c>
      <c r="B52" s="531" t="str">
        <f>'EIA23 EQ Cost'!C28</f>
        <v>Electric Heat Pump Ver1.RSH.ELC.50</v>
      </c>
      <c r="C52" s="530" t="s">
        <v>32</v>
      </c>
      <c r="D52" s="531" t="s">
        <v>122</v>
      </c>
      <c r="E52" s="531"/>
      <c r="F52" s="547">
        <f>'EIA23 EQ Cost'!G28</f>
        <v>2050</v>
      </c>
      <c r="G52" s="587">
        <f>'EIA23 EQ Cost'!H28</f>
        <v>15.5</v>
      </c>
      <c r="H52" s="548">
        <f>'EIA23 EQ Cost'!J28</f>
        <v>10.5285470813696</v>
      </c>
      <c r="I52" s="548"/>
      <c r="J52" s="531"/>
      <c r="K52" s="531">
        <f>0.16*2</f>
        <v>0.32</v>
      </c>
      <c r="L52" s="531">
        <f t="shared" ref="L52:O52" si="15">0.16*2</f>
        <v>0.32</v>
      </c>
      <c r="M52" s="531">
        <f t="shared" si="15"/>
        <v>0.32</v>
      </c>
      <c r="N52" s="531">
        <f t="shared" si="15"/>
        <v>0.32</v>
      </c>
      <c r="O52" s="531">
        <f t="shared" si="15"/>
        <v>0.32</v>
      </c>
      <c r="P52" s="531"/>
      <c r="Q52" s="531">
        <v>0.18</v>
      </c>
      <c r="R52" s="546"/>
      <c r="S52" s="546"/>
      <c r="T52" s="546"/>
      <c r="U52" s="546"/>
      <c r="V52" s="546"/>
      <c r="W52" s="546"/>
      <c r="X52" s="546"/>
      <c r="Y52" s="546"/>
      <c r="Z52" s="546"/>
      <c r="AA52" s="546"/>
      <c r="AD52" s="546"/>
      <c r="AE52" s="531"/>
      <c r="AF52" s="531"/>
      <c r="AG52" s="531"/>
      <c r="AH52" s="531"/>
      <c r="AI52" s="531"/>
      <c r="AJ52" s="531"/>
      <c r="AK52" s="531"/>
      <c r="AL52" s="531"/>
      <c r="AO52" s="549"/>
      <c r="AP52" s="549"/>
      <c r="AQ52" s="549"/>
      <c r="AR52" s="549"/>
      <c r="AS52" s="549"/>
      <c r="AT52" s="549"/>
      <c r="AU52" s="549"/>
      <c r="AV52" s="549"/>
      <c r="AW52" s="549"/>
      <c r="AX52" s="549"/>
      <c r="AY52" s="549"/>
      <c r="AZ52" s="549"/>
      <c r="BA52" s="549"/>
      <c r="BB52" s="549"/>
      <c r="BC52" s="549"/>
      <c r="BF52" s="531" t="s">
        <v>37</v>
      </c>
    </row>
    <row r="53" spans="1:58" ht="15" customHeight="1">
      <c r="A53" s="531"/>
      <c r="B53" s="531"/>
      <c r="C53" s="530"/>
      <c r="D53" s="531"/>
      <c r="E53" s="531" t="s">
        <v>123</v>
      </c>
      <c r="F53" s="547"/>
      <c r="G53" s="587"/>
      <c r="H53" s="548"/>
      <c r="I53" s="548"/>
      <c r="J53" s="620">
        <v>0.75</v>
      </c>
      <c r="K53" s="531"/>
      <c r="L53" s="531"/>
      <c r="M53" s="531"/>
      <c r="N53" s="531"/>
      <c r="O53" s="531"/>
      <c r="P53" s="531"/>
      <c r="Q53" s="531"/>
      <c r="R53" s="546"/>
      <c r="S53" s="546"/>
      <c r="T53" s="546"/>
      <c r="U53" s="546"/>
      <c r="V53" s="546"/>
      <c r="W53" s="546"/>
      <c r="X53" s="546"/>
      <c r="Y53" s="546"/>
      <c r="Z53" s="546"/>
      <c r="AA53" s="546"/>
      <c r="AD53" s="546"/>
      <c r="AE53" s="531"/>
      <c r="AF53" s="531"/>
      <c r="AG53" s="531"/>
      <c r="AH53" s="531"/>
      <c r="AI53" s="531"/>
      <c r="AJ53" s="531"/>
      <c r="AK53" s="531"/>
      <c r="AL53" s="531"/>
      <c r="AO53" s="549"/>
      <c r="AP53" s="549"/>
      <c r="AQ53" s="549"/>
      <c r="AR53" s="549"/>
      <c r="AS53" s="549"/>
      <c r="AT53" s="549"/>
      <c r="AU53" s="549"/>
      <c r="AV53" s="549"/>
      <c r="AW53" s="549"/>
      <c r="AX53" s="549"/>
      <c r="AY53" s="549"/>
      <c r="AZ53" s="549"/>
      <c r="BA53" s="549"/>
      <c r="BB53" s="549"/>
      <c r="BC53" s="549"/>
      <c r="BF53" s="531"/>
    </row>
    <row r="54" spans="1:58" ht="15" customHeight="1">
      <c r="A54" s="531"/>
      <c r="B54" s="531"/>
      <c r="C54" s="530"/>
      <c r="D54" s="531"/>
      <c r="E54" s="531" t="s">
        <v>124</v>
      </c>
      <c r="F54" s="547"/>
      <c r="G54" s="587"/>
      <c r="H54" s="548"/>
      <c r="I54" s="548"/>
      <c r="J54" s="620">
        <v>0.5</v>
      </c>
      <c r="K54" s="531"/>
      <c r="L54" s="531"/>
      <c r="M54" s="531"/>
      <c r="N54" s="531"/>
      <c r="O54" s="531"/>
      <c r="P54" s="531"/>
      <c r="Q54" s="531"/>
      <c r="R54" s="546"/>
      <c r="S54" s="546"/>
      <c r="T54" s="546"/>
      <c r="U54" s="546"/>
      <c r="V54" s="546"/>
      <c r="W54" s="546"/>
      <c r="X54" s="546"/>
      <c r="Y54" s="546"/>
      <c r="Z54" s="546"/>
      <c r="AA54" s="546"/>
      <c r="AD54" s="546"/>
      <c r="AE54" s="531"/>
      <c r="AF54" s="531"/>
      <c r="AG54" s="531"/>
      <c r="AH54" s="531"/>
      <c r="AI54" s="531"/>
      <c r="AJ54" s="531"/>
      <c r="AK54" s="531"/>
      <c r="AL54" s="531"/>
      <c r="AO54" s="549"/>
      <c r="AP54" s="549"/>
      <c r="AQ54" s="549"/>
      <c r="AR54" s="549"/>
      <c r="AS54" s="549"/>
      <c r="AT54" s="549"/>
      <c r="AU54" s="549"/>
      <c r="AV54" s="549"/>
      <c r="AW54" s="549"/>
      <c r="AX54" s="549"/>
      <c r="AY54" s="549"/>
      <c r="AZ54" s="549"/>
      <c r="BA54" s="549"/>
      <c r="BB54" s="549"/>
      <c r="BC54" s="549"/>
      <c r="BF54" s="531"/>
    </row>
    <row r="55" spans="1:58" ht="15" customHeight="1">
      <c r="A55" s="531" t="str">
        <f>'EIA23 EQ Cost'!B29</f>
        <v>RSHEHPV250</v>
      </c>
      <c r="B55" s="531" t="str">
        <f>'EIA23 EQ Cost'!C29</f>
        <v>Electric Heat Pump Ver2.RSH.ELC.50</v>
      </c>
      <c r="C55" s="530" t="s">
        <v>32</v>
      </c>
      <c r="D55" s="531" t="s">
        <v>122</v>
      </c>
      <c r="E55" s="531"/>
      <c r="F55" s="547">
        <f>'EIA23 EQ Cost'!G29</f>
        <v>2050</v>
      </c>
      <c r="G55" s="587">
        <f>'EIA23 EQ Cost'!H29</f>
        <v>15.5</v>
      </c>
      <c r="H55" s="548">
        <f>'EIA23 EQ Cost'!J29</f>
        <v>12.381456458581987</v>
      </c>
      <c r="I55" s="548"/>
      <c r="J55" s="531"/>
      <c r="K55" s="531">
        <f>0.16*2</f>
        <v>0.32</v>
      </c>
      <c r="L55" s="531">
        <f t="shared" ref="L55:O55" si="16">0.16*2</f>
        <v>0.32</v>
      </c>
      <c r="M55" s="531">
        <f t="shared" si="16"/>
        <v>0.32</v>
      </c>
      <c r="N55" s="531">
        <f t="shared" si="16"/>
        <v>0.32</v>
      </c>
      <c r="O55" s="531">
        <f t="shared" si="16"/>
        <v>0.32</v>
      </c>
      <c r="P55" s="531"/>
      <c r="Q55" s="531">
        <v>0.18</v>
      </c>
      <c r="R55" s="546"/>
      <c r="S55" s="546"/>
      <c r="T55" s="546"/>
      <c r="U55" s="546"/>
      <c r="V55" s="546"/>
      <c r="W55" s="546"/>
      <c r="X55" s="546"/>
      <c r="Y55" s="546"/>
      <c r="Z55" s="546"/>
      <c r="AA55" s="546"/>
      <c r="AD55" s="546"/>
      <c r="AE55" s="531"/>
      <c r="AF55" s="531"/>
      <c r="AG55" s="531"/>
      <c r="AH55" s="531"/>
      <c r="AI55" s="531"/>
      <c r="AJ55" s="531"/>
      <c r="AK55" s="531"/>
      <c r="AL55" s="531"/>
      <c r="AO55" s="549"/>
      <c r="AP55" s="549"/>
      <c r="AQ55" s="549"/>
      <c r="AR55" s="549"/>
      <c r="AS55" s="549"/>
      <c r="AT55" s="549"/>
      <c r="AU55" s="549"/>
      <c r="AV55" s="549"/>
      <c r="AW55" s="549"/>
      <c r="AX55" s="549"/>
      <c r="AY55" s="549"/>
      <c r="AZ55" s="549"/>
      <c r="BA55" s="549"/>
      <c r="BB55" s="549"/>
      <c r="BC55" s="549"/>
      <c r="BF55" s="531" t="s">
        <v>37</v>
      </c>
    </row>
    <row r="56" spans="1:58" ht="15" customHeight="1">
      <c r="A56" s="531"/>
      <c r="B56" s="531"/>
      <c r="C56" s="530"/>
      <c r="D56" s="531"/>
      <c r="E56" s="531" t="s">
        <v>123</v>
      </c>
      <c r="F56" s="547"/>
      <c r="G56" s="587"/>
      <c r="H56" s="548"/>
      <c r="I56" s="548"/>
      <c r="J56" s="620">
        <v>0.75</v>
      </c>
      <c r="K56" s="531"/>
      <c r="L56" s="531"/>
      <c r="M56" s="531"/>
      <c r="N56" s="531"/>
      <c r="O56" s="531"/>
      <c r="P56" s="531"/>
      <c r="Q56" s="531"/>
      <c r="R56" s="546"/>
      <c r="S56" s="546"/>
      <c r="T56" s="546"/>
      <c r="U56" s="546"/>
      <c r="V56" s="546"/>
      <c r="W56" s="546"/>
      <c r="X56" s="546"/>
      <c r="Y56" s="546"/>
      <c r="Z56" s="546"/>
      <c r="AA56" s="546"/>
      <c r="AD56" s="546"/>
      <c r="AE56" s="531"/>
      <c r="AF56" s="531"/>
      <c r="AG56" s="531"/>
      <c r="AH56" s="531"/>
      <c r="AI56" s="531"/>
      <c r="AJ56" s="531"/>
      <c r="AK56" s="531"/>
      <c r="AL56" s="531"/>
      <c r="AO56" s="549"/>
      <c r="AP56" s="549"/>
      <c r="AQ56" s="549"/>
      <c r="AR56" s="549"/>
      <c r="AS56" s="549"/>
      <c r="AT56" s="549"/>
      <c r="AU56" s="549"/>
      <c r="AV56" s="549"/>
      <c r="AW56" s="549"/>
      <c r="AX56" s="549"/>
      <c r="AY56" s="549"/>
      <c r="AZ56" s="549"/>
      <c r="BA56" s="549"/>
      <c r="BB56" s="549"/>
      <c r="BC56" s="549"/>
      <c r="BF56" s="531"/>
    </row>
    <row r="57" spans="1:58" ht="15" customHeight="1">
      <c r="A57" s="531"/>
      <c r="B57" s="531"/>
      <c r="C57" s="530"/>
      <c r="D57" s="531"/>
      <c r="E57" s="531" t="s">
        <v>124</v>
      </c>
      <c r="F57" s="547"/>
      <c r="G57" s="587"/>
      <c r="H57" s="548"/>
      <c r="I57" s="548"/>
      <c r="J57" s="620">
        <v>0.5</v>
      </c>
      <c r="K57" s="531"/>
      <c r="L57" s="531"/>
      <c r="M57" s="531"/>
      <c r="N57" s="531"/>
      <c r="O57" s="531"/>
      <c r="P57" s="531"/>
      <c r="Q57" s="531"/>
      <c r="R57" s="546"/>
      <c r="S57" s="546"/>
      <c r="T57" s="546"/>
      <c r="U57" s="546"/>
      <c r="V57" s="546"/>
      <c r="W57" s="546"/>
      <c r="X57" s="546"/>
      <c r="Y57" s="546"/>
      <c r="Z57" s="546"/>
      <c r="AA57" s="546"/>
      <c r="AD57" s="546"/>
      <c r="AE57" s="531"/>
      <c r="AF57" s="531"/>
      <c r="AG57" s="531"/>
      <c r="AH57" s="531"/>
      <c r="AI57" s="531"/>
      <c r="AJ57" s="531"/>
      <c r="AK57" s="531"/>
      <c r="AL57" s="531"/>
      <c r="AO57" s="549"/>
      <c r="AP57" s="549"/>
      <c r="AQ57" s="549"/>
      <c r="AR57" s="549"/>
      <c r="AS57" s="549"/>
      <c r="AT57" s="549"/>
      <c r="AU57" s="549"/>
      <c r="AV57" s="549"/>
      <c r="AW57" s="549"/>
      <c r="AX57" s="549"/>
      <c r="AY57" s="549"/>
      <c r="AZ57" s="549"/>
      <c r="BA57" s="549"/>
      <c r="BB57" s="549"/>
      <c r="BC57" s="549"/>
      <c r="BF57" s="531"/>
    </row>
    <row r="58" spans="1:58" ht="15" customHeight="1">
      <c r="A58" s="533" t="str">
        <f>'EIA23 EQ Cost'!B30</f>
        <v>*Natural Gas Furnaces   (Residential Gas-Fired Furnaces - North)</v>
      </c>
      <c r="B58" s="532"/>
      <c r="C58" s="533"/>
      <c r="D58" s="532"/>
      <c r="E58" s="532"/>
      <c r="F58" s="586"/>
      <c r="G58" s="588"/>
      <c r="H58" s="598"/>
      <c r="I58" s="598"/>
      <c r="J58" s="532"/>
      <c r="K58" s="532"/>
      <c r="L58" s="532"/>
      <c r="M58" s="532"/>
      <c r="N58" s="532"/>
      <c r="O58" s="532"/>
      <c r="P58" s="532"/>
      <c r="Q58" s="532"/>
      <c r="R58" s="558"/>
      <c r="S58" s="558"/>
      <c r="T58" s="558"/>
      <c r="U58" s="558"/>
      <c r="V58" s="558"/>
      <c r="W58" s="558"/>
      <c r="X58" s="558"/>
      <c r="Y58" s="558"/>
      <c r="Z58" s="558"/>
      <c r="AA58" s="558"/>
      <c r="AD58" s="558"/>
      <c r="AE58" s="532"/>
      <c r="AF58" s="532"/>
      <c r="AG58" s="532"/>
      <c r="AH58" s="532"/>
      <c r="AI58" s="532"/>
      <c r="AJ58" s="532"/>
      <c r="AK58" s="532"/>
      <c r="AL58" s="532"/>
      <c r="AO58" s="558"/>
      <c r="AP58" s="558"/>
      <c r="AQ58" s="558"/>
      <c r="AR58" s="558"/>
      <c r="AS58" s="558"/>
      <c r="AT58" s="558"/>
      <c r="AU58" s="558"/>
      <c r="AV58" s="558"/>
      <c r="AW58" s="558"/>
      <c r="AX58" s="558"/>
      <c r="AY58" s="558"/>
      <c r="AZ58" s="558"/>
      <c r="BA58" s="558"/>
      <c r="BB58" s="558"/>
      <c r="BC58" s="558"/>
      <c r="BF58" s="533" t="str">
        <f>A58</f>
        <v>*Natural Gas Furnaces   (Residential Gas-Fired Furnaces - North)</v>
      </c>
    </row>
    <row r="59" spans="1:58" ht="15" customHeight="1">
      <c r="A59" s="531" t="str">
        <f>'EIA23 EQ Cost'!B31</f>
        <v>RSHNFRBS15</v>
      </c>
      <c r="B59" s="531" t="str">
        <f>'EIA23 EQ Cost'!C31</f>
        <v>Natural Gas Furnace Base.RSH.NGA.15</v>
      </c>
      <c r="C59" s="530" t="s">
        <v>32</v>
      </c>
      <c r="D59" s="531" t="s">
        <v>125</v>
      </c>
      <c r="E59" s="531" t="s">
        <v>123</v>
      </c>
      <c r="F59" s="547">
        <f>'EIA23 EQ Cost'!G31</f>
        <v>2015</v>
      </c>
      <c r="G59" s="587">
        <f>'EIA23 EQ Cost'!H31</f>
        <v>21.5</v>
      </c>
      <c r="H59" s="548">
        <f>'EIA23 EQ Cost'!J31</f>
        <v>1.8615275603622103</v>
      </c>
      <c r="I59" s="548">
        <f>'EIA23 EQ Cost'!K31</f>
        <v>0.8</v>
      </c>
      <c r="J59" s="531">
        <v>1</v>
      </c>
      <c r="K59" s="531">
        <v>0.16</v>
      </c>
      <c r="L59" s="531">
        <v>0.16</v>
      </c>
      <c r="M59" s="531">
        <v>0.16</v>
      </c>
      <c r="N59" s="531">
        <v>0.16</v>
      </c>
      <c r="O59" s="531">
        <v>0.16</v>
      </c>
      <c r="P59" s="531"/>
      <c r="Q59" s="531">
        <v>0.18</v>
      </c>
      <c r="R59" s="546"/>
      <c r="S59" s="546"/>
      <c r="T59" s="546">
        <v>0</v>
      </c>
      <c r="U59" s="546">
        <v>0</v>
      </c>
      <c r="V59" s="546">
        <v>0</v>
      </c>
      <c r="W59" s="546">
        <v>0</v>
      </c>
      <c r="X59" s="546">
        <v>0</v>
      </c>
      <c r="Y59" s="546">
        <v>0</v>
      </c>
      <c r="Z59" s="546">
        <v>0</v>
      </c>
      <c r="AA59" s="546">
        <v>0</v>
      </c>
      <c r="AD59" s="546"/>
      <c r="AE59" s="531"/>
      <c r="AF59" s="531"/>
      <c r="AG59" s="531"/>
      <c r="AH59" s="531"/>
      <c r="AI59" s="531"/>
      <c r="AJ59" s="531"/>
      <c r="AK59" s="531"/>
      <c r="AL59" s="531"/>
      <c r="AO59" s="549" t="e">
        <f>Resid!V25</f>
        <v>#REF!</v>
      </c>
      <c r="AP59" s="549" t="e">
        <f>Resid!W25</f>
        <v>#REF!</v>
      </c>
      <c r="AQ59" s="549" t="e">
        <f>Resid!X25</f>
        <v>#REF!</v>
      </c>
      <c r="AR59" s="549" t="e">
        <f>Resid!Y25</f>
        <v>#REF!</v>
      </c>
      <c r="AS59" s="549" t="e">
        <f>Resid!Z25</f>
        <v>#REF!</v>
      </c>
      <c r="AT59" s="549" t="e">
        <f>AO59*0.9</f>
        <v>#REF!</v>
      </c>
      <c r="AU59" s="549" t="e">
        <f t="shared" ref="AU59:AX59" si="17">AP59*0.9</f>
        <v>#REF!</v>
      </c>
      <c r="AV59" s="549" t="e">
        <f t="shared" si="17"/>
        <v>#REF!</v>
      </c>
      <c r="AW59" s="549" t="e">
        <f t="shared" si="17"/>
        <v>#REF!</v>
      </c>
      <c r="AX59" s="549" t="e">
        <f t="shared" si="17"/>
        <v>#REF!</v>
      </c>
      <c r="AY59" s="546"/>
      <c r="AZ59" s="546"/>
      <c r="BA59" s="546"/>
      <c r="BB59" s="546"/>
      <c r="BC59" s="546"/>
      <c r="BF59" s="531" t="s">
        <v>37</v>
      </c>
    </row>
    <row r="60" spans="1:58" ht="15" customHeight="1">
      <c r="A60" s="531" t="str">
        <f>'EIA23 EQ Cost'!B32</f>
        <v>RSHNFRBS20</v>
      </c>
      <c r="B60" s="531" t="str">
        <f>'EIA23 EQ Cost'!C32</f>
        <v>Natural Gas Furnace Base.RSH.NGA.20</v>
      </c>
      <c r="C60" s="530" t="s">
        <v>32</v>
      </c>
      <c r="D60" s="531" t="s">
        <v>125</v>
      </c>
      <c r="E60" s="531" t="s">
        <v>123</v>
      </c>
      <c r="F60" s="547">
        <f>'EIA23 EQ Cost'!G32</f>
        <v>2020</v>
      </c>
      <c r="G60" s="587">
        <f>'EIA23 EQ Cost'!H32</f>
        <v>21.5</v>
      </c>
      <c r="H60" s="548">
        <f>'EIA23 EQ Cost'!J32</f>
        <v>1.8615275603622103</v>
      </c>
      <c r="I60" s="548">
        <f>'EIA23 EQ Cost'!K32</f>
        <v>0.8</v>
      </c>
      <c r="J60" s="531">
        <v>1</v>
      </c>
      <c r="K60" s="531">
        <v>0.16</v>
      </c>
      <c r="L60" s="531">
        <v>0.16</v>
      </c>
      <c r="M60" s="531">
        <v>0.16</v>
      </c>
      <c r="N60" s="531">
        <v>0.16</v>
      </c>
      <c r="O60" s="531">
        <v>0.16</v>
      </c>
      <c r="P60" s="531"/>
      <c r="Q60" s="531">
        <v>0.18</v>
      </c>
      <c r="R60" s="546"/>
      <c r="S60" s="546"/>
      <c r="T60" s="546"/>
      <c r="U60" s="546">
        <v>0</v>
      </c>
      <c r="V60" s="546">
        <v>0</v>
      </c>
      <c r="W60" s="546">
        <v>0</v>
      </c>
      <c r="X60" s="546">
        <v>0</v>
      </c>
      <c r="Y60" s="546">
        <v>0</v>
      </c>
      <c r="Z60" s="546">
        <v>0</v>
      </c>
      <c r="AA60" s="546">
        <v>0</v>
      </c>
      <c r="AD60" s="546"/>
      <c r="AE60" s="531"/>
      <c r="AF60" s="531"/>
      <c r="AG60" s="531"/>
      <c r="AH60" s="531"/>
      <c r="AI60" s="531"/>
      <c r="AJ60" s="531"/>
      <c r="AK60" s="531"/>
      <c r="AL60" s="531"/>
      <c r="AO60" s="546"/>
      <c r="AP60" s="546"/>
      <c r="AQ60" s="546"/>
      <c r="AR60" s="546"/>
      <c r="AS60" s="546"/>
      <c r="AT60" s="546"/>
      <c r="AU60" s="546"/>
      <c r="AV60" s="546"/>
      <c r="AW60" s="546"/>
      <c r="AX60" s="546"/>
      <c r="AY60" s="546"/>
      <c r="AZ60" s="546"/>
      <c r="BA60" s="546"/>
      <c r="BB60" s="546"/>
      <c r="BC60" s="546"/>
      <c r="BF60" s="531" t="s">
        <v>37</v>
      </c>
    </row>
    <row r="61" spans="1:58" ht="15" customHeight="1">
      <c r="A61" s="531" t="str">
        <f>'EIA23 EQ Cost'!B33</f>
        <v>RSHNFRV122</v>
      </c>
      <c r="B61" s="531" t="str">
        <f>'EIA23 EQ Cost'!C33</f>
        <v>Natural Gas Furnace Ver1.RSH.NGA.22</v>
      </c>
      <c r="C61" s="530" t="s">
        <v>32</v>
      </c>
      <c r="D61" s="531" t="s">
        <v>125</v>
      </c>
      <c r="E61" s="531" t="s">
        <v>123</v>
      </c>
      <c r="F61" s="547">
        <f>'EIA23 EQ Cost'!G33</f>
        <v>2022</v>
      </c>
      <c r="G61" s="587">
        <f>'EIA23 EQ Cost'!H33</f>
        <v>21.5</v>
      </c>
      <c r="H61" s="548">
        <f>'EIA23 EQ Cost'!J33</f>
        <v>2.3850821867140821</v>
      </c>
      <c r="I61" s="548">
        <f>'EIA23 EQ Cost'!K33</f>
        <v>0.8</v>
      </c>
      <c r="J61" s="531">
        <v>1</v>
      </c>
      <c r="K61" s="531">
        <v>0.16</v>
      </c>
      <c r="L61" s="531">
        <v>0.16</v>
      </c>
      <c r="M61" s="531">
        <v>0.16</v>
      </c>
      <c r="N61" s="531">
        <v>0.16</v>
      </c>
      <c r="O61" s="531">
        <v>0.16</v>
      </c>
      <c r="P61" s="531"/>
      <c r="Q61" s="531">
        <v>0.18</v>
      </c>
      <c r="R61" s="546"/>
      <c r="S61" s="546"/>
      <c r="T61" s="546"/>
      <c r="U61" s="546"/>
      <c r="V61" s="546"/>
      <c r="W61" s="546"/>
      <c r="X61" s="546"/>
      <c r="Y61" s="546"/>
      <c r="Z61" s="546"/>
      <c r="AA61" s="546"/>
      <c r="AD61" s="546"/>
      <c r="AE61" s="531"/>
      <c r="AF61" s="531"/>
      <c r="AG61" s="531"/>
      <c r="AH61" s="531"/>
      <c r="AI61" s="531"/>
      <c r="AJ61" s="531"/>
      <c r="AK61" s="531"/>
      <c r="AL61" s="531"/>
      <c r="AO61" s="546"/>
      <c r="AP61" s="546"/>
      <c r="AQ61" s="546"/>
      <c r="AR61" s="546"/>
      <c r="AS61" s="546"/>
      <c r="AT61" s="546"/>
      <c r="AU61" s="546"/>
      <c r="AV61" s="546"/>
      <c r="AW61" s="546"/>
      <c r="AX61" s="546"/>
      <c r="AY61" s="546"/>
      <c r="AZ61" s="546"/>
      <c r="BA61" s="546"/>
      <c r="BB61" s="546"/>
      <c r="BC61" s="546"/>
      <c r="BF61" s="531" t="s">
        <v>37</v>
      </c>
    </row>
    <row r="62" spans="1:58" ht="15" customHeight="1">
      <c r="A62" s="531" t="str">
        <f>'EIA23 EQ Cost'!B34</f>
        <v>RSHNFRV222</v>
      </c>
      <c r="B62" s="531" t="str">
        <f>'EIA23 EQ Cost'!C34</f>
        <v>Natural Gas Furnace Ver2.RSH.NGA.22</v>
      </c>
      <c r="C62" s="530" t="s">
        <v>32</v>
      </c>
      <c r="D62" s="531" t="s">
        <v>125</v>
      </c>
      <c r="E62" s="531" t="s">
        <v>123</v>
      </c>
      <c r="F62" s="547">
        <f>'EIA23 EQ Cost'!G34</f>
        <v>2022</v>
      </c>
      <c r="G62" s="587">
        <f>'EIA23 EQ Cost'!H34</f>
        <v>21.5</v>
      </c>
      <c r="H62" s="548">
        <f>'EIA23 EQ Cost'!J34</f>
        <v>2.6694822306583079</v>
      </c>
      <c r="I62" s="548">
        <f>'EIA23 EQ Cost'!K34</f>
        <v>0.9</v>
      </c>
      <c r="J62" s="531">
        <v>1</v>
      </c>
      <c r="K62" s="531">
        <v>0.16</v>
      </c>
      <c r="L62" s="531">
        <v>0.16</v>
      </c>
      <c r="M62" s="531">
        <v>0.16</v>
      </c>
      <c r="N62" s="531">
        <v>0.16</v>
      </c>
      <c r="O62" s="531">
        <v>0.16</v>
      </c>
      <c r="P62" s="531"/>
      <c r="Q62" s="531">
        <v>0.18</v>
      </c>
      <c r="R62" s="546"/>
      <c r="S62" s="546"/>
      <c r="T62" s="546"/>
      <c r="U62" s="546"/>
      <c r="V62" s="546"/>
      <c r="W62" s="546"/>
      <c r="X62" s="546"/>
      <c r="Y62" s="546"/>
      <c r="Z62" s="546"/>
      <c r="AA62" s="546"/>
      <c r="AD62" s="546"/>
      <c r="AE62" s="531"/>
      <c r="AF62" s="531"/>
      <c r="AG62" s="531"/>
      <c r="AH62" s="531"/>
      <c r="AI62" s="531"/>
      <c r="AJ62" s="531"/>
      <c r="AK62" s="531"/>
      <c r="AL62" s="531"/>
      <c r="AO62" s="546"/>
      <c r="AP62" s="546"/>
      <c r="AQ62" s="546"/>
      <c r="AR62" s="546"/>
      <c r="AS62" s="546"/>
      <c r="AT62" s="546"/>
      <c r="AU62" s="546"/>
      <c r="AV62" s="546"/>
      <c r="AW62" s="546"/>
      <c r="AX62" s="546"/>
      <c r="AY62" s="546"/>
      <c r="AZ62" s="546"/>
      <c r="BA62" s="546"/>
      <c r="BB62" s="546"/>
      <c r="BC62" s="546"/>
      <c r="BF62" s="531" t="s">
        <v>37</v>
      </c>
    </row>
    <row r="63" spans="1:58" ht="15" customHeight="1">
      <c r="A63" s="531" t="str">
        <f>'EIA23 EQ Cost'!B35</f>
        <v>RSHNFRV322</v>
      </c>
      <c r="B63" s="531" t="str">
        <f>'EIA23 EQ Cost'!C35</f>
        <v>Natural Gas Furnace Ver3.RSH.NGA.22</v>
      </c>
      <c r="C63" s="530" t="s">
        <v>32</v>
      </c>
      <c r="D63" s="531" t="s">
        <v>125</v>
      </c>
      <c r="E63" s="531" t="s">
        <v>123</v>
      </c>
      <c r="F63" s="547">
        <f>'EIA23 EQ Cost'!G35</f>
        <v>2022</v>
      </c>
      <c r="G63" s="587">
        <f>'EIA23 EQ Cost'!H35</f>
        <v>21.5</v>
      </c>
      <c r="H63" s="548">
        <f>'EIA23 EQ Cost'!J35</f>
        <v>2.6824095053830459</v>
      </c>
      <c r="I63" s="548">
        <f>'EIA23 EQ Cost'!K35</f>
        <v>0.95</v>
      </c>
      <c r="J63" s="531">
        <v>1</v>
      </c>
      <c r="K63" s="531">
        <v>0.16</v>
      </c>
      <c r="L63" s="531">
        <v>0.16</v>
      </c>
      <c r="M63" s="531">
        <v>0.16</v>
      </c>
      <c r="N63" s="531">
        <v>0.16</v>
      </c>
      <c r="O63" s="531">
        <v>0.16</v>
      </c>
      <c r="P63" s="531"/>
      <c r="Q63" s="531">
        <v>0.18</v>
      </c>
      <c r="R63" s="546"/>
      <c r="S63" s="546"/>
      <c r="T63" s="546"/>
      <c r="U63" s="546"/>
      <c r="V63" s="546"/>
      <c r="W63" s="546"/>
      <c r="X63" s="546"/>
      <c r="Y63" s="546"/>
      <c r="Z63" s="546"/>
      <c r="AA63" s="546"/>
      <c r="AD63" s="546"/>
      <c r="AE63" s="531"/>
      <c r="AF63" s="531"/>
      <c r="AG63" s="531"/>
      <c r="AH63" s="531"/>
      <c r="AI63" s="531"/>
      <c r="AJ63" s="531"/>
      <c r="AK63" s="531"/>
      <c r="AL63" s="531"/>
      <c r="AO63" s="546"/>
      <c r="AP63" s="546"/>
      <c r="AQ63" s="546"/>
      <c r="AR63" s="546"/>
      <c r="AS63" s="546"/>
      <c r="AT63" s="546"/>
      <c r="AU63" s="546"/>
      <c r="AV63" s="546"/>
      <c r="AW63" s="546"/>
      <c r="AX63" s="546"/>
      <c r="AY63" s="546"/>
      <c r="AZ63" s="546"/>
      <c r="BA63" s="546"/>
      <c r="BB63" s="546"/>
      <c r="BC63" s="546"/>
      <c r="BF63" s="531" t="s">
        <v>37</v>
      </c>
    </row>
    <row r="64" spans="1:58" ht="15" customHeight="1">
      <c r="A64" s="531" t="str">
        <f>'EIA23 EQ Cost'!B36</f>
        <v>RSHNFRV422</v>
      </c>
      <c r="B64" s="531" t="str">
        <f>'EIA23 EQ Cost'!C36</f>
        <v>Natural Gas Furnace Ver4.RSH.NGA.22</v>
      </c>
      <c r="C64" s="530" t="s">
        <v>32</v>
      </c>
      <c r="D64" s="531" t="s">
        <v>125</v>
      </c>
      <c r="E64" s="531" t="s">
        <v>123</v>
      </c>
      <c r="F64" s="547">
        <f>'EIA23 EQ Cost'!G36</f>
        <v>2022</v>
      </c>
      <c r="G64" s="587">
        <f>'EIA23 EQ Cost'!H36</f>
        <v>21.5</v>
      </c>
      <c r="H64" s="548">
        <f>'EIA23 EQ Cost'!J36</f>
        <v>2.7922913405433154</v>
      </c>
      <c r="I64" s="548">
        <f>'EIA23 EQ Cost'!K36</f>
        <v>0.99</v>
      </c>
      <c r="J64" s="531">
        <v>1</v>
      </c>
      <c r="K64" s="531">
        <v>0.16</v>
      </c>
      <c r="L64" s="531">
        <v>0.16</v>
      </c>
      <c r="M64" s="531">
        <v>0.16</v>
      </c>
      <c r="N64" s="531">
        <v>0.16</v>
      </c>
      <c r="O64" s="531">
        <v>0.16</v>
      </c>
      <c r="P64" s="531"/>
      <c r="Q64" s="531">
        <v>0.18</v>
      </c>
      <c r="R64" s="546"/>
      <c r="S64" s="546"/>
      <c r="T64" s="546"/>
      <c r="U64" s="546"/>
      <c r="V64" s="546"/>
      <c r="W64" s="546"/>
      <c r="X64" s="546"/>
      <c r="Y64" s="546"/>
      <c r="Z64" s="546"/>
      <c r="AA64" s="546"/>
      <c r="AD64" s="546"/>
      <c r="AE64" s="531"/>
      <c r="AF64" s="531"/>
      <c r="AG64" s="531"/>
      <c r="AH64" s="531"/>
      <c r="AI64" s="531"/>
      <c r="AJ64" s="531"/>
      <c r="AK64" s="531"/>
      <c r="AL64" s="531"/>
      <c r="AO64" s="546"/>
      <c r="AP64" s="546"/>
      <c r="AQ64" s="546"/>
      <c r="AR64" s="546"/>
      <c r="AS64" s="546"/>
      <c r="AT64" s="546"/>
      <c r="AU64" s="546"/>
      <c r="AV64" s="546"/>
      <c r="AW64" s="546"/>
      <c r="AX64" s="546"/>
      <c r="AY64" s="546"/>
      <c r="AZ64" s="546"/>
      <c r="BA64" s="546"/>
      <c r="BB64" s="546"/>
      <c r="BC64" s="546"/>
      <c r="BF64" s="531" t="s">
        <v>37</v>
      </c>
    </row>
    <row r="65" spans="1:58" ht="15" customHeight="1">
      <c r="A65" s="533" t="str">
        <f>'EIA23 EQ Cost'!B37</f>
        <v>*Natural Gas Radiant Heating (Residential Gas-Fired Boiler Radiants)</v>
      </c>
      <c r="B65" s="532"/>
      <c r="C65" s="533"/>
      <c r="D65" s="532"/>
      <c r="E65" s="532"/>
      <c r="F65" s="586"/>
      <c r="G65" s="588"/>
      <c r="H65" s="598"/>
      <c r="I65" s="598"/>
      <c r="J65" s="532"/>
      <c r="K65" s="532"/>
      <c r="L65" s="532"/>
      <c r="M65" s="532"/>
      <c r="N65" s="532"/>
      <c r="O65" s="532"/>
      <c r="P65" s="532"/>
      <c r="Q65" s="532"/>
      <c r="R65" s="558"/>
      <c r="S65" s="558"/>
      <c r="T65" s="558"/>
      <c r="U65" s="558"/>
      <c r="V65" s="558"/>
      <c r="W65" s="558"/>
      <c r="X65" s="558"/>
      <c r="Y65" s="558"/>
      <c r="Z65" s="558"/>
      <c r="AA65" s="558"/>
      <c r="AD65" s="558"/>
      <c r="AE65" s="532"/>
      <c r="AF65" s="532"/>
      <c r="AG65" s="532"/>
      <c r="AH65" s="532"/>
      <c r="AI65" s="532"/>
      <c r="AJ65" s="532"/>
      <c r="AK65" s="532"/>
      <c r="AL65" s="532"/>
      <c r="AO65" s="558"/>
      <c r="AP65" s="558"/>
      <c r="AQ65" s="558"/>
      <c r="AR65" s="558"/>
      <c r="AS65" s="558"/>
      <c r="AT65" s="558"/>
      <c r="AU65" s="558"/>
      <c r="AV65" s="558"/>
      <c r="AW65" s="558"/>
      <c r="AX65" s="558"/>
      <c r="AY65" s="558"/>
      <c r="AZ65" s="558"/>
      <c r="BA65" s="558"/>
      <c r="BB65" s="558"/>
      <c r="BC65" s="558"/>
      <c r="BF65" s="533" t="str">
        <f>A65</f>
        <v>*Natural Gas Radiant Heating (Residential Gas-Fired Boiler Radiants)</v>
      </c>
    </row>
    <row r="66" spans="1:58" ht="15" customHeight="1">
      <c r="A66" s="531" t="str">
        <f>'EIA23 EQ Cost'!B38</f>
        <v>RSHNBRBS15</v>
      </c>
      <c r="B66" s="531" t="str">
        <f>'EIA23 EQ Cost'!C38</f>
        <v>Natural Gas Boiler Radiant Base.RSH.NGA.15</v>
      </c>
      <c r="C66" s="530" t="s">
        <v>32</v>
      </c>
      <c r="D66" s="531" t="s">
        <v>125</v>
      </c>
      <c r="E66" s="531" t="s">
        <v>123</v>
      </c>
      <c r="F66" s="547">
        <f>'EIA23 EQ Cost'!G38</f>
        <v>2015</v>
      </c>
      <c r="G66" s="587">
        <f>'EIA23 EQ Cost'!H38</f>
        <v>25</v>
      </c>
      <c r="H66" s="548">
        <f>'EIA23 EQ Cost'!J38</f>
        <v>4.0126260745585425</v>
      </c>
      <c r="I66" s="548">
        <f>'EIA23 EQ Cost'!K38</f>
        <v>0.82</v>
      </c>
      <c r="J66" s="531">
        <v>1</v>
      </c>
      <c r="K66" s="531">
        <v>0.16</v>
      </c>
      <c r="L66" s="531">
        <v>0.16</v>
      </c>
      <c r="M66" s="531">
        <v>0.16</v>
      </c>
      <c r="N66" s="531">
        <v>0.16</v>
      </c>
      <c r="O66" s="531">
        <v>0.16</v>
      </c>
      <c r="P66" s="531"/>
      <c r="Q66" s="531">
        <v>0.18</v>
      </c>
      <c r="R66" s="546"/>
      <c r="S66" s="546"/>
      <c r="T66" s="546">
        <v>0</v>
      </c>
      <c r="U66" s="546">
        <v>0</v>
      </c>
      <c r="V66" s="546">
        <v>0</v>
      </c>
      <c r="W66" s="546">
        <v>0</v>
      </c>
      <c r="X66" s="546">
        <v>0</v>
      </c>
      <c r="Y66" s="546">
        <v>0</v>
      </c>
      <c r="Z66" s="546">
        <v>0</v>
      </c>
      <c r="AA66" s="546">
        <v>0</v>
      </c>
      <c r="AD66" s="546"/>
      <c r="AE66" s="531"/>
      <c r="AF66" s="531"/>
      <c r="AG66" s="531"/>
      <c r="AH66" s="531"/>
      <c r="AI66" s="531"/>
      <c r="AJ66" s="531"/>
      <c r="AK66" s="531"/>
      <c r="AL66" s="531"/>
      <c r="AO66" s="549" t="e">
        <f>Resid!V32</f>
        <v>#REF!</v>
      </c>
      <c r="AP66" s="549" t="e">
        <f>Resid!W32</f>
        <v>#REF!</v>
      </c>
      <c r="AQ66" s="549" t="e">
        <f>Resid!X32</f>
        <v>#REF!</v>
      </c>
      <c r="AR66" s="549" t="e">
        <f>Resid!Y32</f>
        <v>#REF!</v>
      </c>
      <c r="AS66" s="549" t="e">
        <f>Resid!Z32</f>
        <v>#REF!</v>
      </c>
      <c r="AT66" s="549" t="e">
        <f>AO66*0.9</f>
        <v>#REF!</v>
      </c>
      <c r="AU66" s="549" t="e">
        <f t="shared" ref="AU66:AX66" si="18">AP66*0.9</f>
        <v>#REF!</v>
      </c>
      <c r="AV66" s="549" t="e">
        <f t="shared" si="18"/>
        <v>#REF!</v>
      </c>
      <c r="AW66" s="549" t="e">
        <f t="shared" si="18"/>
        <v>#REF!</v>
      </c>
      <c r="AX66" s="549" t="e">
        <f t="shared" si="18"/>
        <v>#REF!</v>
      </c>
      <c r="AY66" s="546"/>
      <c r="AZ66" s="546"/>
      <c r="BA66" s="546"/>
      <c r="BB66" s="546"/>
      <c r="BC66" s="546"/>
      <c r="BF66" s="531" t="s">
        <v>37</v>
      </c>
    </row>
    <row r="67" spans="1:58" ht="15" customHeight="1">
      <c r="A67" s="531" t="str">
        <f>'EIA23 EQ Cost'!B39</f>
        <v>RSHNBRBS20</v>
      </c>
      <c r="B67" s="531" t="str">
        <f>'EIA23 EQ Cost'!C39</f>
        <v>Natural Gas Boiler Radiant Base.RSH.NGA.20</v>
      </c>
      <c r="C67" s="530" t="s">
        <v>32</v>
      </c>
      <c r="D67" s="531" t="s">
        <v>125</v>
      </c>
      <c r="E67" s="531" t="s">
        <v>123</v>
      </c>
      <c r="F67" s="547">
        <f>'EIA23 EQ Cost'!G39</f>
        <v>2020</v>
      </c>
      <c r="G67" s="587">
        <f>'EIA23 EQ Cost'!H39</f>
        <v>25</v>
      </c>
      <c r="H67" s="548">
        <f>'EIA23 EQ Cost'!J39</f>
        <v>3.071520474597647</v>
      </c>
      <c r="I67" s="548">
        <f>'EIA23 EQ Cost'!K39</f>
        <v>0.95</v>
      </c>
      <c r="J67" s="531">
        <v>1</v>
      </c>
      <c r="K67" s="531">
        <v>0.16</v>
      </c>
      <c r="L67" s="531">
        <v>0.16</v>
      </c>
      <c r="M67" s="531">
        <v>0.16</v>
      </c>
      <c r="N67" s="531">
        <v>0.16</v>
      </c>
      <c r="O67" s="531">
        <v>0.16</v>
      </c>
      <c r="P67" s="531"/>
      <c r="Q67" s="531">
        <v>0.18</v>
      </c>
      <c r="R67" s="546"/>
      <c r="S67" s="546"/>
      <c r="T67" s="546"/>
      <c r="U67" s="546">
        <v>0</v>
      </c>
      <c r="V67" s="546">
        <v>0</v>
      </c>
      <c r="W67" s="546">
        <v>0</v>
      </c>
      <c r="X67" s="546">
        <v>0</v>
      </c>
      <c r="Y67" s="546">
        <v>0</v>
      </c>
      <c r="Z67" s="546">
        <v>0</v>
      </c>
      <c r="AA67" s="546">
        <v>0</v>
      </c>
      <c r="AD67" s="546"/>
      <c r="AE67" s="531"/>
      <c r="AF67" s="531"/>
      <c r="AG67" s="531"/>
      <c r="AH67" s="531"/>
      <c r="AI67" s="531"/>
      <c r="AJ67" s="531"/>
      <c r="AK67" s="531"/>
      <c r="AL67" s="531"/>
      <c r="AO67" s="546"/>
      <c r="AP67" s="546"/>
      <c r="AQ67" s="546"/>
      <c r="AR67" s="546"/>
      <c r="AS67" s="546"/>
      <c r="AT67" s="546"/>
      <c r="AU67" s="546"/>
      <c r="AV67" s="546"/>
      <c r="AW67" s="546"/>
      <c r="AX67" s="546"/>
      <c r="AY67" s="546"/>
      <c r="AZ67" s="546"/>
      <c r="BA67" s="546"/>
      <c r="BB67" s="546"/>
      <c r="BC67" s="546"/>
      <c r="BF67" s="531" t="s">
        <v>37</v>
      </c>
    </row>
    <row r="68" spans="1:58" ht="15" customHeight="1">
      <c r="A68" s="531" t="str">
        <f>'EIA23 EQ Cost'!B40</f>
        <v>RSHNBRV122</v>
      </c>
      <c r="B68" s="531" t="str">
        <f>'EIA23 EQ Cost'!C40</f>
        <v>Natural Gas Boiler Radiant Ver 1.RSH.NGA.22</v>
      </c>
      <c r="C68" s="530" t="s">
        <v>32</v>
      </c>
      <c r="D68" s="531" t="s">
        <v>125</v>
      </c>
      <c r="E68" s="531" t="s">
        <v>123</v>
      </c>
      <c r="F68" s="547">
        <f>'EIA23 EQ Cost'!G40</f>
        <v>2022</v>
      </c>
      <c r="G68" s="587">
        <f>'EIA23 EQ Cost'!H40</f>
        <v>25</v>
      </c>
      <c r="H68" s="548">
        <f>'EIA23 EQ Cost'!J40</f>
        <v>4.4986916042086742</v>
      </c>
      <c r="I68" s="548">
        <f>'EIA23 EQ Cost'!K40</f>
        <v>0.84</v>
      </c>
      <c r="J68" s="531">
        <v>1</v>
      </c>
      <c r="K68" s="531">
        <v>0.16</v>
      </c>
      <c r="L68" s="531">
        <v>0.16</v>
      </c>
      <c r="M68" s="531">
        <v>0.16</v>
      </c>
      <c r="N68" s="531">
        <v>0.16</v>
      </c>
      <c r="O68" s="531">
        <v>0.16</v>
      </c>
      <c r="P68" s="531"/>
      <c r="Q68" s="531">
        <v>0.18</v>
      </c>
      <c r="R68" s="546"/>
      <c r="S68" s="546"/>
      <c r="T68" s="546"/>
      <c r="U68" s="546"/>
      <c r="V68" s="546">
        <v>0</v>
      </c>
      <c r="W68" s="546">
        <v>0</v>
      </c>
      <c r="X68" s="546">
        <v>0</v>
      </c>
      <c r="Y68" s="546">
        <v>0</v>
      </c>
      <c r="Z68" s="546">
        <v>0</v>
      </c>
      <c r="AA68" s="546">
        <v>0</v>
      </c>
      <c r="AD68" s="546"/>
      <c r="AE68" s="531"/>
      <c r="AF68" s="531"/>
      <c r="AG68" s="531"/>
      <c r="AH68" s="531"/>
      <c r="AI68" s="531"/>
      <c r="AJ68" s="531"/>
      <c r="AK68" s="531"/>
      <c r="AL68" s="531"/>
      <c r="AO68" s="546"/>
      <c r="AP68" s="546"/>
      <c r="AQ68" s="546"/>
      <c r="AR68" s="546"/>
      <c r="AS68" s="546"/>
      <c r="AT68" s="546"/>
      <c r="AU68" s="546"/>
      <c r="AV68" s="546"/>
      <c r="AW68" s="546"/>
      <c r="AX68" s="546"/>
      <c r="AY68" s="546"/>
      <c r="AZ68" s="546"/>
      <c r="BA68" s="546"/>
      <c r="BB68" s="546"/>
      <c r="BC68" s="546"/>
      <c r="BF68" s="531" t="s">
        <v>37</v>
      </c>
    </row>
    <row r="69" spans="1:58" ht="15" customHeight="1">
      <c r="A69" s="531" t="str">
        <f>'EIA23 EQ Cost'!B41</f>
        <v>RSHNBRV222</v>
      </c>
      <c r="B69" s="531" t="str">
        <f>'EIA23 EQ Cost'!C41</f>
        <v>Natural Gas Boiler Radiant Ver 2.RSH.NGA.22</v>
      </c>
      <c r="C69" s="530" t="s">
        <v>32</v>
      </c>
      <c r="D69" s="531" t="s">
        <v>125</v>
      </c>
      <c r="E69" s="531" t="s">
        <v>123</v>
      </c>
      <c r="F69" s="547">
        <f>'EIA23 EQ Cost'!G41</f>
        <v>2022</v>
      </c>
      <c r="G69" s="587">
        <f>'EIA23 EQ Cost'!H41</f>
        <v>25</v>
      </c>
      <c r="H69" s="548">
        <f>'EIA23 EQ Cost'!J41</f>
        <v>3.071520474597647</v>
      </c>
      <c r="I69" s="548">
        <f>'EIA23 EQ Cost'!K41</f>
        <v>0.95</v>
      </c>
      <c r="J69" s="531">
        <v>1</v>
      </c>
      <c r="K69" s="531">
        <v>0.16</v>
      </c>
      <c r="L69" s="531">
        <v>0.16</v>
      </c>
      <c r="M69" s="531">
        <v>0.16</v>
      </c>
      <c r="N69" s="531">
        <v>0.16</v>
      </c>
      <c r="O69" s="531">
        <v>0.16</v>
      </c>
      <c r="P69" s="531"/>
      <c r="Q69" s="531">
        <v>0.18</v>
      </c>
      <c r="R69" s="546"/>
      <c r="S69" s="546"/>
      <c r="T69" s="546"/>
      <c r="U69" s="546"/>
      <c r="V69" s="546">
        <v>0</v>
      </c>
      <c r="W69" s="546">
        <v>0</v>
      </c>
      <c r="X69" s="546">
        <v>0</v>
      </c>
      <c r="Y69" s="546">
        <v>0</v>
      </c>
      <c r="Z69" s="546">
        <v>0</v>
      </c>
      <c r="AA69" s="546">
        <v>0</v>
      </c>
      <c r="AD69" s="546"/>
      <c r="AE69" s="531"/>
      <c r="AF69" s="531"/>
      <c r="AG69" s="531"/>
      <c r="AH69" s="531"/>
      <c r="AI69" s="531"/>
      <c r="AJ69" s="531"/>
      <c r="AK69" s="531"/>
      <c r="AL69" s="531"/>
      <c r="AO69" s="546"/>
      <c r="AP69" s="546"/>
      <c r="AQ69" s="546"/>
      <c r="AR69" s="546"/>
      <c r="AS69" s="546"/>
      <c r="AT69" s="546"/>
      <c r="AU69" s="546"/>
      <c r="AV69" s="546"/>
      <c r="AW69" s="546"/>
      <c r="AX69" s="546"/>
      <c r="AY69" s="546"/>
      <c r="AZ69" s="546"/>
      <c r="BA69" s="546"/>
      <c r="BB69" s="546"/>
      <c r="BC69" s="546"/>
      <c r="BF69" s="531" t="s">
        <v>37</v>
      </c>
    </row>
    <row r="70" spans="1:58" ht="15" customHeight="1">
      <c r="A70" s="531" t="str">
        <f>'EIA23 EQ Cost'!B42</f>
        <v>RSHNBRV322</v>
      </c>
      <c r="B70" s="531" t="str">
        <f>'EIA23 EQ Cost'!C42</f>
        <v>Natural Gas Boiler Radiant Ver 3.RSH.NGA.22</v>
      </c>
      <c r="C70" s="530" t="s">
        <v>32</v>
      </c>
      <c r="D70" s="531" t="s">
        <v>125</v>
      </c>
      <c r="E70" s="531" t="s">
        <v>123</v>
      </c>
      <c r="F70" s="547">
        <f>'EIA23 EQ Cost'!G42</f>
        <v>2022</v>
      </c>
      <c r="G70" s="587">
        <f>'EIA23 EQ Cost'!H42</f>
        <v>25</v>
      </c>
      <c r="H70" s="548">
        <f>'EIA23 EQ Cost'!J42</f>
        <v>3.4645096262296691</v>
      </c>
      <c r="I70" s="548">
        <f>'EIA23 EQ Cost'!K42</f>
        <v>0.9</v>
      </c>
      <c r="J70" s="531">
        <v>1</v>
      </c>
      <c r="K70" s="531">
        <v>0.16</v>
      </c>
      <c r="L70" s="531">
        <v>0.16</v>
      </c>
      <c r="M70" s="531">
        <v>0.16</v>
      </c>
      <c r="N70" s="531">
        <v>0.16</v>
      </c>
      <c r="O70" s="531">
        <v>0.16</v>
      </c>
      <c r="P70" s="531"/>
      <c r="Q70" s="531">
        <v>0.18</v>
      </c>
      <c r="R70" s="546"/>
      <c r="S70" s="546"/>
      <c r="T70" s="546"/>
      <c r="U70" s="546"/>
      <c r="V70" s="546">
        <v>0</v>
      </c>
      <c r="W70" s="546">
        <v>0</v>
      </c>
      <c r="X70" s="546">
        <v>0</v>
      </c>
      <c r="Y70" s="546">
        <v>0</v>
      </c>
      <c r="Z70" s="546">
        <v>0</v>
      </c>
      <c r="AA70" s="546">
        <v>0</v>
      </c>
      <c r="AD70" s="546"/>
      <c r="AE70" s="531"/>
      <c r="AF70" s="531"/>
      <c r="AG70" s="531"/>
      <c r="AH70" s="531"/>
      <c r="AI70" s="531"/>
      <c r="AJ70" s="531"/>
      <c r="AK70" s="531"/>
      <c r="AL70" s="531"/>
      <c r="AO70" s="546"/>
      <c r="AP70" s="546"/>
      <c r="AQ70" s="546"/>
      <c r="AR70" s="546"/>
      <c r="AS70" s="546"/>
      <c r="AT70" s="546"/>
      <c r="AU70" s="546"/>
      <c r="AV70" s="546"/>
      <c r="AW70" s="546"/>
      <c r="AX70" s="546"/>
      <c r="AY70" s="546"/>
      <c r="AZ70" s="546"/>
      <c r="BA70" s="546"/>
      <c r="BB70" s="546"/>
      <c r="BC70" s="546"/>
      <c r="BF70" s="531" t="s">
        <v>37</v>
      </c>
    </row>
    <row r="71" spans="1:58" ht="15" customHeight="1">
      <c r="A71" s="531" t="str">
        <f>'EIA23 EQ Cost'!B43</f>
        <v>RSHNBRV422</v>
      </c>
      <c r="B71" s="531" t="str">
        <f>'EIA23 EQ Cost'!C43</f>
        <v>Natural Gas Boiler Radiant Ver 4.RSH.NGA.22</v>
      </c>
      <c r="C71" s="530" t="s">
        <v>32</v>
      </c>
      <c r="D71" s="531" t="s">
        <v>125</v>
      </c>
      <c r="E71" s="531" t="s">
        <v>123</v>
      </c>
      <c r="F71" s="547">
        <f>'EIA23 EQ Cost'!G43</f>
        <v>2022</v>
      </c>
      <c r="G71" s="587">
        <f>'EIA23 EQ Cost'!H43</f>
        <v>25</v>
      </c>
      <c r="H71" s="548">
        <f>'EIA23 EQ Cost'!J43</f>
        <v>3.4696805361195642</v>
      </c>
      <c r="I71" s="548">
        <f>'EIA23 EQ Cost'!K43</f>
        <v>0.96</v>
      </c>
      <c r="J71" s="531">
        <v>1</v>
      </c>
      <c r="K71" s="531">
        <v>0.16</v>
      </c>
      <c r="L71" s="531">
        <v>0.16</v>
      </c>
      <c r="M71" s="531">
        <v>0.16</v>
      </c>
      <c r="N71" s="531">
        <v>0.16</v>
      </c>
      <c r="O71" s="531">
        <v>0.16</v>
      </c>
      <c r="P71" s="531"/>
      <c r="Q71" s="531">
        <v>0.18</v>
      </c>
      <c r="R71" s="546"/>
      <c r="S71" s="546"/>
      <c r="T71" s="546"/>
      <c r="U71" s="546"/>
      <c r="V71" s="546">
        <v>0</v>
      </c>
      <c r="W71" s="546">
        <v>0</v>
      </c>
      <c r="X71" s="546">
        <v>0</v>
      </c>
      <c r="Y71" s="546">
        <v>0</v>
      </c>
      <c r="Z71" s="546">
        <v>0</v>
      </c>
      <c r="AA71" s="546">
        <v>0</v>
      </c>
      <c r="AD71" s="546"/>
      <c r="AE71" s="531"/>
      <c r="AF71" s="531"/>
      <c r="AG71" s="531"/>
      <c r="AH71" s="531"/>
      <c r="AI71" s="531"/>
      <c r="AJ71" s="531"/>
      <c r="AK71" s="531"/>
      <c r="AL71" s="531"/>
      <c r="AO71" s="546"/>
      <c r="AP71" s="546"/>
      <c r="AQ71" s="546"/>
      <c r="AR71" s="546"/>
      <c r="AS71" s="546"/>
      <c r="AT71" s="546"/>
      <c r="AU71" s="546"/>
      <c r="AV71" s="546"/>
      <c r="AW71" s="546"/>
      <c r="AX71" s="546"/>
      <c r="AY71" s="546"/>
      <c r="AZ71" s="546"/>
      <c r="BA71" s="546"/>
      <c r="BB71" s="546"/>
      <c r="BC71" s="546"/>
      <c r="BF71" s="531" t="s">
        <v>37</v>
      </c>
    </row>
    <row r="72" spans="1:58" ht="15" customHeight="1">
      <c r="A72" s="531" t="str">
        <f>'EIA23 EQ Cost'!B44</f>
        <v>RSHNBRV130</v>
      </c>
      <c r="B72" s="531" t="str">
        <f>'EIA23 EQ Cost'!C44</f>
        <v>Natural Gas Boiler Radiant Ver 1.RSH.NGA.30</v>
      </c>
      <c r="C72" s="530" t="s">
        <v>32</v>
      </c>
      <c r="D72" s="531" t="s">
        <v>125</v>
      </c>
      <c r="E72" s="531" t="s">
        <v>123</v>
      </c>
      <c r="F72" s="547">
        <f>'EIA23 EQ Cost'!G44</f>
        <v>2030</v>
      </c>
      <c r="G72" s="587">
        <f>'EIA23 EQ Cost'!H44</f>
        <v>25</v>
      </c>
      <c r="H72" s="548">
        <f>'EIA23 EQ Cost'!J44</f>
        <v>3.071520474597647</v>
      </c>
      <c r="I72" s="548">
        <f>'EIA23 EQ Cost'!K44</f>
        <v>0.95</v>
      </c>
      <c r="J72" s="531">
        <v>1</v>
      </c>
      <c r="K72" s="531">
        <v>0.16</v>
      </c>
      <c r="L72" s="531">
        <v>0.16</v>
      </c>
      <c r="M72" s="531">
        <v>0.16</v>
      </c>
      <c r="N72" s="531">
        <v>0.16</v>
      </c>
      <c r="O72" s="531">
        <v>0.16</v>
      </c>
      <c r="P72" s="531"/>
      <c r="Q72" s="531">
        <v>0.18</v>
      </c>
      <c r="R72" s="546"/>
      <c r="S72" s="546"/>
      <c r="T72" s="546"/>
      <c r="U72" s="546"/>
      <c r="V72" s="546"/>
      <c r="W72" s="546"/>
      <c r="X72" s="546"/>
      <c r="Y72" s="546"/>
      <c r="Z72" s="546"/>
      <c r="AA72" s="546"/>
      <c r="AD72" s="546"/>
      <c r="AE72" s="531"/>
      <c r="AF72" s="531"/>
      <c r="AG72" s="531"/>
      <c r="AH72" s="531"/>
      <c r="AI72" s="531"/>
      <c r="AJ72" s="531"/>
      <c r="AK72" s="531"/>
      <c r="AL72" s="531"/>
      <c r="AO72" s="546"/>
      <c r="AP72" s="546"/>
      <c r="AQ72" s="546"/>
      <c r="AR72" s="546"/>
      <c r="AS72" s="546"/>
      <c r="AT72" s="546"/>
      <c r="AU72" s="546"/>
      <c r="AV72" s="546"/>
      <c r="AW72" s="546"/>
      <c r="AX72" s="546"/>
      <c r="AY72" s="546"/>
      <c r="AZ72" s="546"/>
      <c r="BA72" s="546"/>
      <c r="BB72" s="546"/>
      <c r="BC72" s="546"/>
      <c r="BF72" s="531" t="s">
        <v>37</v>
      </c>
    </row>
    <row r="73" spans="1:58" ht="15" customHeight="1">
      <c r="A73" s="531" t="str">
        <f>'EIA23 EQ Cost'!B45</f>
        <v>RSHNBRV230</v>
      </c>
      <c r="B73" s="531" t="str">
        <f>'EIA23 EQ Cost'!C45</f>
        <v>Natural Gas Boiler Radiant Ver 2.RSH.NGA.30</v>
      </c>
      <c r="C73" s="530" t="s">
        <v>32</v>
      </c>
      <c r="D73" s="531" t="s">
        <v>125</v>
      </c>
      <c r="E73" s="531" t="s">
        <v>123</v>
      </c>
      <c r="F73" s="547">
        <f>'EIA23 EQ Cost'!G45</f>
        <v>2030</v>
      </c>
      <c r="G73" s="587">
        <f>'EIA23 EQ Cost'!H45</f>
        <v>25</v>
      </c>
      <c r="H73" s="548">
        <f>'EIA23 EQ Cost'!J45</f>
        <v>3.4696805361195642</v>
      </c>
      <c r="I73" s="548">
        <f>'EIA23 EQ Cost'!K45</f>
        <v>0.96</v>
      </c>
      <c r="J73" s="531">
        <v>1</v>
      </c>
      <c r="K73" s="531">
        <v>0.16</v>
      </c>
      <c r="L73" s="531">
        <v>0.16</v>
      </c>
      <c r="M73" s="531">
        <v>0.16</v>
      </c>
      <c r="N73" s="531">
        <v>0.16</v>
      </c>
      <c r="O73" s="531">
        <v>0.16</v>
      </c>
      <c r="P73" s="531"/>
      <c r="Q73" s="531">
        <v>0.18</v>
      </c>
      <c r="R73" s="546"/>
      <c r="S73" s="546"/>
      <c r="T73" s="546"/>
      <c r="U73" s="546"/>
      <c r="V73" s="546"/>
      <c r="W73" s="546"/>
      <c r="X73" s="546"/>
      <c r="Y73" s="546"/>
      <c r="Z73" s="546"/>
      <c r="AA73" s="546"/>
      <c r="AD73" s="546"/>
      <c r="AE73" s="531"/>
      <c r="AF73" s="531"/>
      <c r="AG73" s="531"/>
      <c r="AH73" s="531"/>
      <c r="AI73" s="531"/>
      <c r="AJ73" s="531"/>
      <c r="AK73" s="531"/>
      <c r="AL73" s="531"/>
      <c r="AO73" s="546"/>
      <c r="AP73" s="546"/>
      <c r="AQ73" s="546"/>
      <c r="AR73" s="546"/>
      <c r="AS73" s="546"/>
      <c r="AT73" s="546"/>
      <c r="AU73" s="546"/>
      <c r="AV73" s="546"/>
      <c r="AW73" s="546"/>
      <c r="AX73" s="546"/>
      <c r="AY73" s="546"/>
      <c r="AZ73" s="546"/>
      <c r="BA73" s="546"/>
      <c r="BB73" s="546"/>
      <c r="BC73" s="546"/>
      <c r="BF73" s="531" t="s">
        <v>37</v>
      </c>
    </row>
    <row r="74" spans="1:58" ht="15" customHeight="1">
      <c r="A74" s="533" t="str">
        <f>'EIA23 EQ Cost'!B46</f>
        <v>*Dfuel Oil (DSL) Radiant Space Heating</v>
      </c>
      <c r="B74" s="532"/>
      <c r="C74" s="533"/>
      <c r="D74" s="532"/>
      <c r="E74" s="532"/>
      <c r="F74" s="586"/>
      <c r="G74" s="588"/>
      <c r="H74" s="598"/>
      <c r="I74" s="598"/>
      <c r="J74" s="532"/>
      <c r="K74" s="532"/>
      <c r="L74" s="532"/>
      <c r="M74" s="532"/>
      <c r="N74" s="532"/>
      <c r="O74" s="532"/>
      <c r="P74" s="532"/>
      <c r="Q74" s="532"/>
      <c r="R74" s="558"/>
      <c r="S74" s="558"/>
      <c r="T74" s="558"/>
      <c r="U74" s="558"/>
      <c r="V74" s="558"/>
      <c r="W74" s="558"/>
      <c r="X74" s="558"/>
      <c r="Y74" s="558"/>
      <c r="Z74" s="558"/>
      <c r="AA74" s="558"/>
      <c r="AD74" s="558"/>
      <c r="AE74" s="532"/>
      <c r="AF74" s="532"/>
      <c r="AG74" s="532"/>
      <c r="AH74" s="532"/>
      <c r="AI74" s="532"/>
      <c r="AJ74" s="532"/>
      <c r="AK74" s="532"/>
      <c r="AL74" s="532"/>
      <c r="AO74" s="558"/>
      <c r="AP74" s="558"/>
      <c r="AQ74" s="558"/>
      <c r="AR74" s="558"/>
      <c r="AS74" s="558"/>
      <c r="AT74" s="558"/>
      <c r="AU74" s="558"/>
      <c r="AV74" s="558"/>
      <c r="AW74" s="558"/>
      <c r="AX74" s="558"/>
      <c r="AY74" s="558"/>
      <c r="AZ74" s="558"/>
      <c r="BA74" s="558"/>
      <c r="BB74" s="558"/>
      <c r="BC74" s="558"/>
      <c r="BF74" s="533" t="str">
        <f>A74</f>
        <v>*Dfuel Oil (DSL) Radiant Space Heating</v>
      </c>
    </row>
    <row r="75" spans="1:58" ht="15" customHeight="1">
      <c r="A75" s="531" t="str">
        <f>'EIA23 EQ Cost'!B47</f>
        <v>RSHDRDBS15</v>
      </c>
      <c r="B75" s="531" t="str">
        <f>'EIA23 EQ Cost'!C47</f>
        <v>Distillate Radiant Base.RSH.DST.15</v>
      </c>
      <c r="C75" s="530" t="s">
        <v>32</v>
      </c>
      <c r="D75" s="531" t="s">
        <v>126</v>
      </c>
      <c r="E75" s="531" t="s">
        <v>123</v>
      </c>
      <c r="F75" s="547">
        <f>'EIA23 EQ Cost'!G47</f>
        <v>2015</v>
      </c>
      <c r="G75" s="587">
        <f>'EIA23 EQ Cost'!H47</f>
        <v>23</v>
      </c>
      <c r="H75" s="548">
        <f>'EIA23 EQ Cost'!J47</f>
        <v>3.6196369229265204</v>
      </c>
      <c r="I75" s="548">
        <f>'EIA23 EQ Cost'!K47</f>
        <v>0.84</v>
      </c>
      <c r="J75" s="531">
        <v>1</v>
      </c>
      <c r="K75" s="531">
        <v>0.16</v>
      </c>
      <c r="L75" s="531">
        <v>0.16</v>
      </c>
      <c r="M75" s="531">
        <v>0.16</v>
      </c>
      <c r="N75" s="531">
        <v>0.16</v>
      </c>
      <c r="O75" s="531">
        <v>0.16</v>
      </c>
      <c r="P75" s="531"/>
      <c r="Q75" s="531">
        <v>0.36</v>
      </c>
      <c r="R75" s="546"/>
      <c r="S75" s="546"/>
      <c r="T75" s="546">
        <v>0</v>
      </c>
      <c r="U75" s="546">
        <v>0</v>
      </c>
      <c r="V75" s="546">
        <v>0</v>
      </c>
      <c r="W75" s="546">
        <v>0</v>
      </c>
      <c r="X75" s="546">
        <v>0</v>
      </c>
      <c r="Y75" s="546">
        <v>0</v>
      </c>
      <c r="Z75" s="546">
        <v>0</v>
      </c>
      <c r="AA75" s="546">
        <v>0</v>
      </c>
      <c r="AD75" s="546"/>
      <c r="AE75" s="531"/>
      <c r="AF75" s="531"/>
      <c r="AG75" s="531"/>
      <c r="AH75" s="531"/>
      <c r="AI75" s="531"/>
      <c r="AJ75" s="531"/>
      <c r="AK75" s="531"/>
      <c r="AL75" s="531"/>
      <c r="AO75" s="549" t="e">
        <f>Resid!V45</f>
        <v>#REF!</v>
      </c>
      <c r="AP75" s="549" t="e">
        <f>Resid!W45</f>
        <v>#REF!</v>
      </c>
      <c r="AQ75" s="549" t="e">
        <f>Resid!X45</f>
        <v>#REF!</v>
      </c>
      <c r="AR75" s="549" t="e">
        <f>Resid!Y45</f>
        <v>#REF!</v>
      </c>
      <c r="AS75" s="549" t="e">
        <f>Resid!Z45</f>
        <v>#REF!</v>
      </c>
      <c r="AT75" s="549" t="e">
        <f>AO75*0.9</f>
        <v>#REF!</v>
      </c>
      <c r="AU75" s="549" t="e">
        <f t="shared" ref="AU75" si="19">AP75*0.9</f>
        <v>#REF!</v>
      </c>
      <c r="AV75" s="549" t="e">
        <f t="shared" ref="AV75" si="20">AQ75*0.9</f>
        <v>#REF!</v>
      </c>
      <c r="AW75" s="549" t="e">
        <f t="shared" ref="AW75" si="21">AR75*0.9</f>
        <v>#REF!</v>
      </c>
      <c r="AX75" s="549" t="e">
        <f t="shared" ref="AX75" si="22">AS75*0.9</f>
        <v>#REF!</v>
      </c>
      <c r="AY75" s="546"/>
      <c r="AZ75" s="546"/>
      <c r="BA75" s="546"/>
      <c r="BB75" s="546"/>
      <c r="BC75" s="546"/>
      <c r="BF75" s="531" t="s">
        <v>37</v>
      </c>
    </row>
    <row r="76" spans="1:58" ht="15" customHeight="1">
      <c r="A76" s="531" t="str">
        <f>'EIA23 EQ Cost'!B48</f>
        <v>RSHDRDBS20</v>
      </c>
      <c r="B76" s="531" t="str">
        <f>'EIA23 EQ Cost'!C48</f>
        <v>Distillate Radiant Ver1.RSH.DST.20</v>
      </c>
      <c r="C76" s="530" t="s">
        <v>32</v>
      </c>
      <c r="D76" s="531" t="s">
        <v>126</v>
      </c>
      <c r="E76" s="531" t="s">
        <v>123</v>
      </c>
      <c r="F76" s="547">
        <f>'EIA23 EQ Cost'!G48</f>
        <v>2020</v>
      </c>
      <c r="G76" s="587">
        <f>'EIA23 EQ Cost'!H48</f>
        <v>23</v>
      </c>
      <c r="H76" s="548">
        <f>'EIA23 EQ Cost'!J48</f>
        <v>2.0351223923801149</v>
      </c>
      <c r="I76" s="548">
        <f>'EIA23 EQ Cost'!K48</f>
        <v>0.86</v>
      </c>
      <c r="J76" s="545"/>
      <c r="K76" s="545"/>
      <c r="L76" s="545" t="s">
        <v>127</v>
      </c>
      <c r="M76" s="545" t="s">
        <v>127</v>
      </c>
      <c r="N76" s="545" t="s">
        <v>127</v>
      </c>
      <c r="O76" s="545" t="s">
        <v>127</v>
      </c>
      <c r="P76" s="545"/>
      <c r="Q76" s="531">
        <v>0.36</v>
      </c>
      <c r="R76" s="597"/>
      <c r="S76" s="597"/>
      <c r="T76" s="546"/>
      <c r="U76" s="546">
        <v>0</v>
      </c>
      <c r="V76" s="546">
        <v>0</v>
      </c>
      <c r="W76" s="546">
        <v>0</v>
      </c>
      <c r="X76" s="546">
        <v>0</v>
      </c>
      <c r="Y76" s="546">
        <v>0</v>
      </c>
      <c r="Z76" s="546">
        <v>0</v>
      </c>
      <c r="AA76" s="546">
        <v>0</v>
      </c>
      <c r="AD76" s="546"/>
      <c r="AE76" s="531"/>
      <c r="AF76" s="531"/>
      <c r="AG76" s="531"/>
      <c r="AH76" s="531"/>
      <c r="AI76" s="531"/>
      <c r="AJ76" s="531"/>
      <c r="AK76" s="531"/>
      <c r="AL76" s="531"/>
      <c r="AO76" s="597"/>
      <c r="AP76" s="597"/>
      <c r="AQ76" s="597"/>
      <c r="AR76" s="597"/>
      <c r="AS76" s="597"/>
      <c r="AT76" s="597"/>
      <c r="AU76" s="597"/>
      <c r="AV76" s="597"/>
      <c r="AW76" s="597"/>
      <c r="AX76" s="597"/>
      <c r="AY76" s="597"/>
      <c r="AZ76" s="597"/>
      <c r="BA76" s="597"/>
      <c r="BB76" s="597"/>
      <c r="BC76" s="597"/>
      <c r="BF76" s="531" t="s">
        <v>37</v>
      </c>
    </row>
    <row r="77" spans="1:58" ht="15" customHeight="1">
      <c r="A77" s="531" t="str">
        <f>'EIA23 EQ Cost'!B49</f>
        <v>RSHDRDV122</v>
      </c>
      <c r="B77" s="531" t="str">
        <f>'EIA23 EQ Cost'!C49</f>
        <v>Distillate Radiant Ver1.RSH.DST.22</v>
      </c>
      <c r="C77" s="530" t="s">
        <v>32</v>
      </c>
      <c r="D77" s="531" t="s">
        <v>126</v>
      </c>
      <c r="E77" s="531" t="s">
        <v>123</v>
      </c>
      <c r="F77" s="547">
        <f>'EIA23 EQ Cost'!G49</f>
        <v>2022</v>
      </c>
      <c r="G77" s="587">
        <f>'EIA23 EQ Cost'!H49</f>
        <v>23</v>
      </c>
      <c r="H77" s="548">
        <f>'EIA23 EQ Cost'!J49</f>
        <v>2.0351223923801149</v>
      </c>
      <c r="I77" s="548">
        <f>'EIA23 EQ Cost'!K49</f>
        <v>0.86</v>
      </c>
      <c r="J77" s="531">
        <v>1</v>
      </c>
      <c r="K77" s="531">
        <v>0.16</v>
      </c>
      <c r="L77" s="531">
        <v>0.16</v>
      </c>
      <c r="M77" s="531">
        <v>0.16</v>
      </c>
      <c r="N77" s="531">
        <v>0.16</v>
      </c>
      <c r="O77" s="531">
        <v>0.16</v>
      </c>
      <c r="P77" s="531"/>
      <c r="Q77" s="531">
        <v>0.36</v>
      </c>
      <c r="R77" s="546"/>
      <c r="S77" s="546"/>
      <c r="T77" s="546"/>
      <c r="U77" s="546"/>
      <c r="V77" s="546">
        <v>0</v>
      </c>
      <c r="W77" s="546">
        <v>0</v>
      </c>
      <c r="X77" s="546">
        <v>0</v>
      </c>
      <c r="Y77" s="546">
        <v>0</v>
      </c>
      <c r="Z77" s="546">
        <v>0</v>
      </c>
      <c r="AA77" s="546">
        <v>0</v>
      </c>
      <c r="AD77" s="546"/>
      <c r="AE77" s="531"/>
      <c r="AF77" s="531"/>
      <c r="AG77" s="531"/>
      <c r="AH77" s="531"/>
      <c r="AI77" s="531"/>
      <c r="AJ77" s="531"/>
      <c r="AK77" s="531"/>
      <c r="AL77" s="531"/>
      <c r="AO77" s="549"/>
      <c r="AP77" s="549"/>
      <c r="AQ77" s="549"/>
      <c r="AR77" s="549"/>
      <c r="AS77" s="549"/>
      <c r="AT77" s="549"/>
      <c r="AU77" s="549"/>
      <c r="AV77" s="549"/>
      <c r="AW77" s="549"/>
      <c r="AX77" s="549"/>
      <c r="AY77" s="549"/>
      <c r="AZ77" s="549"/>
      <c r="BA77" s="549"/>
      <c r="BB77" s="549"/>
      <c r="BC77" s="549"/>
      <c r="BF77" s="531" t="s">
        <v>37</v>
      </c>
    </row>
    <row r="78" spans="1:58" ht="15" customHeight="1">
      <c r="A78" s="531" t="str">
        <f>'EIA23 EQ Cost'!B50</f>
        <v>RSHDRDV222</v>
      </c>
      <c r="B78" s="531" t="str">
        <f>'EIA23 EQ Cost'!C50</f>
        <v>Distillate Radiant Ver2.RSH.DST.22</v>
      </c>
      <c r="C78" s="530" t="s">
        <v>32</v>
      </c>
      <c r="D78" s="531" t="s">
        <v>126</v>
      </c>
      <c r="E78" s="531" t="s">
        <v>123</v>
      </c>
      <c r="F78" s="547">
        <f>'EIA23 EQ Cost'!G50</f>
        <v>2022</v>
      </c>
      <c r="G78" s="587">
        <f>'EIA23 EQ Cost'!H50</f>
        <v>23</v>
      </c>
      <c r="H78" s="548">
        <f>'EIA23 EQ Cost'!J50</f>
        <v>2.0351223923801149</v>
      </c>
      <c r="I78" s="548">
        <f>'EIA23 EQ Cost'!K50</f>
        <v>0.86</v>
      </c>
      <c r="J78" s="531">
        <v>1</v>
      </c>
      <c r="K78" s="531">
        <v>0.16</v>
      </c>
      <c r="L78" s="531">
        <v>0.16</v>
      </c>
      <c r="M78" s="531">
        <v>0.16</v>
      </c>
      <c r="N78" s="531">
        <v>0.16</v>
      </c>
      <c r="O78" s="531">
        <v>0.16</v>
      </c>
      <c r="P78" s="531"/>
      <c r="Q78" s="531">
        <v>0.36</v>
      </c>
      <c r="R78" s="546"/>
      <c r="S78" s="546"/>
      <c r="T78" s="546"/>
      <c r="U78" s="546"/>
      <c r="V78" s="546">
        <v>0</v>
      </c>
      <c r="W78" s="546">
        <v>0</v>
      </c>
      <c r="X78" s="546">
        <v>0</v>
      </c>
      <c r="Y78" s="546">
        <v>0</v>
      </c>
      <c r="Z78" s="546">
        <v>0</v>
      </c>
      <c r="AA78" s="546">
        <v>0</v>
      </c>
      <c r="AD78" s="546"/>
      <c r="AE78" s="531"/>
      <c r="AF78" s="531"/>
      <c r="AG78" s="531"/>
      <c r="AH78" s="531"/>
      <c r="AI78" s="531"/>
      <c r="AJ78" s="531"/>
      <c r="AK78" s="531"/>
      <c r="AL78" s="531"/>
      <c r="AO78" s="549"/>
      <c r="AP78" s="549"/>
      <c r="AQ78" s="549"/>
      <c r="AR78" s="549"/>
      <c r="AS78" s="549"/>
      <c r="AT78" s="549"/>
      <c r="AU78" s="549"/>
      <c r="AV78" s="549"/>
      <c r="AW78" s="549"/>
      <c r="AX78" s="549"/>
      <c r="AY78" s="549"/>
      <c r="AZ78" s="549"/>
      <c r="BA78" s="549"/>
      <c r="BB78" s="549"/>
      <c r="BC78" s="549"/>
      <c r="BF78" s="531" t="s">
        <v>37</v>
      </c>
    </row>
    <row r="79" spans="1:58" ht="15" customHeight="1">
      <c r="A79" s="531" t="str">
        <f>'EIA23 EQ Cost'!B51</f>
        <v>RSHDRDV322</v>
      </c>
      <c r="B79" s="531" t="str">
        <f>'EIA23 EQ Cost'!C51</f>
        <v>Distillate Radiant Ver3.RSH.DST.22</v>
      </c>
      <c r="C79" s="530" t="s">
        <v>32</v>
      </c>
      <c r="D79" s="531" t="s">
        <v>126</v>
      </c>
      <c r="E79" s="531" t="s">
        <v>123</v>
      </c>
      <c r="F79" s="547">
        <f>'EIA23 EQ Cost'!G51</f>
        <v>2022</v>
      </c>
      <c r="G79" s="587">
        <f>'EIA23 EQ Cost'!H51</f>
        <v>23</v>
      </c>
      <c r="H79" s="548">
        <f>'EIA23 EQ Cost'!J51</f>
        <v>2.0683639559580111</v>
      </c>
      <c r="I79" s="548">
        <f>'EIA23 EQ Cost'!K51</f>
        <v>0.87</v>
      </c>
      <c r="J79" s="531">
        <v>1</v>
      </c>
      <c r="K79" s="531">
        <v>0.16</v>
      </c>
      <c r="L79" s="531">
        <v>0.16</v>
      </c>
      <c r="M79" s="531">
        <v>0.16</v>
      </c>
      <c r="N79" s="531">
        <v>0.16</v>
      </c>
      <c r="O79" s="531">
        <v>0.16</v>
      </c>
      <c r="P79" s="531"/>
      <c r="Q79" s="531">
        <v>0.36</v>
      </c>
      <c r="R79" s="546"/>
      <c r="S79" s="546"/>
      <c r="T79" s="546"/>
      <c r="U79" s="546"/>
      <c r="V79" s="546">
        <v>0</v>
      </c>
      <c r="W79" s="546">
        <v>0</v>
      </c>
      <c r="X79" s="546">
        <v>0</v>
      </c>
      <c r="Y79" s="546">
        <v>0</v>
      </c>
      <c r="Z79" s="546">
        <v>0</v>
      </c>
      <c r="AA79" s="546">
        <v>0</v>
      </c>
      <c r="AD79" s="546"/>
      <c r="AE79" s="531"/>
      <c r="AF79" s="531"/>
      <c r="AG79" s="531"/>
      <c r="AH79" s="531"/>
      <c r="AI79" s="531"/>
      <c r="AJ79" s="531"/>
      <c r="AK79" s="531"/>
      <c r="AL79" s="531"/>
      <c r="AO79" s="549"/>
      <c r="AP79" s="549"/>
      <c r="AQ79" s="549"/>
      <c r="AR79" s="549"/>
      <c r="AS79" s="549"/>
      <c r="AT79" s="549"/>
      <c r="AU79" s="549"/>
      <c r="AV79" s="549"/>
      <c r="AW79" s="549"/>
      <c r="AX79" s="549"/>
      <c r="AY79" s="549"/>
      <c r="AZ79" s="549"/>
      <c r="BA79" s="549"/>
      <c r="BB79" s="549"/>
      <c r="BC79" s="549"/>
      <c r="BF79" s="531" t="s">
        <v>37</v>
      </c>
    </row>
    <row r="80" spans="1:58" ht="15" customHeight="1">
      <c r="A80" s="531" t="str">
        <f>'EIA23 EQ Cost'!B52</f>
        <v>RSHDRDV422</v>
      </c>
      <c r="B80" s="531" t="str">
        <f>'EIA23 EQ Cost'!C52</f>
        <v>Distillate Radiant Ver4.RSH.DST.22</v>
      </c>
      <c r="C80" s="530" t="s">
        <v>32</v>
      </c>
      <c r="D80" s="531" t="s">
        <v>126</v>
      </c>
      <c r="E80" s="531" t="s">
        <v>123</v>
      </c>
      <c r="F80" s="547">
        <f>'EIA23 EQ Cost'!G52</f>
        <v>2022</v>
      </c>
      <c r="G80" s="587">
        <f>'EIA23 EQ Cost'!H52</f>
        <v>23</v>
      </c>
      <c r="H80" s="548">
        <f>'EIA23 EQ Cost'!J52</f>
        <v>2.1016055195359078</v>
      </c>
      <c r="I80" s="548">
        <f>'EIA23 EQ Cost'!K52</f>
        <v>0.88</v>
      </c>
      <c r="J80" s="531">
        <v>1</v>
      </c>
      <c r="K80" s="531">
        <v>0.16</v>
      </c>
      <c r="L80" s="531">
        <v>0.16</v>
      </c>
      <c r="M80" s="531">
        <v>0.16</v>
      </c>
      <c r="N80" s="531">
        <v>0.16</v>
      </c>
      <c r="O80" s="531">
        <v>0.16</v>
      </c>
      <c r="P80" s="531"/>
      <c r="Q80" s="531">
        <v>0.36</v>
      </c>
      <c r="R80" s="546"/>
      <c r="S80" s="546"/>
      <c r="T80" s="546"/>
      <c r="U80" s="546"/>
      <c r="V80" s="546">
        <v>0</v>
      </c>
      <c r="W80" s="546">
        <v>0</v>
      </c>
      <c r="X80" s="546">
        <v>0</v>
      </c>
      <c r="Y80" s="546">
        <v>0</v>
      </c>
      <c r="Z80" s="546">
        <v>0</v>
      </c>
      <c r="AA80" s="546">
        <v>0</v>
      </c>
      <c r="AD80" s="546"/>
      <c r="AE80" s="531"/>
      <c r="AF80" s="531"/>
      <c r="AG80" s="531"/>
      <c r="AH80" s="531"/>
      <c r="AI80" s="531"/>
      <c r="AJ80" s="531"/>
      <c r="AK80" s="531"/>
      <c r="AL80" s="531"/>
      <c r="AO80" s="549"/>
      <c r="AP80" s="549"/>
      <c r="AQ80" s="549"/>
      <c r="AR80" s="549"/>
      <c r="AS80" s="549"/>
      <c r="AT80" s="549"/>
      <c r="AU80" s="549"/>
      <c r="AV80" s="549"/>
      <c r="AW80" s="549"/>
      <c r="AX80" s="549"/>
      <c r="AY80" s="549"/>
      <c r="AZ80" s="549"/>
      <c r="BA80" s="549"/>
      <c r="BB80" s="549"/>
      <c r="BC80" s="549"/>
      <c r="BF80" s="531" t="s">
        <v>37</v>
      </c>
    </row>
    <row r="81" spans="1:58" ht="15" customHeight="1">
      <c r="A81" s="531" t="str">
        <f>'EIA23 EQ Cost'!B53</f>
        <v>RSHDRDV130</v>
      </c>
      <c r="B81" s="531" t="str">
        <f>'EIA23 EQ Cost'!C53</f>
        <v>Distillate Radiant Ver1.RSH.DST.30</v>
      </c>
      <c r="C81" s="530" t="s">
        <v>32</v>
      </c>
      <c r="D81" s="531" t="s">
        <v>126</v>
      </c>
      <c r="E81" s="531" t="s">
        <v>123</v>
      </c>
      <c r="F81" s="547">
        <f>'EIA23 EQ Cost'!G53</f>
        <v>2030</v>
      </c>
      <c r="G81" s="587">
        <f>'EIA23 EQ Cost'!H53</f>
        <v>23</v>
      </c>
      <c r="H81" s="548">
        <f>'EIA23 EQ Cost'!J53</f>
        <v>2.0351223923801149</v>
      </c>
      <c r="I81" s="548">
        <f>'EIA23 EQ Cost'!K53</f>
        <v>0.86</v>
      </c>
      <c r="J81" s="531">
        <v>1</v>
      </c>
      <c r="K81" s="531">
        <v>0.16</v>
      </c>
      <c r="L81" s="531">
        <v>0.16</v>
      </c>
      <c r="M81" s="531">
        <v>0.16</v>
      </c>
      <c r="N81" s="531">
        <v>0.16</v>
      </c>
      <c r="O81" s="531">
        <v>0.16</v>
      </c>
      <c r="P81" s="531"/>
      <c r="Q81" s="531">
        <v>0.36</v>
      </c>
      <c r="R81" s="546"/>
      <c r="S81" s="546"/>
      <c r="T81" s="546"/>
      <c r="U81" s="546"/>
      <c r="V81" s="546"/>
      <c r="W81" s="546"/>
      <c r="X81" s="546"/>
      <c r="Y81" s="546"/>
      <c r="Z81" s="546"/>
      <c r="AA81" s="546"/>
      <c r="AD81" s="546"/>
      <c r="AE81" s="531"/>
      <c r="AF81" s="531"/>
      <c r="AG81" s="531"/>
      <c r="AH81" s="531"/>
      <c r="AI81" s="531"/>
      <c r="AJ81" s="531"/>
      <c r="AK81" s="531"/>
      <c r="AL81" s="531"/>
      <c r="AO81" s="549"/>
      <c r="AP81" s="549"/>
      <c r="AQ81" s="549"/>
      <c r="AR81" s="549"/>
      <c r="AS81" s="549"/>
      <c r="AT81" s="549"/>
      <c r="AU81" s="549"/>
      <c r="AV81" s="549"/>
      <c r="AW81" s="549"/>
      <c r="AX81" s="549"/>
      <c r="AY81" s="549"/>
      <c r="AZ81" s="549"/>
      <c r="BA81" s="549"/>
      <c r="BB81" s="549"/>
      <c r="BC81" s="549"/>
      <c r="BF81" s="531" t="s">
        <v>37</v>
      </c>
    </row>
    <row r="82" spans="1:58" ht="15" customHeight="1">
      <c r="A82" s="531" t="str">
        <f>'EIA23 EQ Cost'!B54</f>
        <v>RSHDRDV230</v>
      </c>
      <c r="B82" s="531" t="str">
        <f>'EIA23 EQ Cost'!C54</f>
        <v>Distillate Radiant Ver2.RSH.DST.30</v>
      </c>
      <c r="C82" s="530" t="s">
        <v>32</v>
      </c>
      <c r="D82" s="531" t="s">
        <v>126</v>
      </c>
      <c r="E82" s="531" t="s">
        <v>123</v>
      </c>
      <c r="F82" s="547">
        <f>'EIA23 EQ Cost'!G54</f>
        <v>2030</v>
      </c>
      <c r="G82" s="587">
        <f>'EIA23 EQ Cost'!H54</f>
        <v>23</v>
      </c>
      <c r="H82" s="548">
        <f>'EIA23 EQ Cost'!J54</f>
        <v>2.1016055195359078</v>
      </c>
      <c r="I82" s="548">
        <f>'EIA23 EQ Cost'!K54</f>
        <v>0.88</v>
      </c>
      <c r="J82" s="531">
        <v>1</v>
      </c>
      <c r="K82" s="531">
        <v>0.16</v>
      </c>
      <c r="L82" s="531">
        <v>0.16</v>
      </c>
      <c r="M82" s="531">
        <v>0.16</v>
      </c>
      <c r="N82" s="531">
        <v>0.16</v>
      </c>
      <c r="O82" s="531">
        <v>0.16</v>
      </c>
      <c r="P82" s="531"/>
      <c r="Q82" s="531">
        <v>0.36</v>
      </c>
      <c r="R82" s="546"/>
      <c r="S82" s="546"/>
      <c r="T82" s="546"/>
      <c r="U82" s="546"/>
      <c r="V82" s="546"/>
      <c r="W82" s="546"/>
      <c r="X82" s="546"/>
      <c r="Y82" s="546"/>
      <c r="Z82" s="546"/>
      <c r="AA82" s="546"/>
      <c r="AD82" s="546"/>
      <c r="AE82" s="531"/>
      <c r="AF82" s="531"/>
      <c r="AG82" s="531"/>
      <c r="AH82" s="531"/>
      <c r="AI82" s="531"/>
      <c r="AJ82" s="531"/>
      <c r="AK82" s="531"/>
      <c r="AL82" s="531"/>
      <c r="AO82" s="549"/>
      <c r="AP82" s="549"/>
      <c r="AQ82" s="549"/>
      <c r="AR82" s="549"/>
      <c r="AS82" s="549"/>
      <c r="AT82" s="549"/>
      <c r="AU82" s="549"/>
      <c r="AV82" s="549"/>
      <c r="AW82" s="549"/>
      <c r="AX82" s="549"/>
      <c r="AY82" s="549"/>
      <c r="AZ82" s="549"/>
      <c r="BA82" s="549"/>
      <c r="BB82" s="549"/>
      <c r="BC82" s="549"/>
      <c r="BF82" s="531" t="s">
        <v>37</v>
      </c>
    </row>
    <row r="83" spans="1:58" ht="15" customHeight="1">
      <c r="A83" s="533" t="str">
        <f>'EIA23 EQ Cost'!B55</f>
        <v>*Fuel Oil (DSL) Furnaces</v>
      </c>
      <c r="B83" s="532"/>
      <c r="C83" s="533"/>
      <c r="D83" s="532"/>
      <c r="E83" s="532"/>
      <c r="F83" s="586"/>
      <c r="G83" s="588"/>
      <c r="H83" s="598"/>
      <c r="I83" s="598"/>
      <c r="J83" s="532"/>
      <c r="K83" s="532"/>
      <c r="L83" s="532"/>
      <c r="M83" s="532"/>
      <c r="N83" s="532"/>
      <c r="O83" s="532"/>
      <c r="P83" s="532"/>
      <c r="Q83" s="532"/>
      <c r="R83" s="558"/>
      <c r="S83" s="558"/>
      <c r="T83" s="558"/>
      <c r="U83" s="558"/>
      <c r="V83" s="558"/>
      <c r="W83" s="558"/>
      <c r="X83" s="558"/>
      <c r="Y83" s="558"/>
      <c r="Z83" s="558"/>
      <c r="AA83" s="558"/>
      <c r="AD83" s="558"/>
      <c r="AE83" s="532"/>
      <c r="AF83" s="532"/>
      <c r="AG83" s="532"/>
      <c r="AH83" s="532"/>
      <c r="AI83" s="532"/>
      <c r="AJ83" s="532"/>
      <c r="AK83" s="532"/>
      <c r="AL83" s="532"/>
      <c r="AO83" s="605"/>
      <c r="AP83" s="605"/>
      <c r="AQ83" s="605"/>
      <c r="AR83" s="605"/>
      <c r="AS83" s="605"/>
      <c r="AT83" s="605"/>
      <c r="AU83" s="605"/>
      <c r="AV83" s="605"/>
      <c r="AW83" s="605"/>
      <c r="AX83" s="605"/>
      <c r="AY83" s="605"/>
      <c r="AZ83" s="605"/>
      <c r="BA83" s="605"/>
      <c r="BB83" s="605"/>
      <c r="BC83" s="605"/>
      <c r="BF83" s="533" t="str">
        <f>A83</f>
        <v>*Fuel Oil (DSL) Furnaces</v>
      </c>
    </row>
    <row r="84" spans="1:58" ht="15" customHeight="1">
      <c r="A84" s="531" t="str">
        <f>'EIA23 EQ Cost'!B56</f>
        <v>RSHDFRBS15</v>
      </c>
      <c r="B84" s="531" t="str">
        <f>'EIA23 EQ Cost'!C56</f>
        <v>Distillate Furnace Base.RSH.DST.15</v>
      </c>
      <c r="C84" s="530" t="s">
        <v>32</v>
      </c>
      <c r="D84" s="531" t="s">
        <v>126</v>
      </c>
      <c r="E84" s="531" t="s">
        <v>123</v>
      </c>
      <c r="F84" s="547">
        <f>'EIA23 EQ Cost'!G56</f>
        <v>2015</v>
      </c>
      <c r="G84" s="587">
        <f>'EIA23 EQ Cost'!H56</f>
        <v>26.5</v>
      </c>
      <c r="H84" s="548">
        <f>'EIA23 EQ Cost'!J56</f>
        <v>2.4057042678225917</v>
      </c>
      <c r="I84" s="548">
        <f>'EIA23 EQ Cost'!K56</f>
        <v>0.83</v>
      </c>
      <c r="J84" s="531">
        <v>1</v>
      </c>
      <c r="K84" s="531">
        <v>0.16</v>
      </c>
      <c r="L84" s="531">
        <v>0.16</v>
      </c>
      <c r="M84" s="531">
        <v>0.16</v>
      </c>
      <c r="N84" s="531">
        <v>0.16</v>
      </c>
      <c r="O84" s="531">
        <v>0.16</v>
      </c>
      <c r="P84" s="531"/>
      <c r="Q84" s="531">
        <v>0.36</v>
      </c>
      <c r="R84" s="546"/>
      <c r="S84" s="546"/>
      <c r="T84" s="546">
        <v>0</v>
      </c>
      <c r="U84" s="546">
        <v>0</v>
      </c>
      <c r="V84" s="546">
        <v>0</v>
      </c>
      <c r="W84" s="546">
        <v>0</v>
      </c>
      <c r="X84" s="546">
        <v>0</v>
      </c>
      <c r="Y84" s="546">
        <v>0</v>
      </c>
      <c r="Z84" s="546">
        <v>0</v>
      </c>
      <c r="AA84" s="546">
        <v>0</v>
      </c>
      <c r="AD84" s="546"/>
      <c r="AE84" s="531"/>
      <c r="AF84" s="531"/>
      <c r="AG84" s="531"/>
      <c r="AH84" s="531"/>
      <c r="AI84" s="531"/>
      <c r="AJ84" s="531"/>
      <c r="AK84" s="531"/>
      <c r="AL84" s="531"/>
      <c r="AO84" s="549" t="e">
        <f>Resid!V39</f>
        <v>#REF!</v>
      </c>
      <c r="AP84" s="549" t="e">
        <f>Resid!W39</f>
        <v>#REF!</v>
      </c>
      <c r="AQ84" s="549" t="e">
        <f>Resid!X39</f>
        <v>#REF!</v>
      </c>
      <c r="AR84" s="549" t="e">
        <f>Resid!Y39</f>
        <v>#REF!</v>
      </c>
      <c r="AS84" s="549" t="e">
        <f>Resid!Z39</f>
        <v>#REF!</v>
      </c>
      <c r="AT84" s="549" t="e">
        <f>AO84*0.9</f>
        <v>#REF!</v>
      </c>
      <c r="AU84" s="549" t="e">
        <f t="shared" ref="AU84" si="23">AP84*0.9</f>
        <v>#REF!</v>
      </c>
      <c r="AV84" s="549" t="e">
        <f t="shared" ref="AV84" si="24">AQ84*0.9</f>
        <v>#REF!</v>
      </c>
      <c r="AW84" s="549" t="e">
        <f t="shared" ref="AW84" si="25">AR84*0.9</f>
        <v>#REF!</v>
      </c>
      <c r="AX84" s="549" t="e">
        <f t="shared" ref="AX84" si="26">AS84*0.9</f>
        <v>#REF!</v>
      </c>
      <c r="AY84" s="549"/>
      <c r="AZ84" s="549"/>
      <c r="BA84" s="549"/>
      <c r="BB84" s="549"/>
      <c r="BC84" s="549"/>
      <c r="BF84" s="531" t="s">
        <v>37</v>
      </c>
    </row>
    <row r="85" spans="1:58" ht="15" customHeight="1">
      <c r="A85" s="531" t="str">
        <f>'EIA23 EQ Cost'!B57</f>
        <v>RSHDFRBS20</v>
      </c>
      <c r="B85" s="531" t="str">
        <f>'EIA23 EQ Cost'!C57</f>
        <v>Distillate Furnace Base.RSH.DST.20</v>
      </c>
      <c r="C85" s="530" t="s">
        <v>32</v>
      </c>
      <c r="D85" s="531" t="s">
        <v>126</v>
      </c>
      <c r="E85" s="531" t="s">
        <v>123</v>
      </c>
      <c r="F85" s="547">
        <f>'EIA23 EQ Cost'!G57</f>
        <v>2020</v>
      </c>
      <c r="G85" s="587">
        <f>'EIA23 EQ Cost'!H57</f>
        <v>26.5</v>
      </c>
      <c r="H85" s="548">
        <f>'EIA23 EQ Cost'!J57</f>
        <v>2.4057042678225917</v>
      </c>
      <c r="I85" s="548">
        <f>'EIA23 EQ Cost'!K57</f>
        <v>0.83</v>
      </c>
      <c r="J85" s="531">
        <v>1</v>
      </c>
      <c r="K85" s="531">
        <v>0.16</v>
      </c>
      <c r="L85" s="531">
        <v>0.16</v>
      </c>
      <c r="M85" s="531">
        <v>0.16</v>
      </c>
      <c r="N85" s="531">
        <v>0.16</v>
      </c>
      <c r="O85" s="531">
        <v>0.16</v>
      </c>
      <c r="P85" s="531"/>
      <c r="Q85" s="531">
        <v>0.36</v>
      </c>
      <c r="R85" s="546"/>
      <c r="S85" s="546"/>
      <c r="T85" s="546"/>
      <c r="U85" s="546">
        <v>0</v>
      </c>
      <c r="V85" s="546">
        <v>0</v>
      </c>
      <c r="W85" s="546">
        <v>0</v>
      </c>
      <c r="X85" s="546">
        <v>0</v>
      </c>
      <c r="Y85" s="546">
        <v>0</v>
      </c>
      <c r="Z85" s="546">
        <v>0</v>
      </c>
      <c r="AA85" s="546">
        <v>0</v>
      </c>
      <c r="AD85" s="546"/>
      <c r="AE85" s="531"/>
      <c r="AF85" s="531"/>
      <c r="AG85" s="531"/>
      <c r="AH85" s="531"/>
      <c r="AI85" s="531"/>
      <c r="AJ85" s="531"/>
      <c r="AK85" s="531"/>
      <c r="AL85" s="531"/>
      <c r="AO85" s="549"/>
      <c r="AP85" s="549"/>
      <c r="AQ85" s="549"/>
      <c r="AR85" s="549"/>
      <c r="AS85" s="549"/>
      <c r="AT85" s="549"/>
      <c r="AU85" s="549"/>
      <c r="AV85" s="549"/>
      <c r="AW85" s="549"/>
      <c r="AX85" s="549"/>
      <c r="AY85" s="549"/>
      <c r="AZ85" s="549"/>
      <c r="BA85" s="549"/>
      <c r="BB85" s="549"/>
      <c r="BC85" s="549"/>
      <c r="BF85" s="531" t="s">
        <v>37</v>
      </c>
    </row>
    <row r="86" spans="1:58" ht="15" customHeight="1">
      <c r="A86" s="531" t="str">
        <f>'EIA23 EQ Cost'!B58</f>
        <v>RSHDFRV122</v>
      </c>
      <c r="B86" s="531" t="str">
        <f>'EIA23 EQ Cost'!C58</f>
        <v>Distillate Furnace Ver1.RSH.DST.22</v>
      </c>
      <c r="C86" s="530" t="s">
        <v>32</v>
      </c>
      <c r="D86" s="531" t="s">
        <v>126</v>
      </c>
      <c r="E86" s="531" t="s">
        <v>123</v>
      </c>
      <c r="F86" s="547">
        <f>'EIA23 EQ Cost'!G58</f>
        <v>2022</v>
      </c>
      <c r="G86" s="587">
        <f>'EIA23 EQ Cost'!H58</f>
        <v>26.5</v>
      </c>
      <c r="H86" s="548">
        <f>'EIA23 EQ Cost'!J58</f>
        <v>2.4057042678225917</v>
      </c>
      <c r="I86" s="548">
        <f>'EIA23 EQ Cost'!K58</f>
        <v>0.83</v>
      </c>
      <c r="J86" s="531">
        <v>1</v>
      </c>
      <c r="K86" s="531">
        <v>0.16</v>
      </c>
      <c r="L86" s="531">
        <v>0.16</v>
      </c>
      <c r="M86" s="531">
        <v>0.16</v>
      </c>
      <c r="N86" s="531">
        <v>0.16</v>
      </c>
      <c r="O86" s="531">
        <v>0.16</v>
      </c>
      <c r="P86" s="531"/>
      <c r="Q86" s="531">
        <v>0.36</v>
      </c>
      <c r="R86" s="546"/>
      <c r="S86" s="546"/>
      <c r="T86" s="546"/>
      <c r="U86" s="546"/>
      <c r="V86" s="546">
        <v>0</v>
      </c>
      <c r="W86" s="546">
        <v>0</v>
      </c>
      <c r="X86" s="546">
        <v>0</v>
      </c>
      <c r="Y86" s="546">
        <v>0</v>
      </c>
      <c r="Z86" s="546">
        <v>0</v>
      </c>
      <c r="AA86" s="546">
        <v>0</v>
      </c>
      <c r="AD86" s="546"/>
      <c r="AE86" s="531"/>
      <c r="AF86" s="531"/>
      <c r="AG86" s="531"/>
      <c r="AH86" s="531"/>
      <c r="AI86" s="531"/>
      <c r="AJ86" s="531"/>
      <c r="AK86" s="531"/>
      <c r="AL86" s="531"/>
      <c r="AO86" s="549"/>
      <c r="AP86" s="549"/>
      <c r="AQ86" s="549"/>
      <c r="AR86" s="549"/>
      <c r="AS86" s="549"/>
      <c r="AT86" s="549"/>
      <c r="AU86" s="549"/>
      <c r="AV86" s="549"/>
      <c r="AW86" s="549"/>
      <c r="AX86" s="549"/>
      <c r="AY86" s="549"/>
      <c r="AZ86" s="549"/>
      <c r="BA86" s="549"/>
      <c r="BB86" s="549"/>
      <c r="BC86" s="549"/>
      <c r="BF86" s="531" t="s">
        <v>37</v>
      </c>
    </row>
    <row r="87" spans="1:58" ht="15" customHeight="1">
      <c r="A87" s="531" t="str">
        <f>'EIA23 EQ Cost'!B59</f>
        <v>RSHDFRV222</v>
      </c>
      <c r="B87" s="531" t="str">
        <f>'EIA23 EQ Cost'!C59</f>
        <v>Distillate Furnace Ver2.RSH.DST.22</v>
      </c>
      <c r="C87" s="530" t="s">
        <v>32</v>
      </c>
      <c r="D87" s="531" t="s">
        <v>126</v>
      </c>
      <c r="E87" s="531" t="s">
        <v>123</v>
      </c>
      <c r="F87" s="547">
        <f>'EIA23 EQ Cost'!G59</f>
        <v>2022</v>
      </c>
      <c r="G87" s="587">
        <f>'EIA23 EQ Cost'!H59</f>
        <v>26.5</v>
      </c>
      <c r="H87" s="548">
        <f>'EIA23 EQ Cost'!J59</f>
        <v>2.5362081840913713</v>
      </c>
      <c r="I87" s="548">
        <f>'EIA23 EQ Cost'!K59</f>
        <v>0.85</v>
      </c>
      <c r="J87" s="531">
        <v>1</v>
      </c>
      <c r="K87" s="531">
        <v>0.16</v>
      </c>
      <c r="L87" s="531">
        <v>0.16</v>
      </c>
      <c r="M87" s="531">
        <v>0.16</v>
      </c>
      <c r="N87" s="531">
        <v>0.16</v>
      </c>
      <c r="O87" s="531">
        <v>0.16</v>
      </c>
      <c r="P87" s="531"/>
      <c r="Q87" s="531">
        <v>0.36</v>
      </c>
      <c r="R87" s="546"/>
      <c r="S87" s="546"/>
      <c r="T87" s="546"/>
      <c r="U87" s="546"/>
      <c r="V87" s="546">
        <v>0</v>
      </c>
      <c r="W87" s="546">
        <v>0</v>
      </c>
      <c r="X87" s="546">
        <v>0</v>
      </c>
      <c r="Y87" s="546">
        <v>0</v>
      </c>
      <c r="Z87" s="546">
        <v>0</v>
      </c>
      <c r="AA87" s="546">
        <v>0</v>
      </c>
      <c r="AD87" s="546"/>
      <c r="AE87" s="531"/>
      <c r="AF87" s="531"/>
      <c r="AG87" s="531"/>
      <c r="AH87" s="531"/>
      <c r="AI87" s="531"/>
      <c r="AJ87" s="531"/>
      <c r="AK87" s="531"/>
      <c r="AL87" s="531"/>
      <c r="AO87" s="546"/>
      <c r="AP87" s="546"/>
      <c r="AQ87" s="546"/>
      <c r="AR87" s="546"/>
      <c r="AS87" s="546"/>
      <c r="AT87" s="546"/>
      <c r="AU87" s="546"/>
      <c r="AV87" s="546"/>
      <c r="AW87" s="546"/>
      <c r="AX87" s="546"/>
      <c r="AY87" s="546"/>
      <c r="AZ87" s="546"/>
      <c r="BA87" s="546"/>
      <c r="BB87" s="546"/>
      <c r="BC87" s="546"/>
      <c r="BF87" s="531" t="s">
        <v>37</v>
      </c>
    </row>
    <row r="88" spans="1:58" ht="15" customHeight="1">
      <c r="A88" s="531" t="str">
        <f>'EIA23 EQ Cost'!B60</f>
        <v>RSHDFRV322</v>
      </c>
      <c r="B88" s="531" t="str">
        <f>'EIA23 EQ Cost'!C60</f>
        <v>Distillate Furnace Ver3.RSH.DST.22</v>
      </c>
      <c r="C88" s="530" t="s">
        <v>32</v>
      </c>
      <c r="D88" s="531" t="s">
        <v>126</v>
      </c>
      <c r="E88" s="531" t="s">
        <v>123</v>
      </c>
      <c r="F88" s="547">
        <f>'EIA23 EQ Cost'!G60</f>
        <v>2022</v>
      </c>
      <c r="G88" s="587">
        <f>'EIA23 EQ Cost'!H60</f>
        <v>26.5</v>
      </c>
      <c r="H88" s="548">
        <f>'EIA23 EQ Cost'!J60</f>
        <v>2.5362081840913713</v>
      </c>
      <c r="I88" s="548">
        <f>'EIA23 EQ Cost'!K60</f>
        <v>0.85</v>
      </c>
      <c r="J88" s="531">
        <v>1</v>
      </c>
      <c r="K88" s="531">
        <v>0.16</v>
      </c>
      <c r="L88" s="531">
        <v>0.16</v>
      </c>
      <c r="M88" s="531">
        <v>0.16</v>
      </c>
      <c r="N88" s="531">
        <v>0.16</v>
      </c>
      <c r="O88" s="531">
        <v>0.16</v>
      </c>
      <c r="P88" s="531"/>
      <c r="Q88" s="531">
        <v>0.36</v>
      </c>
      <c r="R88" s="546"/>
      <c r="S88" s="546"/>
      <c r="T88" s="546"/>
      <c r="U88" s="546"/>
      <c r="V88" s="546">
        <v>0</v>
      </c>
      <c r="W88" s="546">
        <v>0</v>
      </c>
      <c r="X88" s="546">
        <v>0</v>
      </c>
      <c r="Y88" s="546">
        <v>0</v>
      </c>
      <c r="Z88" s="546">
        <v>0</v>
      </c>
      <c r="AA88" s="546">
        <v>0</v>
      </c>
      <c r="AD88" s="546"/>
      <c r="AE88" s="531"/>
      <c r="AF88" s="531"/>
      <c r="AG88" s="531"/>
      <c r="AH88" s="531"/>
      <c r="AI88" s="531"/>
      <c r="AJ88" s="531"/>
      <c r="AK88" s="531"/>
      <c r="AL88" s="531"/>
      <c r="AO88" s="546"/>
      <c r="AP88" s="546"/>
      <c r="AQ88" s="546"/>
      <c r="AR88" s="546"/>
      <c r="AS88" s="546"/>
      <c r="AT88" s="546"/>
      <c r="AU88" s="546"/>
      <c r="AV88" s="546"/>
      <c r="AW88" s="546"/>
      <c r="AX88" s="546"/>
      <c r="AY88" s="546"/>
      <c r="AZ88" s="546"/>
      <c r="BA88" s="546"/>
      <c r="BB88" s="546"/>
      <c r="BC88" s="546"/>
      <c r="BF88" s="531" t="s">
        <v>37</v>
      </c>
    </row>
    <row r="89" spans="1:58" ht="15" customHeight="1">
      <c r="A89" s="531" t="str">
        <f>'EIA23 EQ Cost'!B61</f>
        <v>RSHDFRV422</v>
      </c>
      <c r="B89" s="531" t="str">
        <f>'EIA23 EQ Cost'!C61</f>
        <v>Distillate Furnace Ver4.RSH.DST.22</v>
      </c>
      <c r="C89" s="530" t="s">
        <v>32</v>
      </c>
      <c r="D89" s="531" t="s">
        <v>126</v>
      </c>
      <c r="E89" s="531" t="s">
        <v>123</v>
      </c>
      <c r="F89" s="547">
        <f>'EIA23 EQ Cost'!G61</f>
        <v>2022</v>
      </c>
      <c r="G89" s="587">
        <f>'EIA23 EQ Cost'!H61</f>
        <v>26.5</v>
      </c>
      <c r="H89" s="548">
        <f>'EIA23 EQ Cost'!J61</f>
        <v>3.755065515280914</v>
      </c>
      <c r="I89" s="548">
        <f>'EIA23 EQ Cost'!K61</f>
        <v>0.97</v>
      </c>
      <c r="J89" s="531">
        <v>1</v>
      </c>
      <c r="K89" s="531">
        <v>0.16</v>
      </c>
      <c r="L89" s="531">
        <v>0.16</v>
      </c>
      <c r="M89" s="531">
        <v>0.16</v>
      </c>
      <c r="N89" s="531">
        <v>0.16</v>
      </c>
      <c r="O89" s="531">
        <v>0.16</v>
      </c>
      <c r="P89" s="531"/>
      <c r="Q89" s="531">
        <v>0.36</v>
      </c>
      <c r="R89" s="546"/>
      <c r="S89" s="546"/>
      <c r="T89" s="546"/>
      <c r="U89" s="546"/>
      <c r="V89" s="546">
        <v>0</v>
      </c>
      <c r="W89" s="546">
        <v>0</v>
      </c>
      <c r="X89" s="546">
        <v>0</v>
      </c>
      <c r="Y89" s="546">
        <v>0</v>
      </c>
      <c r="Z89" s="546">
        <v>0</v>
      </c>
      <c r="AA89" s="546">
        <v>0</v>
      </c>
      <c r="AD89" s="546"/>
      <c r="AE89" s="531"/>
      <c r="AF89" s="531"/>
      <c r="AG89" s="531"/>
      <c r="AH89" s="531"/>
      <c r="AI89" s="531"/>
      <c r="AJ89" s="531"/>
      <c r="AK89" s="531"/>
      <c r="AL89" s="531"/>
      <c r="AO89" s="546"/>
      <c r="AP89" s="546"/>
      <c r="AQ89" s="546"/>
      <c r="AR89" s="546"/>
      <c r="AS89" s="546"/>
      <c r="AT89" s="546"/>
      <c r="AU89" s="546"/>
      <c r="AV89" s="546"/>
      <c r="AW89" s="546"/>
      <c r="AX89" s="546"/>
      <c r="AY89" s="546"/>
      <c r="AZ89" s="546"/>
      <c r="BA89" s="546"/>
      <c r="BB89" s="546"/>
      <c r="BC89" s="546"/>
      <c r="BF89" s="531" t="s">
        <v>37</v>
      </c>
    </row>
    <row r="90" spans="1:58" ht="15" customHeight="1">
      <c r="A90" s="531" t="str">
        <f>'EIA23 EQ Cost'!B62</f>
        <v>RSHDFRV130</v>
      </c>
      <c r="B90" s="531" t="str">
        <f>'EIA23 EQ Cost'!C62</f>
        <v>Distillate Furnace Ver1.RSH.DST.30</v>
      </c>
      <c r="C90" s="530" t="s">
        <v>32</v>
      </c>
      <c r="D90" s="531" t="s">
        <v>126</v>
      </c>
      <c r="E90" s="531" t="s">
        <v>123</v>
      </c>
      <c r="F90" s="547">
        <f>'EIA23 EQ Cost'!G62</f>
        <v>2030</v>
      </c>
      <c r="G90" s="587">
        <f>'EIA23 EQ Cost'!H62</f>
        <v>26.5</v>
      </c>
      <c r="H90" s="548">
        <f>'EIA23 EQ Cost'!J62</f>
        <v>2.5362081840913713</v>
      </c>
      <c r="I90" s="548">
        <f>'EIA23 EQ Cost'!K62</f>
        <v>0.85</v>
      </c>
      <c r="J90" s="531">
        <v>1</v>
      </c>
      <c r="K90" s="531">
        <v>0.16</v>
      </c>
      <c r="L90" s="531">
        <v>0.16</v>
      </c>
      <c r="M90" s="531">
        <v>0.16</v>
      </c>
      <c r="N90" s="531">
        <v>0.16</v>
      </c>
      <c r="O90" s="531">
        <v>0.16</v>
      </c>
      <c r="P90" s="531"/>
      <c r="Q90" s="531">
        <v>0.36</v>
      </c>
      <c r="R90" s="546"/>
      <c r="S90" s="546"/>
      <c r="T90" s="546"/>
      <c r="U90" s="546"/>
      <c r="V90" s="546"/>
      <c r="W90" s="546"/>
      <c r="X90" s="546"/>
      <c r="Y90" s="546"/>
      <c r="Z90" s="546"/>
      <c r="AA90" s="546"/>
      <c r="AD90" s="546"/>
      <c r="AE90" s="531"/>
      <c r="AF90" s="531"/>
      <c r="AG90" s="531"/>
      <c r="AH90" s="531"/>
      <c r="AI90" s="531"/>
      <c r="AJ90" s="531"/>
      <c r="AK90" s="531"/>
      <c r="AL90" s="531"/>
      <c r="AO90" s="546"/>
      <c r="AP90" s="546"/>
      <c r="AQ90" s="546"/>
      <c r="AR90" s="546"/>
      <c r="AS90" s="546"/>
      <c r="AT90" s="546"/>
      <c r="AU90" s="546"/>
      <c r="AV90" s="546"/>
      <c r="AW90" s="546"/>
      <c r="AX90" s="546"/>
      <c r="AY90" s="546"/>
      <c r="AZ90" s="546"/>
      <c r="BA90" s="546"/>
      <c r="BB90" s="546"/>
      <c r="BC90" s="546"/>
      <c r="BF90" s="531" t="s">
        <v>37</v>
      </c>
    </row>
    <row r="91" spans="1:58" ht="15" customHeight="1">
      <c r="A91" s="531" t="str">
        <f>'EIA23 EQ Cost'!B63</f>
        <v>RSHDFRV230</v>
      </c>
      <c r="B91" s="531" t="str">
        <f>'EIA23 EQ Cost'!C63</f>
        <v>Distillate Furnace Ver2.RSH.DST.30</v>
      </c>
      <c r="C91" s="530" t="s">
        <v>32</v>
      </c>
      <c r="D91" s="531" t="s">
        <v>126</v>
      </c>
      <c r="E91" s="531" t="s">
        <v>123</v>
      </c>
      <c r="F91" s="547">
        <f>'EIA23 EQ Cost'!G63</f>
        <v>2030</v>
      </c>
      <c r="G91" s="587">
        <f>'EIA23 EQ Cost'!H63</f>
        <v>26.5</v>
      </c>
      <c r="H91" s="548">
        <f>'EIA23 EQ Cost'!J63</f>
        <v>3.755065515280914</v>
      </c>
      <c r="I91" s="548">
        <f>'EIA23 EQ Cost'!K63</f>
        <v>0.97</v>
      </c>
      <c r="J91" s="531">
        <v>1</v>
      </c>
      <c r="K91" s="531">
        <v>0.16</v>
      </c>
      <c r="L91" s="531">
        <v>0.16</v>
      </c>
      <c r="M91" s="531">
        <v>0.16</v>
      </c>
      <c r="N91" s="531">
        <v>0.16</v>
      </c>
      <c r="O91" s="531">
        <v>0.16</v>
      </c>
      <c r="P91" s="531"/>
      <c r="Q91" s="531">
        <v>0.36</v>
      </c>
      <c r="R91" s="546"/>
      <c r="S91" s="546"/>
      <c r="T91" s="546"/>
      <c r="U91" s="546"/>
      <c r="V91" s="546"/>
      <c r="W91" s="546"/>
      <c r="X91" s="546"/>
      <c r="Y91" s="546"/>
      <c r="Z91" s="546"/>
      <c r="AA91" s="546"/>
      <c r="AD91" s="546"/>
      <c r="AE91" s="531"/>
      <c r="AF91" s="531"/>
      <c r="AG91" s="531"/>
      <c r="AH91" s="531"/>
      <c r="AI91" s="531"/>
      <c r="AJ91" s="531"/>
      <c r="AK91" s="531"/>
      <c r="AL91" s="531"/>
      <c r="AO91" s="546"/>
      <c r="AP91" s="546"/>
      <c r="AQ91" s="546"/>
      <c r="AR91" s="546"/>
      <c r="AS91" s="546"/>
      <c r="AT91" s="546"/>
      <c r="AU91" s="546"/>
      <c r="AV91" s="546"/>
      <c r="AW91" s="546"/>
      <c r="AX91" s="546"/>
      <c r="AY91" s="546"/>
      <c r="AZ91" s="546"/>
      <c r="BA91" s="546"/>
      <c r="BB91" s="546"/>
      <c r="BC91" s="546"/>
      <c r="BF91" s="531" t="s">
        <v>37</v>
      </c>
    </row>
    <row r="92" spans="1:58" ht="15" customHeight="1">
      <c r="A92" s="533" t="str">
        <f>'EIA23 EQ Cost'!B64</f>
        <v>*Geothermal Heat Pumps</v>
      </c>
      <c r="B92" s="532"/>
      <c r="C92" s="533"/>
      <c r="D92" s="532"/>
      <c r="E92" s="532"/>
      <c r="F92" s="586"/>
      <c r="G92" s="588"/>
      <c r="H92" s="598"/>
      <c r="I92" s="598"/>
      <c r="J92" s="532"/>
      <c r="K92" s="532"/>
      <c r="L92" s="532"/>
      <c r="M92" s="532"/>
      <c r="N92" s="532"/>
      <c r="O92" s="532"/>
      <c r="P92" s="532"/>
      <c r="Q92" s="532"/>
      <c r="R92" s="558"/>
      <c r="S92" s="558"/>
      <c r="T92" s="558"/>
      <c r="U92" s="558"/>
      <c r="V92" s="558"/>
      <c r="W92" s="558"/>
      <c r="X92" s="558"/>
      <c r="Y92" s="558"/>
      <c r="Z92" s="558"/>
      <c r="AA92" s="558"/>
      <c r="AD92" s="558"/>
      <c r="AE92" s="532"/>
      <c r="AF92" s="532"/>
      <c r="AG92" s="532"/>
      <c r="AH92" s="532"/>
      <c r="AI92" s="532"/>
      <c r="AJ92" s="532"/>
      <c r="AK92" s="532"/>
      <c r="AL92" s="532"/>
      <c r="AO92" s="558"/>
      <c r="AP92" s="558"/>
      <c r="AQ92" s="558"/>
      <c r="AR92" s="558"/>
      <c r="AS92" s="558"/>
      <c r="AT92" s="558"/>
      <c r="AU92" s="558"/>
      <c r="AV92" s="558"/>
      <c r="AW92" s="558"/>
      <c r="AX92" s="558"/>
      <c r="AY92" s="558"/>
      <c r="AZ92" s="558"/>
      <c r="BA92" s="558"/>
      <c r="BB92" s="558"/>
      <c r="BC92" s="558"/>
      <c r="BF92" s="533" t="str">
        <f>A92</f>
        <v>*Geothermal Heat Pumps</v>
      </c>
    </row>
    <row r="93" spans="1:58" ht="15" customHeight="1">
      <c r="A93" s="531" t="str">
        <f>'EIA23 EQ Cost'!B65</f>
        <v>RSCGHPBS15</v>
      </c>
      <c r="B93" s="531" t="str">
        <f>'EIA23 EQ Cost'!C65</f>
        <v>Ground Source Heat Pump Base.RSC.ELC.15</v>
      </c>
      <c r="C93" s="530" t="s">
        <v>32</v>
      </c>
      <c r="D93" s="531" t="s">
        <v>122</v>
      </c>
      <c r="E93" s="531"/>
      <c r="F93" s="547">
        <f>'EIA23 EQ Cost'!G65</f>
        <v>2015</v>
      </c>
      <c r="G93" s="587">
        <f>'EIA23 EQ Cost'!H65</f>
        <v>14.5</v>
      </c>
      <c r="H93" s="548">
        <f>'EIA23 EQ Cost'!J65</f>
        <v>26.105913124678374</v>
      </c>
      <c r="I93" s="548"/>
      <c r="J93" s="531"/>
      <c r="K93" s="531">
        <f>0.16*2</f>
        <v>0.32</v>
      </c>
      <c r="L93" s="531">
        <f t="shared" ref="L93:O93" si="27">0.16*2</f>
        <v>0.32</v>
      </c>
      <c r="M93" s="531">
        <f t="shared" si="27"/>
        <v>0.32</v>
      </c>
      <c r="N93" s="531">
        <f t="shared" si="27"/>
        <v>0.32</v>
      </c>
      <c r="O93" s="531">
        <f t="shared" si="27"/>
        <v>0.32</v>
      </c>
      <c r="P93" s="531"/>
      <c r="Q93" s="531">
        <v>0.36</v>
      </c>
      <c r="R93" s="546"/>
      <c r="S93" s="546"/>
      <c r="T93" s="546">
        <v>0</v>
      </c>
      <c r="U93" s="546">
        <v>0</v>
      </c>
      <c r="V93" s="546">
        <v>0</v>
      </c>
      <c r="W93" s="546">
        <v>0</v>
      </c>
      <c r="X93" s="546">
        <v>0</v>
      </c>
      <c r="Y93" s="546">
        <v>0</v>
      </c>
      <c r="Z93" s="546">
        <v>0</v>
      </c>
      <c r="AA93" s="546">
        <v>0</v>
      </c>
      <c r="AD93" s="546"/>
      <c r="AE93" s="531"/>
      <c r="AF93" s="531"/>
      <c r="AG93" s="531"/>
      <c r="AH93" s="531"/>
      <c r="AI93" s="531"/>
      <c r="AJ93" s="531"/>
      <c r="AK93" s="531"/>
      <c r="AL93" s="531"/>
      <c r="AO93" s="546"/>
      <c r="AP93" s="546"/>
      <c r="AQ93" s="546"/>
      <c r="AR93" s="546"/>
      <c r="AS93" s="546"/>
      <c r="AT93" s="546"/>
      <c r="AU93" s="546"/>
      <c r="AV93" s="546"/>
      <c r="AW93" s="546"/>
      <c r="AX93" s="546"/>
      <c r="AY93" s="546"/>
      <c r="AZ93" s="546"/>
      <c r="BA93" s="546"/>
      <c r="BB93" s="546"/>
      <c r="BC93" s="546"/>
      <c r="BF93" s="531" t="s">
        <v>37</v>
      </c>
    </row>
    <row r="94" spans="1:58" ht="15" customHeight="1">
      <c r="A94" s="531"/>
      <c r="B94" s="531"/>
      <c r="C94" s="530"/>
      <c r="D94" s="531"/>
      <c r="E94" s="531" t="s">
        <v>123</v>
      </c>
      <c r="F94" s="547"/>
      <c r="G94" s="587"/>
      <c r="H94" s="548"/>
      <c r="I94" s="548"/>
      <c r="J94" s="620">
        <v>0.75</v>
      </c>
      <c r="K94" s="531"/>
      <c r="L94" s="531"/>
      <c r="M94" s="531"/>
      <c r="N94" s="531"/>
      <c r="O94" s="531"/>
      <c r="P94" s="531"/>
      <c r="Q94" s="531"/>
      <c r="R94" s="546"/>
      <c r="S94" s="546"/>
      <c r="T94" s="546"/>
      <c r="U94" s="546"/>
      <c r="V94" s="546"/>
      <c r="W94" s="546"/>
      <c r="X94" s="546"/>
      <c r="Y94" s="546"/>
      <c r="Z94" s="546"/>
      <c r="AA94" s="546"/>
      <c r="AD94" s="546"/>
      <c r="AE94" s="531"/>
      <c r="AF94" s="531"/>
      <c r="AG94" s="531"/>
      <c r="AH94" s="531"/>
      <c r="AI94" s="531"/>
      <c r="AJ94" s="531"/>
      <c r="AK94" s="531"/>
      <c r="AL94" s="531"/>
      <c r="AO94" s="546"/>
      <c r="AP94" s="546"/>
      <c r="AQ94" s="546"/>
      <c r="AR94" s="546"/>
      <c r="AS94" s="546"/>
      <c r="AT94" s="546"/>
      <c r="AU94" s="546"/>
      <c r="AV94" s="546"/>
      <c r="AW94" s="546"/>
      <c r="AX94" s="546"/>
      <c r="AY94" s="546"/>
      <c r="AZ94" s="546"/>
      <c r="BA94" s="546"/>
      <c r="BB94" s="546"/>
      <c r="BC94" s="546"/>
      <c r="BF94" s="531"/>
    </row>
    <row r="95" spans="1:58" ht="15" customHeight="1">
      <c r="A95" s="531"/>
      <c r="B95" s="531"/>
      <c r="C95" s="530"/>
      <c r="D95" s="531"/>
      <c r="E95" s="531" t="s">
        <v>124</v>
      </c>
      <c r="F95" s="547"/>
      <c r="G95" s="587"/>
      <c r="H95" s="548"/>
      <c r="I95" s="548"/>
      <c r="J95" s="620">
        <v>0.5</v>
      </c>
      <c r="K95" s="531"/>
      <c r="L95" s="531"/>
      <c r="M95" s="531"/>
      <c r="N95" s="531"/>
      <c r="O95" s="531"/>
      <c r="P95" s="531"/>
      <c r="Q95" s="531"/>
      <c r="R95" s="546"/>
      <c r="S95" s="546"/>
      <c r="T95" s="546"/>
      <c r="U95" s="546"/>
      <c r="V95" s="546"/>
      <c r="W95" s="546"/>
      <c r="X95" s="546"/>
      <c r="Y95" s="546"/>
      <c r="Z95" s="546"/>
      <c r="AA95" s="546"/>
      <c r="AD95" s="546"/>
      <c r="AE95" s="531"/>
      <c r="AF95" s="531"/>
      <c r="AG95" s="531"/>
      <c r="AH95" s="531"/>
      <c r="AI95" s="531"/>
      <c r="AJ95" s="531"/>
      <c r="AK95" s="531"/>
      <c r="AL95" s="531"/>
      <c r="AO95" s="546"/>
      <c r="AP95" s="546"/>
      <c r="AQ95" s="546"/>
      <c r="AR95" s="546"/>
      <c r="AS95" s="546"/>
      <c r="AT95" s="546"/>
      <c r="AU95" s="546"/>
      <c r="AV95" s="546"/>
      <c r="AW95" s="546"/>
      <c r="AX95" s="546"/>
      <c r="AY95" s="546"/>
      <c r="AZ95" s="546"/>
      <c r="BA95" s="546"/>
      <c r="BB95" s="546"/>
      <c r="BC95" s="546"/>
      <c r="BF95" s="531"/>
    </row>
    <row r="96" spans="1:58" ht="15" customHeight="1">
      <c r="A96" s="531" t="str">
        <f>'EIA23 EQ Cost'!B66</f>
        <v>RSCGHPBS20</v>
      </c>
      <c r="B96" s="531" t="str">
        <f>'EIA23 EQ Cost'!C66</f>
        <v>Ground Source  Heat Pump Base.RSC.ELC.20</v>
      </c>
      <c r="C96" s="530" t="s">
        <v>32</v>
      </c>
      <c r="D96" s="531" t="s">
        <v>122</v>
      </c>
      <c r="E96" s="531"/>
      <c r="F96" s="547">
        <f>'EIA23 EQ Cost'!G66</f>
        <v>2020</v>
      </c>
      <c r="G96" s="587">
        <f>'EIA23 EQ Cost'!H66</f>
        <v>14.5</v>
      </c>
      <c r="H96" s="548">
        <f>'EIA23 EQ Cost'!J66</f>
        <v>27.290913307779309</v>
      </c>
      <c r="I96" s="548"/>
      <c r="J96" s="531"/>
      <c r="K96" s="531">
        <f>0.16*2</f>
        <v>0.32</v>
      </c>
      <c r="L96" s="531">
        <f t="shared" ref="L96:O96" si="28">0.16*2</f>
        <v>0.32</v>
      </c>
      <c r="M96" s="531">
        <f t="shared" si="28"/>
        <v>0.32</v>
      </c>
      <c r="N96" s="531">
        <f t="shared" si="28"/>
        <v>0.32</v>
      </c>
      <c r="O96" s="531">
        <f t="shared" si="28"/>
        <v>0.32</v>
      </c>
      <c r="P96" s="531"/>
      <c r="Q96" s="531">
        <v>0.36</v>
      </c>
      <c r="R96" s="546"/>
      <c r="S96" s="546"/>
      <c r="T96" s="546"/>
      <c r="U96" s="546">
        <v>0</v>
      </c>
      <c r="V96" s="546">
        <v>0</v>
      </c>
      <c r="W96" s="546">
        <v>0</v>
      </c>
      <c r="X96" s="546">
        <v>0</v>
      </c>
      <c r="Y96" s="546">
        <v>0</v>
      </c>
      <c r="Z96" s="546">
        <v>0</v>
      </c>
      <c r="AA96" s="546">
        <v>0</v>
      </c>
      <c r="AD96" s="546"/>
      <c r="AE96" s="531"/>
      <c r="AF96" s="531"/>
      <c r="AG96" s="531"/>
      <c r="AH96" s="531"/>
      <c r="AI96" s="531"/>
      <c r="AJ96" s="531"/>
      <c r="AK96" s="531"/>
      <c r="AL96" s="531"/>
      <c r="AO96" s="546"/>
      <c r="AP96" s="546"/>
      <c r="AQ96" s="546"/>
      <c r="AR96" s="546"/>
      <c r="AS96" s="546"/>
      <c r="AT96" s="546"/>
      <c r="AU96" s="546"/>
      <c r="AV96" s="546"/>
      <c r="AW96" s="546"/>
      <c r="AX96" s="546"/>
      <c r="AY96" s="546"/>
      <c r="AZ96" s="546"/>
      <c r="BA96" s="546"/>
      <c r="BB96" s="546"/>
      <c r="BC96" s="546"/>
      <c r="BF96" s="531" t="s">
        <v>37</v>
      </c>
    </row>
    <row r="97" spans="1:58" ht="15" customHeight="1">
      <c r="A97" s="531"/>
      <c r="B97" s="531"/>
      <c r="C97" s="530"/>
      <c r="D97" s="531"/>
      <c r="E97" s="531" t="s">
        <v>123</v>
      </c>
      <c r="F97" s="547"/>
      <c r="G97" s="587"/>
      <c r="H97" s="548"/>
      <c r="I97" s="548"/>
      <c r="J97" s="620">
        <v>0.75</v>
      </c>
      <c r="K97" s="531"/>
      <c r="L97" s="531"/>
      <c r="M97" s="531"/>
      <c r="N97" s="531"/>
      <c r="O97" s="531"/>
      <c r="P97" s="531"/>
      <c r="Q97" s="531"/>
      <c r="R97" s="546"/>
      <c r="S97" s="546"/>
      <c r="T97" s="546"/>
      <c r="U97" s="546"/>
      <c r="V97" s="546"/>
      <c r="W97" s="546"/>
      <c r="X97" s="546"/>
      <c r="Y97" s="546"/>
      <c r="Z97" s="546"/>
      <c r="AA97" s="546"/>
      <c r="AD97" s="546"/>
      <c r="AE97" s="531"/>
      <c r="AF97" s="531"/>
      <c r="AG97" s="531"/>
      <c r="AH97" s="531"/>
      <c r="AI97" s="531"/>
      <c r="AJ97" s="531"/>
      <c r="AK97" s="531"/>
      <c r="AL97" s="531"/>
      <c r="AO97" s="546"/>
      <c r="AP97" s="546"/>
      <c r="AQ97" s="546"/>
      <c r="AR97" s="546"/>
      <c r="AS97" s="546"/>
      <c r="AT97" s="546"/>
      <c r="AU97" s="546"/>
      <c r="AV97" s="546"/>
      <c r="AW97" s="546"/>
      <c r="AX97" s="546"/>
      <c r="AY97" s="546"/>
      <c r="AZ97" s="546"/>
      <c r="BA97" s="546"/>
      <c r="BB97" s="546"/>
      <c r="BC97" s="546"/>
      <c r="BF97" s="531"/>
    </row>
    <row r="98" spans="1:58" ht="15" customHeight="1">
      <c r="A98" s="531"/>
      <c r="B98" s="531"/>
      <c r="C98" s="530"/>
      <c r="D98" s="531"/>
      <c r="E98" s="531" t="s">
        <v>124</v>
      </c>
      <c r="F98" s="547"/>
      <c r="G98" s="587"/>
      <c r="H98" s="548"/>
      <c r="I98" s="548"/>
      <c r="J98" s="620">
        <v>0.5</v>
      </c>
      <c r="K98" s="531"/>
      <c r="L98" s="531"/>
      <c r="M98" s="531"/>
      <c r="N98" s="531"/>
      <c r="O98" s="531"/>
      <c r="P98" s="531"/>
      <c r="Q98" s="531"/>
      <c r="R98" s="546"/>
      <c r="S98" s="546"/>
      <c r="T98" s="546"/>
      <c r="U98" s="546"/>
      <c r="V98" s="546"/>
      <c r="W98" s="546"/>
      <c r="X98" s="546"/>
      <c r="Y98" s="546"/>
      <c r="Z98" s="546"/>
      <c r="AA98" s="546"/>
      <c r="AD98" s="546"/>
      <c r="AE98" s="531"/>
      <c r="AF98" s="531"/>
      <c r="AG98" s="531"/>
      <c r="AH98" s="531"/>
      <c r="AI98" s="531"/>
      <c r="AJ98" s="531"/>
      <c r="AK98" s="531"/>
      <c r="AL98" s="531"/>
      <c r="AO98" s="546"/>
      <c r="AP98" s="546"/>
      <c r="AQ98" s="546"/>
      <c r="AR98" s="546"/>
      <c r="AS98" s="546"/>
      <c r="AT98" s="546"/>
      <c r="AU98" s="546"/>
      <c r="AV98" s="546"/>
      <c r="AW98" s="546"/>
      <c r="AX98" s="546"/>
      <c r="AY98" s="546"/>
      <c r="AZ98" s="546"/>
      <c r="BA98" s="546"/>
      <c r="BB98" s="546"/>
      <c r="BC98" s="546"/>
      <c r="BF98" s="531"/>
    </row>
    <row r="99" spans="1:58" ht="15" customHeight="1">
      <c r="A99" s="531" t="str">
        <f>'EIA23 EQ Cost'!B67</f>
        <v>RSCGHPV122</v>
      </c>
      <c r="B99" s="531" t="str">
        <f>'EIA23 EQ Cost'!C67</f>
        <v>Ground Source Heat Pump Ver1.RSC.ELC.22</v>
      </c>
      <c r="C99" s="530" t="s">
        <v>32</v>
      </c>
      <c r="D99" s="531" t="s">
        <v>122</v>
      </c>
      <c r="E99" s="531"/>
      <c r="F99" s="547">
        <f>'EIA23 EQ Cost'!G67</f>
        <v>2022</v>
      </c>
      <c r="G99" s="587">
        <f>'EIA23 EQ Cost'!H67</f>
        <v>14.5</v>
      </c>
      <c r="H99" s="548">
        <f>'EIA23 EQ Cost'!J67</f>
        <v>26.35727679988161</v>
      </c>
      <c r="I99" s="548"/>
      <c r="J99" s="531"/>
      <c r="K99" s="531">
        <f>0.16*2</f>
        <v>0.32</v>
      </c>
      <c r="L99" s="531">
        <f t="shared" ref="L99:O99" si="29">0.16*2</f>
        <v>0.32</v>
      </c>
      <c r="M99" s="531">
        <f t="shared" si="29"/>
        <v>0.32</v>
      </c>
      <c r="N99" s="531">
        <f t="shared" si="29"/>
        <v>0.32</v>
      </c>
      <c r="O99" s="531">
        <f t="shared" si="29"/>
        <v>0.32</v>
      </c>
      <c r="P99" s="531"/>
      <c r="Q99" s="531">
        <v>0.36</v>
      </c>
      <c r="R99" s="546"/>
      <c r="S99" s="546"/>
      <c r="T99" s="546"/>
      <c r="U99" s="546"/>
      <c r="V99" s="546">
        <v>0</v>
      </c>
      <c r="W99" s="546">
        <v>0</v>
      </c>
      <c r="X99" s="546">
        <v>0</v>
      </c>
      <c r="Y99" s="546">
        <v>0</v>
      </c>
      <c r="Z99" s="546">
        <v>0</v>
      </c>
      <c r="AA99" s="546">
        <v>0</v>
      </c>
      <c r="AD99" s="546"/>
      <c r="AE99" s="531"/>
      <c r="AF99" s="531"/>
      <c r="AG99" s="531"/>
      <c r="AH99" s="531"/>
      <c r="AI99" s="531"/>
      <c r="AJ99" s="531"/>
      <c r="AK99" s="531"/>
      <c r="AL99" s="531"/>
      <c r="AO99" s="546"/>
      <c r="AP99" s="546"/>
      <c r="AQ99" s="546"/>
      <c r="AR99" s="546"/>
      <c r="AS99" s="546"/>
      <c r="AT99" s="546"/>
      <c r="AU99" s="546"/>
      <c r="AV99" s="546"/>
      <c r="AW99" s="546"/>
      <c r="AX99" s="546"/>
      <c r="AY99" s="546"/>
      <c r="AZ99" s="546"/>
      <c r="BA99" s="546"/>
      <c r="BB99" s="546"/>
      <c r="BC99" s="546"/>
      <c r="BF99" s="531" t="s">
        <v>37</v>
      </c>
    </row>
    <row r="100" spans="1:58" ht="15" customHeight="1">
      <c r="A100" s="531"/>
      <c r="B100" s="531"/>
      <c r="C100" s="530"/>
      <c r="D100" s="531"/>
      <c r="E100" s="531" t="s">
        <v>123</v>
      </c>
      <c r="F100" s="547"/>
      <c r="G100" s="587"/>
      <c r="H100" s="548"/>
      <c r="I100" s="548"/>
      <c r="J100" s="620">
        <v>0.75</v>
      </c>
      <c r="K100" s="531"/>
      <c r="L100" s="531"/>
      <c r="M100" s="531"/>
      <c r="N100" s="531"/>
      <c r="O100" s="531"/>
      <c r="P100" s="531"/>
      <c r="Q100" s="531"/>
      <c r="R100" s="546"/>
      <c r="S100" s="546"/>
      <c r="T100" s="546"/>
      <c r="U100" s="546"/>
      <c r="V100" s="546"/>
      <c r="W100" s="546"/>
      <c r="X100" s="546"/>
      <c r="Y100" s="546"/>
      <c r="Z100" s="546"/>
      <c r="AA100" s="546"/>
      <c r="AD100" s="546"/>
      <c r="AE100" s="531"/>
      <c r="AF100" s="531"/>
      <c r="AG100" s="531"/>
      <c r="AH100" s="531"/>
      <c r="AI100" s="531"/>
      <c r="AJ100" s="531"/>
      <c r="AK100" s="531"/>
      <c r="AL100" s="531"/>
      <c r="AO100" s="546"/>
      <c r="AP100" s="546"/>
      <c r="AQ100" s="546"/>
      <c r="AR100" s="546"/>
      <c r="AS100" s="546"/>
      <c r="AT100" s="546"/>
      <c r="AU100" s="546"/>
      <c r="AV100" s="546"/>
      <c r="AW100" s="546"/>
      <c r="AX100" s="546"/>
      <c r="AY100" s="546"/>
      <c r="AZ100" s="546"/>
      <c r="BA100" s="546"/>
      <c r="BB100" s="546"/>
      <c r="BC100" s="546"/>
      <c r="BF100" s="531"/>
    </row>
    <row r="101" spans="1:58" ht="15" customHeight="1">
      <c r="A101" s="531"/>
      <c r="B101" s="531"/>
      <c r="C101" s="530"/>
      <c r="D101" s="531"/>
      <c r="E101" s="531" t="s">
        <v>124</v>
      </c>
      <c r="F101" s="547"/>
      <c r="G101" s="587"/>
      <c r="H101" s="548"/>
      <c r="I101" s="548"/>
      <c r="J101" s="620">
        <v>0.5</v>
      </c>
      <c r="K101" s="531"/>
      <c r="L101" s="531"/>
      <c r="M101" s="531"/>
      <c r="N101" s="531"/>
      <c r="O101" s="531"/>
      <c r="P101" s="531"/>
      <c r="Q101" s="531"/>
      <c r="R101" s="546"/>
      <c r="S101" s="546"/>
      <c r="T101" s="546"/>
      <c r="U101" s="546"/>
      <c r="V101" s="546"/>
      <c r="W101" s="546"/>
      <c r="X101" s="546"/>
      <c r="Y101" s="546"/>
      <c r="Z101" s="546"/>
      <c r="AA101" s="546"/>
      <c r="AD101" s="546"/>
      <c r="AE101" s="531"/>
      <c r="AF101" s="531"/>
      <c r="AG101" s="531"/>
      <c r="AH101" s="531"/>
      <c r="AI101" s="531"/>
      <c r="AJ101" s="531"/>
      <c r="AK101" s="531"/>
      <c r="AL101" s="531"/>
      <c r="AO101" s="546"/>
      <c r="AP101" s="546"/>
      <c r="AQ101" s="546"/>
      <c r="AR101" s="546"/>
      <c r="AS101" s="546"/>
      <c r="AT101" s="546"/>
      <c r="AU101" s="546"/>
      <c r="AV101" s="546"/>
      <c r="AW101" s="546"/>
      <c r="AX101" s="546"/>
      <c r="AY101" s="546"/>
      <c r="AZ101" s="546"/>
      <c r="BA101" s="546"/>
      <c r="BB101" s="546"/>
      <c r="BC101" s="546"/>
      <c r="BF101" s="531"/>
    </row>
    <row r="102" spans="1:58" ht="15" customHeight="1">
      <c r="A102" s="531" t="str">
        <f>'EIA23 EQ Cost'!B68</f>
        <v>RSCGHPV222</v>
      </c>
      <c r="B102" s="531" t="str">
        <f>'EIA23 EQ Cost'!C68</f>
        <v>Ground Source Heat Pump Ver2.RSC.ELC.22</v>
      </c>
      <c r="C102" s="530" t="s">
        <v>32</v>
      </c>
      <c r="D102" s="531" t="s">
        <v>122</v>
      </c>
      <c r="E102" s="531"/>
      <c r="F102" s="547">
        <f>'EIA23 EQ Cost'!G68</f>
        <v>2022</v>
      </c>
      <c r="G102" s="587">
        <f>'EIA23 EQ Cost'!H68</f>
        <v>14.5</v>
      </c>
      <c r="H102" s="548">
        <f>'EIA23 EQ Cost'!J68</f>
        <v>27.290913307779309</v>
      </c>
      <c r="I102" s="548"/>
      <c r="J102" s="531"/>
      <c r="K102" s="531">
        <f>0.16*2</f>
        <v>0.32</v>
      </c>
      <c r="L102" s="531">
        <f t="shared" ref="L102:O102" si="30">0.16*2</f>
        <v>0.32</v>
      </c>
      <c r="M102" s="531">
        <f t="shared" si="30"/>
        <v>0.32</v>
      </c>
      <c r="N102" s="531">
        <f t="shared" si="30"/>
        <v>0.32</v>
      </c>
      <c r="O102" s="531">
        <f t="shared" si="30"/>
        <v>0.32</v>
      </c>
      <c r="P102" s="531"/>
      <c r="Q102" s="531">
        <v>0.36</v>
      </c>
      <c r="R102" s="546"/>
      <c r="S102" s="546"/>
      <c r="T102" s="546"/>
      <c r="U102" s="546"/>
      <c r="V102" s="546">
        <v>0</v>
      </c>
      <c r="W102" s="546">
        <v>0</v>
      </c>
      <c r="X102" s="546">
        <v>0</v>
      </c>
      <c r="Y102" s="546">
        <v>0</v>
      </c>
      <c r="Z102" s="546">
        <v>0</v>
      </c>
      <c r="AA102" s="546">
        <v>0</v>
      </c>
      <c r="AD102" s="546"/>
      <c r="AE102" s="531"/>
      <c r="AF102" s="531"/>
      <c r="AG102" s="531"/>
      <c r="AH102" s="531"/>
      <c r="AI102" s="531"/>
      <c r="AJ102" s="531"/>
      <c r="AK102" s="531"/>
      <c r="AL102" s="531"/>
      <c r="AO102" s="546"/>
      <c r="AP102" s="546"/>
      <c r="AQ102" s="546"/>
      <c r="AR102" s="546"/>
      <c r="AS102" s="546"/>
      <c r="AT102" s="546"/>
      <c r="AU102" s="546"/>
      <c r="AV102" s="546"/>
      <c r="AW102" s="546"/>
      <c r="AX102" s="546"/>
      <c r="AY102" s="546"/>
      <c r="AZ102" s="546"/>
      <c r="BA102" s="546"/>
      <c r="BB102" s="546"/>
      <c r="BC102" s="546"/>
      <c r="BF102" s="531" t="s">
        <v>37</v>
      </c>
    </row>
    <row r="103" spans="1:58" ht="15" customHeight="1">
      <c r="A103" s="531"/>
      <c r="B103" s="531"/>
      <c r="C103" s="530"/>
      <c r="D103" s="531"/>
      <c r="E103" s="531" t="s">
        <v>123</v>
      </c>
      <c r="F103" s="547"/>
      <c r="G103" s="587"/>
      <c r="H103" s="548"/>
      <c r="I103" s="548"/>
      <c r="J103" s="620">
        <v>0.75</v>
      </c>
      <c r="K103" s="531"/>
      <c r="L103" s="531"/>
      <c r="M103" s="531"/>
      <c r="N103" s="531"/>
      <c r="O103" s="531"/>
      <c r="P103" s="531"/>
      <c r="Q103" s="531"/>
      <c r="R103" s="546"/>
      <c r="S103" s="546"/>
      <c r="T103" s="546"/>
      <c r="U103" s="546"/>
      <c r="V103" s="546"/>
      <c r="W103" s="546"/>
      <c r="X103" s="546"/>
      <c r="Y103" s="546"/>
      <c r="Z103" s="546"/>
      <c r="AA103" s="546"/>
      <c r="AD103" s="546"/>
      <c r="AE103" s="531"/>
      <c r="AF103" s="531"/>
      <c r="AG103" s="531"/>
      <c r="AH103" s="531"/>
      <c r="AI103" s="531"/>
      <c r="AJ103" s="531"/>
      <c r="AK103" s="531"/>
      <c r="AL103" s="531"/>
      <c r="AO103" s="546"/>
      <c r="AP103" s="546"/>
      <c r="AQ103" s="546"/>
      <c r="AR103" s="546"/>
      <c r="AS103" s="546"/>
      <c r="AT103" s="546"/>
      <c r="AU103" s="546"/>
      <c r="AV103" s="546"/>
      <c r="AW103" s="546"/>
      <c r="AX103" s="546"/>
      <c r="AY103" s="546"/>
      <c r="AZ103" s="546"/>
      <c r="BA103" s="546"/>
      <c r="BB103" s="546"/>
      <c r="BC103" s="546"/>
      <c r="BF103" s="531"/>
    </row>
    <row r="104" spans="1:58" ht="15" customHeight="1">
      <c r="A104" s="531"/>
      <c r="B104" s="531"/>
      <c r="C104" s="530"/>
      <c r="D104" s="531"/>
      <c r="E104" s="531" t="s">
        <v>124</v>
      </c>
      <c r="F104" s="547"/>
      <c r="G104" s="587"/>
      <c r="H104" s="548"/>
      <c r="I104" s="548"/>
      <c r="J104" s="620">
        <v>0.5</v>
      </c>
      <c r="K104" s="531"/>
      <c r="L104" s="531"/>
      <c r="M104" s="531"/>
      <c r="N104" s="531"/>
      <c r="O104" s="531"/>
      <c r="P104" s="531"/>
      <c r="Q104" s="531"/>
      <c r="R104" s="546"/>
      <c r="S104" s="546"/>
      <c r="T104" s="546"/>
      <c r="U104" s="546"/>
      <c r="V104" s="546"/>
      <c r="W104" s="546"/>
      <c r="X104" s="546"/>
      <c r="Y104" s="546"/>
      <c r="Z104" s="546"/>
      <c r="AA104" s="546"/>
      <c r="AD104" s="546"/>
      <c r="AE104" s="531"/>
      <c r="AF104" s="531"/>
      <c r="AG104" s="531"/>
      <c r="AH104" s="531"/>
      <c r="AI104" s="531"/>
      <c r="AJ104" s="531"/>
      <c r="AK104" s="531"/>
      <c r="AL104" s="531"/>
      <c r="AO104" s="546"/>
      <c r="AP104" s="546"/>
      <c r="AQ104" s="546"/>
      <c r="AR104" s="546"/>
      <c r="AS104" s="546"/>
      <c r="AT104" s="546"/>
      <c r="AU104" s="546"/>
      <c r="AV104" s="546"/>
      <c r="AW104" s="546"/>
      <c r="AX104" s="546"/>
      <c r="AY104" s="546"/>
      <c r="AZ104" s="546"/>
      <c r="BA104" s="546"/>
      <c r="BB104" s="546"/>
      <c r="BC104" s="546"/>
      <c r="BF104" s="531"/>
    </row>
    <row r="105" spans="1:58" ht="15.65" customHeight="1">
      <c r="A105" s="531" t="str">
        <f>'EIA23 EQ Cost'!B69</f>
        <v>RSCGHPV322</v>
      </c>
      <c r="B105" s="531" t="str">
        <f>'EIA23 EQ Cost'!C69</f>
        <v>Ground Source Heat Pump Ver3.RSC.ELC.22</v>
      </c>
      <c r="C105" s="530" t="s">
        <v>32</v>
      </c>
      <c r="D105" s="531" t="s">
        <v>122</v>
      </c>
      <c r="E105" s="531"/>
      <c r="F105" s="547">
        <f>'EIA23 EQ Cost'!G69</f>
        <v>2022</v>
      </c>
      <c r="G105" s="587">
        <f>'EIA23 EQ Cost'!H69</f>
        <v>14.5</v>
      </c>
      <c r="H105" s="548">
        <f>'EIA23 EQ Cost'!J69</f>
        <v>27.290913307779309</v>
      </c>
      <c r="I105" s="548"/>
      <c r="J105" s="531"/>
      <c r="K105" s="531">
        <f>0.16*2</f>
        <v>0.32</v>
      </c>
      <c r="L105" s="531">
        <f t="shared" ref="L105:O105" si="31">0.16*2</f>
        <v>0.32</v>
      </c>
      <c r="M105" s="531">
        <f t="shared" si="31"/>
        <v>0.32</v>
      </c>
      <c r="N105" s="531">
        <f t="shared" si="31"/>
        <v>0.32</v>
      </c>
      <c r="O105" s="531">
        <f t="shared" si="31"/>
        <v>0.32</v>
      </c>
      <c r="P105" s="531"/>
      <c r="Q105" s="531">
        <v>0.36</v>
      </c>
      <c r="R105" s="546"/>
      <c r="S105" s="546"/>
      <c r="T105" s="546"/>
      <c r="U105" s="546"/>
      <c r="V105" s="546">
        <v>0</v>
      </c>
      <c r="W105" s="546">
        <v>0</v>
      </c>
      <c r="X105" s="546">
        <v>0</v>
      </c>
      <c r="Y105" s="546">
        <v>0</v>
      </c>
      <c r="Z105" s="546">
        <v>0</v>
      </c>
      <c r="AA105" s="546">
        <v>0</v>
      </c>
      <c r="AD105" s="546"/>
      <c r="AE105" s="531"/>
      <c r="AF105" s="531"/>
      <c r="AG105" s="531"/>
      <c r="AH105" s="531"/>
      <c r="AI105" s="531"/>
      <c r="AJ105" s="531"/>
      <c r="AK105" s="531"/>
      <c r="AL105" s="531"/>
      <c r="AO105" s="546"/>
      <c r="AP105" s="546"/>
      <c r="AQ105" s="546"/>
      <c r="AR105" s="546"/>
      <c r="AS105" s="546"/>
      <c r="AT105" s="546"/>
      <c r="AU105" s="546"/>
      <c r="AV105" s="546"/>
      <c r="AW105" s="546"/>
      <c r="AX105" s="546"/>
      <c r="AY105" s="546"/>
      <c r="AZ105" s="546"/>
      <c r="BA105" s="546"/>
      <c r="BB105" s="546"/>
      <c r="BC105" s="546"/>
      <c r="BF105" s="531" t="s">
        <v>37</v>
      </c>
    </row>
    <row r="106" spans="1:58" ht="15.65" customHeight="1">
      <c r="A106" s="531"/>
      <c r="B106" s="531"/>
      <c r="C106" s="530"/>
      <c r="D106" s="531"/>
      <c r="E106" s="531" t="s">
        <v>123</v>
      </c>
      <c r="F106" s="547"/>
      <c r="G106" s="587"/>
      <c r="H106" s="548"/>
      <c r="I106" s="548"/>
      <c r="J106" s="620">
        <v>0.75</v>
      </c>
      <c r="K106" s="531"/>
      <c r="L106" s="531"/>
      <c r="M106" s="531"/>
      <c r="N106" s="531"/>
      <c r="O106" s="531"/>
      <c r="P106" s="531"/>
      <c r="Q106" s="531"/>
      <c r="R106" s="546"/>
      <c r="S106" s="546"/>
      <c r="T106" s="546"/>
      <c r="U106" s="546"/>
      <c r="V106" s="546"/>
      <c r="W106" s="546"/>
      <c r="X106" s="546"/>
      <c r="Y106" s="546"/>
      <c r="Z106" s="546"/>
      <c r="AA106" s="546"/>
      <c r="AD106" s="546"/>
      <c r="AE106" s="531"/>
      <c r="AF106" s="531"/>
      <c r="AG106" s="531"/>
      <c r="AH106" s="531"/>
      <c r="AI106" s="531"/>
      <c r="AJ106" s="531"/>
      <c r="AK106" s="531"/>
      <c r="AL106" s="531"/>
      <c r="AO106" s="546"/>
      <c r="AP106" s="546"/>
      <c r="AQ106" s="546"/>
      <c r="AR106" s="546"/>
      <c r="AS106" s="546"/>
      <c r="AT106" s="546"/>
      <c r="AU106" s="546"/>
      <c r="AV106" s="546"/>
      <c r="AW106" s="546"/>
      <c r="AX106" s="546"/>
      <c r="AY106" s="546"/>
      <c r="AZ106" s="546"/>
      <c r="BA106" s="546"/>
      <c r="BB106" s="546"/>
      <c r="BC106" s="546"/>
      <c r="BF106" s="531"/>
    </row>
    <row r="107" spans="1:58" ht="15.65" customHeight="1">
      <c r="A107" s="531"/>
      <c r="B107" s="531"/>
      <c r="C107" s="530"/>
      <c r="D107" s="531"/>
      <c r="E107" s="531" t="s">
        <v>124</v>
      </c>
      <c r="F107" s="547"/>
      <c r="G107" s="587"/>
      <c r="H107" s="548"/>
      <c r="I107" s="548"/>
      <c r="J107" s="620">
        <v>0.5</v>
      </c>
      <c r="K107" s="531"/>
      <c r="L107" s="531"/>
      <c r="M107" s="531"/>
      <c r="N107" s="531"/>
      <c r="O107" s="531"/>
      <c r="P107" s="531"/>
      <c r="Q107" s="531"/>
      <c r="R107" s="546"/>
      <c r="S107" s="546"/>
      <c r="T107" s="546"/>
      <c r="U107" s="546"/>
      <c r="V107" s="546"/>
      <c r="W107" s="546"/>
      <c r="X107" s="546"/>
      <c r="Y107" s="546"/>
      <c r="Z107" s="546"/>
      <c r="AA107" s="546"/>
      <c r="AD107" s="546"/>
      <c r="AE107" s="531"/>
      <c r="AF107" s="531"/>
      <c r="AG107" s="531"/>
      <c r="AH107" s="531"/>
      <c r="AI107" s="531"/>
      <c r="AJ107" s="531"/>
      <c r="AK107" s="531"/>
      <c r="AL107" s="531"/>
      <c r="AO107" s="546"/>
      <c r="AP107" s="546"/>
      <c r="AQ107" s="546"/>
      <c r="AR107" s="546"/>
      <c r="AS107" s="546"/>
      <c r="AT107" s="546"/>
      <c r="AU107" s="546"/>
      <c r="AV107" s="546"/>
      <c r="AW107" s="546"/>
      <c r="AX107" s="546"/>
      <c r="AY107" s="546"/>
      <c r="AZ107" s="546"/>
      <c r="BA107" s="546"/>
      <c r="BB107" s="546"/>
      <c r="BC107" s="546"/>
      <c r="BF107" s="531"/>
    </row>
    <row r="108" spans="1:58" ht="15" customHeight="1">
      <c r="A108" s="531" t="str">
        <f>'EIA23 EQ Cost'!B70</f>
        <v>RSCGHPV422</v>
      </c>
      <c r="B108" s="531" t="str">
        <f>'EIA23 EQ Cost'!C70</f>
        <v>Ground Source Heat Pump Ver4.RSC.ELC.22</v>
      </c>
      <c r="C108" s="530" t="s">
        <v>32</v>
      </c>
      <c r="D108" s="531" t="s">
        <v>122</v>
      </c>
      <c r="E108" s="531"/>
      <c r="F108" s="547">
        <f>'EIA23 EQ Cost'!G70</f>
        <v>2022</v>
      </c>
      <c r="G108" s="587">
        <f>'EIA23 EQ Cost'!H70</f>
        <v>14.5</v>
      </c>
      <c r="H108" s="548">
        <f>'EIA23 EQ Cost'!J70</f>
        <v>28.80627717829022</v>
      </c>
      <c r="I108" s="548"/>
      <c r="J108" s="531"/>
      <c r="K108" s="531">
        <f>0.16*2</f>
        <v>0.32</v>
      </c>
      <c r="L108" s="531">
        <f t="shared" ref="L108:O108" si="32">0.16*2</f>
        <v>0.32</v>
      </c>
      <c r="M108" s="531">
        <f t="shared" si="32"/>
        <v>0.32</v>
      </c>
      <c r="N108" s="531">
        <f t="shared" si="32"/>
        <v>0.32</v>
      </c>
      <c r="O108" s="531">
        <f t="shared" si="32"/>
        <v>0.32</v>
      </c>
      <c r="P108" s="531"/>
      <c r="Q108" s="531">
        <v>0.36</v>
      </c>
      <c r="R108" s="546"/>
      <c r="S108" s="546"/>
      <c r="T108" s="546"/>
      <c r="U108" s="546"/>
      <c r="V108" s="546">
        <v>0</v>
      </c>
      <c r="W108" s="546">
        <v>0</v>
      </c>
      <c r="X108" s="546">
        <v>0</v>
      </c>
      <c r="Y108" s="546">
        <v>0</v>
      </c>
      <c r="Z108" s="546">
        <v>0</v>
      </c>
      <c r="AA108" s="546">
        <v>0</v>
      </c>
      <c r="AD108" s="546"/>
      <c r="AE108" s="531"/>
      <c r="AF108" s="531"/>
      <c r="AG108" s="531"/>
      <c r="AH108" s="531"/>
      <c r="AI108" s="531"/>
      <c r="AJ108" s="531"/>
      <c r="AK108" s="531"/>
      <c r="AL108" s="531"/>
      <c r="AO108" s="546"/>
      <c r="AP108" s="546"/>
      <c r="AQ108" s="546"/>
      <c r="AR108" s="546"/>
      <c r="AS108" s="546"/>
      <c r="AT108" s="546"/>
      <c r="AU108" s="546"/>
      <c r="AV108" s="546"/>
      <c r="AW108" s="546"/>
      <c r="AX108" s="546"/>
      <c r="AY108" s="546"/>
      <c r="AZ108" s="546"/>
      <c r="BA108" s="546"/>
      <c r="BB108" s="546"/>
      <c r="BC108" s="546"/>
      <c r="BF108" s="531" t="s">
        <v>37</v>
      </c>
    </row>
    <row r="109" spans="1:58" ht="15" customHeight="1">
      <c r="A109" s="531"/>
      <c r="B109" s="531"/>
      <c r="C109" s="530"/>
      <c r="D109" s="531"/>
      <c r="E109" s="531" t="s">
        <v>123</v>
      </c>
      <c r="F109" s="547"/>
      <c r="G109" s="587"/>
      <c r="H109" s="548"/>
      <c r="I109" s="548"/>
      <c r="J109" s="620">
        <v>0.75</v>
      </c>
      <c r="K109" s="531"/>
      <c r="L109" s="531"/>
      <c r="M109" s="531"/>
      <c r="N109" s="531"/>
      <c r="O109" s="531"/>
      <c r="P109" s="531"/>
      <c r="Q109" s="531"/>
      <c r="R109" s="546"/>
      <c r="S109" s="546"/>
      <c r="T109" s="546"/>
      <c r="U109" s="546"/>
      <c r="V109" s="546"/>
      <c r="W109" s="546"/>
      <c r="X109" s="546"/>
      <c r="Y109" s="546"/>
      <c r="Z109" s="546"/>
      <c r="AA109" s="546"/>
      <c r="AD109" s="546"/>
      <c r="AE109" s="531"/>
      <c r="AF109" s="531"/>
      <c r="AG109" s="531"/>
      <c r="AH109" s="531"/>
      <c r="AI109" s="531"/>
      <c r="AJ109" s="531"/>
      <c r="AK109" s="531"/>
      <c r="AL109" s="531"/>
      <c r="AO109" s="546"/>
      <c r="AP109" s="546"/>
      <c r="AQ109" s="546"/>
      <c r="AR109" s="546"/>
      <c r="AS109" s="546"/>
      <c r="AT109" s="546"/>
      <c r="AU109" s="546"/>
      <c r="AV109" s="546"/>
      <c r="AW109" s="546"/>
      <c r="AX109" s="546"/>
      <c r="AY109" s="546"/>
      <c r="AZ109" s="546"/>
      <c r="BA109" s="546"/>
      <c r="BB109" s="546"/>
      <c r="BC109" s="546"/>
      <c r="BF109" s="531"/>
    </row>
    <row r="110" spans="1:58" ht="15" customHeight="1">
      <c r="A110" s="531"/>
      <c r="B110" s="531"/>
      <c r="C110" s="530"/>
      <c r="D110" s="531"/>
      <c r="E110" s="531" t="s">
        <v>124</v>
      </c>
      <c r="F110" s="547"/>
      <c r="G110" s="587"/>
      <c r="H110" s="548"/>
      <c r="I110" s="548"/>
      <c r="J110" s="620">
        <v>0.5</v>
      </c>
      <c r="K110" s="531"/>
      <c r="L110" s="531"/>
      <c r="M110" s="531"/>
      <c r="N110" s="531"/>
      <c r="O110" s="531"/>
      <c r="P110" s="531"/>
      <c r="Q110" s="531"/>
      <c r="R110" s="546"/>
      <c r="S110" s="546"/>
      <c r="T110" s="546"/>
      <c r="U110" s="546"/>
      <c r="V110" s="546"/>
      <c r="W110" s="546"/>
      <c r="X110" s="546"/>
      <c r="Y110" s="546"/>
      <c r="Z110" s="546"/>
      <c r="AA110" s="546"/>
      <c r="AD110" s="546"/>
      <c r="AE110" s="531"/>
      <c r="AF110" s="531"/>
      <c r="AG110" s="531"/>
      <c r="AH110" s="531"/>
      <c r="AI110" s="531"/>
      <c r="AJ110" s="531"/>
      <c r="AK110" s="531"/>
      <c r="AL110" s="531"/>
      <c r="AO110" s="546"/>
      <c r="AP110" s="546"/>
      <c r="AQ110" s="546"/>
      <c r="AR110" s="546"/>
      <c r="AS110" s="546"/>
      <c r="AT110" s="546"/>
      <c r="AU110" s="546"/>
      <c r="AV110" s="546"/>
      <c r="AW110" s="546"/>
      <c r="AX110" s="546"/>
      <c r="AY110" s="546"/>
      <c r="AZ110" s="546"/>
      <c r="BA110" s="546"/>
      <c r="BB110" s="546"/>
      <c r="BC110" s="546"/>
      <c r="BF110" s="531"/>
    </row>
    <row r="111" spans="1:58" ht="15" customHeight="1">
      <c r="A111" s="531" t="str">
        <f>'EIA23 EQ Cost'!B71</f>
        <v>RSCGHPV130</v>
      </c>
      <c r="B111" s="531" t="str">
        <f>'EIA23 EQ Cost'!C71</f>
        <v>Ground Source Heat Pump Ver1.RSC.ELC.30</v>
      </c>
      <c r="C111" s="530" t="s">
        <v>32</v>
      </c>
      <c r="D111" s="531" t="s">
        <v>122</v>
      </c>
      <c r="E111" s="531"/>
      <c r="F111" s="547">
        <f>'EIA23 EQ Cost'!G71</f>
        <v>2030</v>
      </c>
      <c r="G111" s="587">
        <f>'EIA23 EQ Cost'!H71</f>
        <v>14.5</v>
      </c>
      <c r="H111" s="548">
        <f>'EIA23 EQ Cost'!J71</f>
        <v>27.290913307779309</v>
      </c>
      <c r="I111" s="548"/>
      <c r="J111" s="531"/>
      <c r="K111" s="531">
        <f>0.16*2</f>
        <v>0.32</v>
      </c>
      <c r="L111" s="531">
        <f t="shared" ref="L111:O111" si="33">0.16*2</f>
        <v>0.32</v>
      </c>
      <c r="M111" s="531">
        <f t="shared" si="33"/>
        <v>0.32</v>
      </c>
      <c r="N111" s="531">
        <f t="shared" si="33"/>
        <v>0.32</v>
      </c>
      <c r="O111" s="531">
        <f t="shared" si="33"/>
        <v>0.32</v>
      </c>
      <c r="P111" s="545"/>
      <c r="Q111" s="531">
        <v>0.36</v>
      </c>
      <c r="R111" s="546"/>
      <c r="S111" s="597"/>
      <c r="T111" s="597"/>
      <c r="U111" s="597"/>
      <c r="V111" s="597"/>
      <c r="W111" s="597"/>
      <c r="X111" s="597"/>
      <c r="Y111" s="597"/>
      <c r="Z111" s="597"/>
      <c r="AA111" s="546"/>
      <c r="AD111" s="546"/>
      <c r="AE111" s="531"/>
      <c r="AF111" s="531"/>
      <c r="AG111" s="531"/>
      <c r="AH111" s="531"/>
      <c r="AI111" s="531"/>
      <c r="AJ111" s="531"/>
      <c r="AK111" s="531"/>
      <c r="AL111" s="531"/>
      <c r="AO111" s="597"/>
      <c r="AP111" s="597"/>
      <c r="AQ111" s="597"/>
      <c r="AR111" s="597"/>
      <c r="AS111" s="597"/>
      <c r="AT111" s="597"/>
      <c r="AU111" s="597"/>
      <c r="AV111" s="597"/>
      <c r="AW111" s="597"/>
      <c r="AX111" s="597"/>
      <c r="AY111" s="597"/>
      <c r="AZ111" s="597"/>
      <c r="BA111" s="597"/>
      <c r="BB111" s="597"/>
      <c r="BC111" s="597"/>
      <c r="BF111" s="531" t="s">
        <v>37</v>
      </c>
    </row>
    <row r="112" spans="1:58" ht="15" customHeight="1">
      <c r="A112" s="531"/>
      <c r="B112" s="531"/>
      <c r="C112" s="530"/>
      <c r="D112" s="531"/>
      <c r="E112" s="531" t="s">
        <v>123</v>
      </c>
      <c r="F112" s="547"/>
      <c r="G112" s="587"/>
      <c r="H112" s="548"/>
      <c r="I112" s="548"/>
      <c r="J112" s="620">
        <v>0.75</v>
      </c>
      <c r="K112" s="545"/>
      <c r="L112" s="545"/>
      <c r="M112" s="545"/>
      <c r="N112" s="545"/>
      <c r="O112" s="545"/>
      <c r="P112" s="545"/>
      <c r="Q112" s="531"/>
      <c r="R112" s="546"/>
      <c r="S112" s="597"/>
      <c r="T112" s="597"/>
      <c r="U112" s="597"/>
      <c r="V112" s="597"/>
      <c r="W112" s="597"/>
      <c r="X112" s="597"/>
      <c r="Y112" s="597"/>
      <c r="Z112" s="597"/>
      <c r="AA112" s="546"/>
      <c r="AD112" s="546"/>
      <c r="AE112" s="531"/>
      <c r="AF112" s="531"/>
      <c r="AG112" s="531"/>
      <c r="AH112" s="531"/>
      <c r="AI112" s="531"/>
      <c r="AJ112" s="531"/>
      <c r="AK112" s="531"/>
      <c r="AL112" s="531"/>
      <c r="AO112" s="597"/>
      <c r="AP112" s="597"/>
      <c r="AQ112" s="597"/>
      <c r="AR112" s="597"/>
      <c r="AS112" s="597"/>
      <c r="AT112" s="597"/>
      <c r="AU112" s="597"/>
      <c r="AV112" s="597"/>
      <c r="AW112" s="597"/>
      <c r="AX112" s="597"/>
      <c r="AY112" s="597"/>
      <c r="AZ112" s="597"/>
      <c r="BA112" s="597"/>
      <c r="BB112" s="597"/>
      <c r="BC112" s="597"/>
      <c r="BF112" s="531"/>
    </row>
    <row r="113" spans="1:58" ht="15" customHeight="1">
      <c r="A113" s="531"/>
      <c r="B113" s="531"/>
      <c r="C113" s="530"/>
      <c r="D113" s="531"/>
      <c r="E113" s="531" t="s">
        <v>124</v>
      </c>
      <c r="F113" s="547"/>
      <c r="G113" s="587"/>
      <c r="H113" s="548"/>
      <c r="I113" s="548"/>
      <c r="J113" s="620">
        <v>0.5</v>
      </c>
      <c r="K113" s="545"/>
      <c r="L113" s="545"/>
      <c r="M113" s="545"/>
      <c r="N113" s="545"/>
      <c r="O113" s="545"/>
      <c r="P113" s="545"/>
      <c r="Q113" s="531"/>
      <c r="R113" s="546"/>
      <c r="S113" s="597"/>
      <c r="T113" s="597"/>
      <c r="U113" s="597"/>
      <c r="V113" s="597"/>
      <c r="W113" s="597"/>
      <c r="X113" s="597"/>
      <c r="Y113" s="597"/>
      <c r="Z113" s="597"/>
      <c r="AA113" s="546"/>
      <c r="AD113" s="546"/>
      <c r="AE113" s="531"/>
      <c r="AF113" s="531"/>
      <c r="AG113" s="531"/>
      <c r="AH113" s="531"/>
      <c r="AI113" s="531"/>
      <c r="AJ113" s="531"/>
      <c r="AK113" s="531"/>
      <c r="AL113" s="531"/>
      <c r="AO113" s="597"/>
      <c r="AP113" s="597"/>
      <c r="AQ113" s="597"/>
      <c r="AR113" s="597"/>
      <c r="AS113" s="597"/>
      <c r="AT113" s="597"/>
      <c r="AU113" s="597"/>
      <c r="AV113" s="597"/>
      <c r="AW113" s="597"/>
      <c r="AX113" s="597"/>
      <c r="AY113" s="597"/>
      <c r="AZ113" s="597"/>
      <c r="BA113" s="597"/>
      <c r="BB113" s="597"/>
      <c r="BC113" s="597"/>
      <c r="BF113" s="531"/>
    </row>
    <row r="114" spans="1:58" ht="15" customHeight="1">
      <c r="A114" s="531" t="str">
        <f>'EIA23 EQ Cost'!B72</f>
        <v>RSCGHPV230</v>
      </c>
      <c r="B114" s="531" t="str">
        <f>'EIA23 EQ Cost'!C72</f>
        <v>Ground Source Heat Pump Ver2.RSC.ELC.30</v>
      </c>
      <c r="C114" s="530" t="s">
        <v>32</v>
      </c>
      <c r="D114" s="531" t="s">
        <v>122</v>
      </c>
      <c r="E114" s="531"/>
      <c r="F114" s="547">
        <f>'EIA23 EQ Cost'!G72</f>
        <v>2030</v>
      </c>
      <c r="G114" s="587">
        <f>'EIA23 EQ Cost'!H72</f>
        <v>14.5</v>
      </c>
      <c r="H114" s="548">
        <f>'EIA23 EQ Cost'!J72</f>
        <v>28.80627717829022</v>
      </c>
      <c r="I114" s="548"/>
      <c r="J114" s="531"/>
      <c r="K114" s="531">
        <f>0.16*2</f>
        <v>0.32</v>
      </c>
      <c r="L114" s="531">
        <f t="shared" ref="L114:O114" si="34">0.16*2</f>
        <v>0.32</v>
      </c>
      <c r="M114" s="531">
        <f t="shared" si="34"/>
        <v>0.32</v>
      </c>
      <c r="N114" s="531">
        <f t="shared" si="34"/>
        <v>0.32</v>
      </c>
      <c r="O114" s="531">
        <f t="shared" si="34"/>
        <v>0.32</v>
      </c>
      <c r="P114" s="531"/>
      <c r="Q114" s="531">
        <v>0.36</v>
      </c>
      <c r="R114" s="546"/>
      <c r="S114" s="546"/>
      <c r="T114" s="546"/>
      <c r="U114" s="546"/>
      <c r="V114" s="546"/>
      <c r="W114" s="546"/>
      <c r="X114" s="546"/>
      <c r="Y114" s="546"/>
      <c r="Z114" s="546"/>
      <c r="AA114" s="546"/>
      <c r="AD114" s="546"/>
      <c r="AE114" s="531"/>
      <c r="AF114" s="531"/>
      <c r="AG114" s="531"/>
      <c r="AH114" s="531"/>
      <c r="AI114" s="531"/>
      <c r="AJ114" s="531"/>
      <c r="AK114" s="531"/>
      <c r="AL114" s="531"/>
      <c r="AO114" s="549"/>
      <c r="AP114" s="549"/>
      <c r="AQ114" s="549"/>
      <c r="AR114" s="549"/>
      <c r="AS114" s="549"/>
      <c r="AT114" s="549"/>
      <c r="AU114" s="549"/>
      <c r="AV114" s="549"/>
      <c r="AW114" s="549"/>
      <c r="AX114" s="549"/>
      <c r="AY114" s="549"/>
      <c r="AZ114" s="549"/>
      <c r="BA114" s="549"/>
      <c r="BB114" s="549"/>
      <c r="BC114" s="549"/>
      <c r="BF114" s="531" t="s">
        <v>37</v>
      </c>
    </row>
    <row r="115" spans="1:58" ht="15" customHeight="1">
      <c r="A115" s="531"/>
      <c r="B115" s="531"/>
      <c r="C115" s="530"/>
      <c r="D115" s="531"/>
      <c r="E115" s="531" t="s">
        <v>123</v>
      </c>
      <c r="F115" s="547"/>
      <c r="G115" s="587"/>
      <c r="H115" s="548"/>
      <c r="I115" s="548"/>
      <c r="J115" s="620">
        <v>0.75</v>
      </c>
      <c r="K115" s="531"/>
      <c r="L115" s="531"/>
      <c r="M115" s="531"/>
      <c r="N115" s="531"/>
      <c r="O115" s="531"/>
      <c r="P115" s="531"/>
      <c r="Q115" s="531"/>
      <c r="R115" s="546"/>
      <c r="S115" s="546"/>
      <c r="T115" s="546"/>
      <c r="U115" s="546"/>
      <c r="V115" s="546"/>
      <c r="W115" s="546"/>
      <c r="X115" s="546"/>
      <c r="Y115" s="546"/>
      <c r="Z115" s="546"/>
      <c r="AA115" s="546"/>
      <c r="AD115" s="546"/>
      <c r="AE115" s="531"/>
      <c r="AF115" s="531"/>
      <c r="AG115" s="531"/>
      <c r="AH115" s="531"/>
      <c r="AI115" s="531"/>
      <c r="AJ115" s="531"/>
      <c r="AK115" s="531"/>
      <c r="AL115" s="531"/>
      <c r="AO115" s="549"/>
      <c r="AP115" s="549"/>
      <c r="AQ115" s="549"/>
      <c r="AR115" s="549"/>
      <c r="AS115" s="549"/>
      <c r="AT115" s="549"/>
      <c r="AU115" s="549"/>
      <c r="AV115" s="549"/>
      <c r="AW115" s="549"/>
      <c r="AX115" s="549"/>
      <c r="AY115" s="549"/>
      <c r="AZ115" s="549"/>
      <c r="BA115" s="549"/>
      <c r="BB115" s="549"/>
      <c r="BC115" s="549"/>
      <c r="BF115" s="531"/>
    </row>
    <row r="116" spans="1:58" ht="15" customHeight="1">
      <c r="A116" s="531"/>
      <c r="B116" s="531"/>
      <c r="C116" s="530"/>
      <c r="D116" s="531"/>
      <c r="E116" s="531" t="s">
        <v>124</v>
      </c>
      <c r="F116" s="547"/>
      <c r="G116" s="587"/>
      <c r="H116" s="548"/>
      <c r="I116" s="548"/>
      <c r="J116" s="620">
        <v>0.5</v>
      </c>
      <c r="K116" s="531"/>
      <c r="L116" s="531"/>
      <c r="M116" s="531"/>
      <c r="N116" s="531"/>
      <c r="O116" s="531"/>
      <c r="P116" s="531"/>
      <c r="Q116" s="531"/>
      <c r="R116" s="546"/>
      <c r="S116" s="546"/>
      <c r="T116" s="546"/>
      <c r="U116" s="546"/>
      <c r="V116" s="546"/>
      <c r="W116" s="546"/>
      <c r="X116" s="546"/>
      <c r="Y116" s="546"/>
      <c r="Z116" s="546"/>
      <c r="AA116" s="546"/>
      <c r="AD116" s="546"/>
      <c r="AE116" s="531"/>
      <c r="AF116" s="531"/>
      <c r="AG116" s="531"/>
      <c r="AH116" s="531"/>
      <c r="AI116" s="531"/>
      <c r="AJ116" s="531"/>
      <c r="AK116" s="531"/>
      <c r="AL116" s="531"/>
      <c r="AO116" s="549"/>
      <c r="AP116" s="549"/>
      <c r="AQ116" s="549"/>
      <c r="AR116" s="549"/>
      <c r="AS116" s="549"/>
      <c r="AT116" s="549"/>
      <c r="AU116" s="549"/>
      <c r="AV116" s="549"/>
      <c r="AW116" s="549"/>
      <c r="AX116" s="549"/>
      <c r="AY116" s="549"/>
      <c r="AZ116" s="549"/>
      <c r="BA116" s="549"/>
      <c r="BB116" s="549"/>
      <c r="BC116" s="549"/>
      <c r="BF116" s="531"/>
    </row>
    <row r="117" spans="1:58" ht="15" customHeight="1">
      <c r="A117" s="533" t="str">
        <f>'EIA23 EQ Cost'!B73</f>
        <v>*Natural Gas Heat Pumps (Residential Natural Gas Heat Pumps)</v>
      </c>
      <c r="B117" s="532"/>
      <c r="C117" s="533"/>
      <c r="D117" s="532"/>
      <c r="E117" s="532"/>
      <c r="F117" s="586"/>
      <c r="G117" s="588"/>
      <c r="H117" s="598"/>
      <c r="I117" s="598"/>
      <c r="J117" s="532"/>
      <c r="K117" s="532"/>
      <c r="L117" s="532"/>
      <c r="M117" s="532"/>
      <c r="N117" s="532"/>
      <c r="O117" s="532"/>
      <c r="P117" s="532"/>
      <c r="Q117" s="532"/>
      <c r="R117" s="558"/>
      <c r="S117" s="558"/>
      <c r="T117" s="558"/>
      <c r="U117" s="558"/>
      <c r="V117" s="558"/>
      <c r="W117" s="558"/>
      <c r="X117" s="558"/>
      <c r="Y117" s="558"/>
      <c r="Z117" s="558"/>
      <c r="AA117" s="558"/>
      <c r="AD117" s="558"/>
      <c r="AE117" s="532"/>
      <c r="AF117" s="532"/>
      <c r="AG117" s="532"/>
      <c r="AH117" s="532"/>
      <c r="AI117" s="532"/>
      <c r="AJ117" s="532"/>
      <c r="AK117" s="532"/>
      <c r="AL117" s="532"/>
      <c r="AO117" s="605"/>
      <c r="AP117" s="605"/>
      <c r="AQ117" s="605"/>
      <c r="AR117" s="605"/>
      <c r="AS117" s="605"/>
      <c r="AT117" s="605"/>
      <c r="AU117" s="605"/>
      <c r="AV117" s="605"/>
      <c r="AW117" s="605"/>
      <c r="AX117" s="605"/>
      <c r="AY117" s="605"/>
      <c r="AZ117" s="605"/>
      <c r="BA117" s="605"/>
      <c r="BB117" s="605"/>
      <c r="BC117" s="605"/>
      <c r="BF117" s="533" t="str">
        <f>A117</f>
        <v>*Natural Gas Heat Pumps (Residential Natural Gas Heat Pumps)</v>
      </c>
    </row>
    <row r="118" spans="1:58" ht="15" customHeight="1">
      <c r="A118" s="531" t="str">
        <f>'EIA23 EQ Cost'!B74</f>
        <v>RSHNHPBS09</v>
      </c>
      <c r="B118" s="531" t="str">
        <f>'EIA23 EQ Cost'!C74</f>
        <v>Natural Gas Heat Pump Base.RSH.NGA.09</v>
      </c>
      <c r="C118" s="530" t="s">
        <v>32</v>
      </c>
      <c r="D118" s="531" t="s">
        <v>125</v>
      </c>
      <c r="E118" s="531" t="s">
        <v>123</v>
      </c>
      <c r="F118" s="547">
        <f>'EIA23 EQ Cost'!G74</f>
        <v>2009</v>
      </c>
      <c r="G118" s="587">
        <f>'EIA23 EQ Cost'!H74</f>
        <v>15</v>
      </c>
      <c r="H118" s="548">
        <f>'EIA23 EQ Cost'!J74</f>
        <v>13.784783948145165</v>
      </c>
      <c r="I118" s="548">
        <f>'EIA23 EQ Cost'!K74</f>
        <v>1.3000000000000001E-2</v>
      </c>
      <c r="J118" s="531">
        <v>1</v>
      </c>
      <c r="K118" s="531">
        <v>0.16</v>
      </c>
      <c r="L118" s="531">
        <v>0.16</v>
      </c>
      <c r="M118" s="531">
        <v>0.16</v>
      </c>
      <c r="N118" s="531">
        <v>0.16</v>
      </c>
      <c r="O118" s="531">
        <v>0.16</v>
      </c>
      <c r="P118" s="531"/>
      <c r="Q118" s="531">
        <v>0.18</v>
      </c>
      <c r="R118" s="546">
        <v>0</v>
      </c>
      <c r="S118" s="546">
        <v>0</v>
      </c>
      <c r="T118" s="546">
        <v>0</v>
      </c>
      <c r="U118" s="546">
        <v>0</v>
      </c>
      <c r="V118" s="546">
        <v>0</v>
      </c>
      <c r="W118" s="546">
        <v>0</v>
      </c>
      <c r="X118" s="546">
        <v>0</v>
      </c>
      <c r="Y118" s="546">
        <v>0</v>
      </c>
      <c r="Z118" s="546">
        <v>0</v>
      </c>
      <c r="AA118" s="546">
        <v>0</v>
      </c>
      <c r="AD118" s="546"/>
      <c r="AE118" s="531"/>
      <c r="AF118" s="531"/>
      <c r="AG118" s="531"/>
      <c r="AH118" s="531"/>
      <c r="AI118" s="531"/>
      <c r="AJ118" s="531"/>
      <c r="AK118" s="531"/>
      <c r="AL118" s="531"/>
      <c r="AO118" s="546"/>
      <c r="AP118" s="546"/>
      <c r="AQ118" s="546"/>
      <c r="AR118" s="546"/>
      <c r="AS118" s="546"/>
      <c r="AT118" s="546"/>
      <c r="AU118" s="546"/>
      <c r="AV118" s="546"/>
      <c r="AW118" s="546"/>
      <c r="AX118" s="546"/>
      <c r="AY118" s="546"/>
      <c r="AZ118" s="546"/>
      <c r="BA118" s="546"/>
      <c r="BB118" s="546"/>
      <c r="BC118" s="546"/>
      <c r="BF118" s="531" t="s">
        <v>37</v>
      </c>
    </row>
    <row r="119" spans="1:58" ht="15" customHeight="1">
      <c r="A119" s="531" t="str">
        <f>'EIA23 EQ Cost'!B75</f>
        <v>RSHNHPBS20</v>
      </c>
      <c r="B119" s="531" t="str">
        <f>'EIA23 EQ Cost'!C75</f>
        <v>Natural Gas Heat Pump Base.RSH.NGA.20</v>
      </c>
      <c r="C119" s="530" t="s">
        <v>32</v>
      </c>
      <c r="D119" s="531" t="s">
        <v>125</v>
      </c>
      <c r="E119" s="531" t="s">
        <v>123</v>
      </c>
      <c r="F119" s="547">
        <f>'EIA23 EQ Cost'!G75</f>
        <v>2020</v>
      </c>
      <c r="G119" s="587">
        <f>'EIA23 EQ Cost'!H75</f>
        <v>15</v>
      </c>
      <c r="H119" s="548">
        <f>'EIA23 EQ Cost'!J75</f>
        <v>13.784783948145165</v>
      </c>
      <c r="I119" s="548">
        <f>'EIA23 EQ Cost'!K75</f>
        <v>1.3000000000000001E-2</v>
      </c>
      <c r="J119" s="531">
        <v>1</v>
      </c>
      <c r="K119" s="531">
        <v>0.16</v>
      </c>
      <c r="L119" s="531">
        <v>0.16</v>
      </c>
      <c r="M119" s="531">
        <v>0.16</v>
      </c>
      <c r="N119" s="531">
        <v>0.16</v>
      </c>
      <c r="O119" s="531">
        <v>0.16</v>
      </c>
      <c r="P119" s="531"/>
      <c r="Q119" s="531">
        <v>0.18</v>
      </c>
      <c r="R119" s="546"/>
      <c r="S119" s="546"/>
      <c r="T119" s="546"/>
      <c r="U119" s="546">
        <v>0</v>
      </c>
      <c r="V119" s="546">
        <v>0</v>
      </c>
      <c r="W119" s="546">
        <v>0</v>
      </c>
      <c r="X119" s="546">
        <v>0</v>
      </c>
      <c r="Y119" s="546">
        <v>0</v>
      </c>
      <c r="Z119" s="546">
        <v>0</v>
      </c>
      <c r="AA119" s="546">
        <v>0</v>
      </c>
      <c r="AD119" s="546"/>
      <c r="AE119" s="531"/>
      <c r="AF119" s="531"/>
      <c r="AG119" s="531"/>
      <c r="AH119" s="531"/>
      <c r="AI119" s="531"/>
      <c r="AJ119" s="531"/>
      <c r="AK119" s="531"/>
      <c r="AL119" s="531"/>
      <c r="AO119" s="546"/>
      <c r="AP119" s="546"/>
      <c r="AQ119" s="546"/>
      <c r="AR119" s="546"/>
      <c r="AS119" s="546"/>
      <c r="AT119" s="546"/>
      <c r="AU119" s="546"/>
      <c r="AV119" s="546"/>
      <c r="AW119" s="546"/>
      <c r="AX119" s="546"/>
      <c r="AY119" s="546"/>
      <c r="AZ119" s="546"/>
      <c r="BA119" s="546"/>
      <c r="BB119" s="546"/>
      <c r="BC119" s="546"/>
      <c r="BF119" s="531" t="s">
        <v>37</v>
      </c>
    </row>
    <row r="120" spans="1:58" ht="15" customHeight="1">
      <c r="A120" s="531" t="str">
        <f>'EIA23 EQ Cost'!B76</f>
        <v>RSHNHPV122</v>
      </c>
      <c r="B120" s="531" t="str">
        <f>'EIA23 EQ Cost'!C76</f>
        <v>Natural Gas Heat Pump Ver1.RSH.NGA.22</v>
      </c>
      <c r="C120" s="530" t="s">
        <v>32</v>
      </c>
      <c r="D120" s="531" t="s">
        <v>125</v>
      </c>
      <c r="E120" s="531" t="s">
        <v>123</v>
      </c>
      <c r="F120" s="547">
        <f>'EIA23 EQ Cost'!G76</f>
        <v>2022</v>
      </c>
      <c r="G120" s="587">
        <f>'EIA23 EQ Cost'!H76</f>
        <v>15</v>
      </c>
      <c r="H120" s="548">
        <f>'EIA23 EQ Cost'!J76</f>
        <v>13.784783948145165</v>
      </c>
      <c r="I120" s="548">
        <f>'EIA23 EQ Cost'!K76</f>
        <v>1.3000000000000001E-2</v>
      </c>
      <c r="J120" s="531">
        <v>1</v>
      </c>
      <c r="K120" s="531">
        <v>0.16</v>
      </c>
      <c r="L120" s="531">
        <v>0.16</v>
      </c>
      <c r="M120" s="531">
        <v>0.16</v>
      </c>
      <c r="N120" s="531">
        <v>0.16</v>
      </c>
      <c r="O120" s="531">
        <v>0.16</v>
      </c>
      <c r="P120" s="531"/>
      <c r="Q120" s="531">
        <v>0.18</v>
      </c>
      <c r="R120" s="546"/>
      <c r="S120" s="546"/>
      <c r="T120" s="546"/>
      <c r="U120" s="546"/>
      <c r="V120" s="546">
        <v>0</v>
      </c>
      <c r="W120" s="546">
        <v>0</v>
      </c>
      <c r="X120" s="546">
        <v>0</v>
      </c>
      <c r="Y120" s="546">
        <v>0</v>
      </c>
      <c r="Z120" s="546">
        <v>0</v>
      </c>
      <c r="AA120" s="546">
        <v>0</v>
      </c>
      <c r="AD120" s="546"/>
      <c r="AE120" s="531"/>
      <c r="AF120" s="531"/>
      <c r="AG120" s="531"/>
      <c r="AH120" s="531"/>
      <c r="AI120" s="531"/>
      <c r="AJ120" s="531"/>
      <c r="AK120" s="531"/>
      <c r="AL120" s="531"/>
      <c r="AO120" s="546"/>
      <c r="AP120" s="546"/>
      <c r="AQ120" s="546"/>
      <c r="AR120" s="546"/>
      <c r="AS120" s="546"/>
      <c r="AT120" s="546"/>
      <c r="AU120" s="546"/>
      <c r="AV120" s="546"/>
      <c r="AW120" s="546"/>
      <c r="AX120" s="546"/>
      <c r="AY120" s="546"/>
      <c r="AZ120" s="546"/>
      <c r="BA120" s="546"/>
      <c r="BB120" s="546"/>
      <c r="BC120" s="546"/>
      <c r="BF120" s="531" t="s">
        <v>37</v>
      </c>
    </row>
    <row r="121" spans="1:58" ht="15" customHeight="1">
      <c r="A121" s="531" t="str">
        <f>'EIA23 EQ Cost'!B77</f>
        <v>RSHNHPV130</v>
      </c>
      <c r="B121" s="531" t="str">
        <f>'EIA23 EQ Cost'!C77</f>
        <v>Natural Gas Heat Pump Ver1.RSH.NGA.30</v>
      </c>
      <c r="C121" s="530" t="s">
        <v>32</v>
      </c>
      <c r="D121" s="531" t="s">
        <v>125</v>
      </c>
      <c r="E121" s="531" t="s">
        <v>123</v>
      </c>
      <c r="F121" s="547">
        <f>'EIA23 EQ Cost'!G77</f>
        <v>2030</v>
      </c>
      <c r="G121" s="587">
        <f>'EIA23 EQ Cost'!H77</f>
        <v>15</v>
      </c>
      <c r="H121" s="548">
        <f>'EIA23 EQ Cost'!J77</f>
        <v>13.784783948145165</v>
      </c>
      <c r="I121" s="548">
        <f>'EIA23 EQ Cost'!K77</f>
        <v>1.3000000000000001E-2</v>
      </c>
      <c r="J121" s="531">
        <v>1</v>
      </c>
      <c r="K121" s="531">
        <v>0.16</v>
      </c>
      <c r="L121" s="531">
        <v>0.16</v>
      </c>
      <c r="M121" s="531">
        <v>0.16</v>
      </c>
      <c r="N121" s="531">
        <v>0.16</v>
      </c>
      <c r="O121" s="531">
        <v>0.16</v>
      </c>
      <c r="P121" s="531"/>
      <c r="Q121" s="531">
        <v>0.18</v>
      </c>
      <c r="R121" s="546"/>
      <c r="S121" s="546"/>
      <c r="T121" s="546"/>
      <c r="U121" s="546"/>
      <c r="V121" s="546"/>
      <c r="W121" s="546"/>
      <c r="X121" s="546">
        <v>0</v>
      </c>
      <c r="Y121" s="546">
        <v>0</v>
      </c>
      <c r="Z121" s="546">
        <v>0</v>
      </c>
      <c r="AA121" s="546">
        <v>0</v>
      </c>
      <c r="AD121" s="546"/>
      <c r="AE121" s="531"/>
      <c r="AF121" s="531"/>
      <c r="AG121" s="531"/>
      <c r="AH121" s="531"/>
      <c r="AI121" s="531"/>
      <c r="AJ121" s="531"/>
      <c r="AK121" s="531"/>
      <c r="AL121" s="531"/>
      <c r="AO121" s="546"/>
      <c r="AP121" s="546"/>
      <c r="AQ121" s="546"/>
      <c r="AR121" s="546"/>
      <c r="AS121" s="546"/>
      <c r="AT121" s="546"/>
      <c r="AU121" s="546"/>
      <c r="AV121" s="546"/>
      <c r="AW121" s="546"/>
      <c r="AX121" s="546"/>
      <c r="AY121" s="546"/>
      <c r="AZ121" s="546"/>
      <c r="BA121" s="546"/>
      <c r="BB121" s="546"/>
      <c r="BC121" s="546"/>
      <c r="BF121" s="531" t="s">
        <v>37</v>
      </c>
    </row>
    <row r="122" spans="1:58" ht="15" customHeight="1">
      <c r="A122" s="531" t="str">
        <f>'EIA23 EQ Cost'!B78</f>
        <v>RSHNHPV140</v>
      </c>
      <c r="B122" s="531" t="str">
        <f>'EIA23 EQ Cost'!C78</f>
        <v>Natural Gas Heat Pump Ver1.RSH.NGA.40</v>
      </c>
      <c r="C122" s="530" t="s">
        <v>32</v>
      </c>
      <c r="D122" s="531" t="s">
        <v>125</v>
      </c>
      <c r="E122" s="531" t="s">
        <v>123</v>
      </c>
      <c r="F122" s="547">
        <f>'EIA23 EQ Cost'!G78</f>
        <v>2040</v>
      </c>
      <c r="G122" s="587">
        <f>'EIA23 EQ Cost'!H78</f>
        <v>15</v>
      </c>
      <c r="H122" s="548">
        <f>'EIA23 EQ Cost'!J78</f>
        <v>13.784783948145165</v>
      </c>
      <c r="I122" s="548">
        <f>'EIA23 EQ Cost'!K78</f>
        <v>1.3000000000000001E-2</v>
      </c>
      <c r="J122" s="531">
        <v>1</v>
      </c>
      <c r="K122" s="531">
        <v>0.16</v>
      </c>
      <c r="L122" s="531">
        <v>0.16</v>
      </c>
      <c r="M122" s="531">
        <v>0.16</v>
      </c>
      <c r="N122" s="531">
        <v>0.16</v>
      </c>
      <c r="O122" s="531">
        <v>0.16</v>
      </c>
      <c r="P122" s="531"/>
      <c r="Q122" s="531">
        <v>0.18</v>
      </c>
      <c r="R122" s="546"/>
      <c r="S122" s="546"/>
      <c r="T122" s="546"/>
      <c r="U122" s="546"/>
      <c r="V122" s="546"/>
      <c r="W122" s="546"/>
      <c r="X122" s="546"/>
      <c r="Y122" s="546"/>
      <c r="Z122" s="546">
        <v>0</v>
      </c>
      <c r="AA122" s="546">
        <v>0</v>
      </c>
      <c r="AD122" s="546"/>
      <c r="AE122" s="531"/>
      <c r="AF122" s="531"/>
      <c r="AG122" s="531"/>
      <c r="AH122" s="531"/>
      <c r="AI122" s="531"/>
      <c r="AJ122" s="531"/>
      <c r="AK122" s="531"/>
      <c r="AL122" s="531"/>
      <c r="AO122" s="546"/>
      <c r="AP122" s="546"/>
      <c r="AQ122" s="546"/>
      <c r="AR122" s="546"/>
      <c r="AS122" s="546"/>
      <c r="AT122" s="546"/>
      <c r="AU122" s="546"/>
      <c r="AV122" s="546"/>
      <c r="AW122" s="546"/>
      <c r="AX122" s="546"/>
      <c r="AY122" s="546"/>
      <c r="AZ122" s="546"/>
      <c r="BA122" s="546"/>
      <c r="BB122" s="546"/>
      <c r="BC122" s="546"/>
      <c r="BF122" s="531" t="s">
        <v>37</v>
      </c>
    </row>
    <row r="123" spans="1:58" ht="15" customHeight="1">
      <c r="A123" s="531" t="str">
        <f>'EIA23 EQ Cost'!B79</f>
        <v>RSHNHPV150</v>
      </c>
      <c r="B123" s="531" t="str">
        <f>'EIA23 EQ Cost'!C79</f>
        <v>Natural Gas Heat Pump Ver1.RSH.NGA.50</v>
      </c>
      <c r="C123" s="530" t="s">
        <v>32</v>
      </c>
      <c r="D123" s="531" t="s">
        <v>125</v>
      </c>
      <c r="E123" s="531" t="s">
        <v>123</v>
      </c>
      <c r="F123" s="547">
        <f>'EIA23 EQ Cost'!G79</f>
        <v>2050</v>
      </c>
      <c r="G123" s="587">
        <f>'EIA23 EQ Cost'!H79</f>
        <v>15</v>
      </c>
      <c r="H123" s="548">
        <f>'EIA23 EQ Cost'!J79</f>
        <v>13.784783948145165</v>
      </c>
      <c r="I123" s="548">
        <f>'EIA23 EQ Cost'!K79</f>
        <v>1.3000000000000001E-2</v>
      </c>
      <c r="J123" s="531">
        <v>1</v>
      </c>
      <c r="K123" s="531">
        <v>0.16</v>
      </c>
      <c r="L123" s="531">
        <v>0.16</v>
      </c>
      <c r="M123" s="531">
        <v>0.16</v>
      </c>
      <c r="N123" s="531">
        <v>0.16</v>
      </c>
      <c r="O123" s="531">
        <v>0.16</v>
      </c>
      <c r="P123" s="531"/>
      <c r="Q123" s="531">
        <v>0.18</v>
      </c>
      <c r="R123" s="546"/>
      <c r="S123" s="546"/>
      <c r="T123" s="546"/>
      <c r="U123" s="546"/>
      <c r="V123" s="546"/>
      <c r="W123" s="546"/>
      <c r="X123" s="546"/>
      <c r="Y123" s="546"/>
      <c r="Z123" s="546"/>
      <c r="AA123" s="546"/>
      <c r="AD123" s="546"/>
      <c r="AE123" s="531"/>
      <c r="AF123" s="531"/>
      <c r="AG123" s="531"/>
      <c r="AH123" s="531"/>
      <c r="AI123" s="531"/>
      <c r="AJ123" s="531"/>
      <c r="AK123" s="531"/>
      <c r="AL123" s="531"/>
      <c r="AO123" s="546"/>
      <c r="AP123" s="546"/>
      <c r="AQ123" s="546"/>
      <c r="AR123" s="546"/>
      <c r="AS123" s="546"/>
      <c r="AT123" s="546"/>
      <c r="AU123" s="546"/>
      <c r="AV123" s="546"/>
      <c r="AW123" s="546"/>
      <c r="AX123" s="546"/>
      <c r="AY123" s="546"/>
      <c r="AZ123" s="546"/>
      <c r="BA123" s="546"/>
      <c r="BB123" s="546"/>
      <c r="BC123" s="546"/>
      <c r="BF123" s="531" t="s">
        <v>37</v>
      </c>
    </row>
    <row r="124" spans="1:58" s="626" customFormat="1" ht="23.5" customHeight="1">
      <c r="A124" s="621" t="s">
        <v>128</v>
      </c>
      <c r="B124" s="622"/>
      <c r="C124" s="622"/>
      <c r="D124" s="622"/>
      <c r="E124" s="622"/>
      <c r="F124" s="622"/>
      <c r="G124" s="623"/>
      <c r="H124" s="623"/>
      <c r="I124" s="624"/>
      <c r="J124" s="624"/>
      <c r="K124" s="625"/>
      <c r="L124" s="625" t="str">
        <f t="shared" ref="L124" si="35">IF(K124="","",K124)</f>
        <v/>
      </c>
      <c r="M124" s="624"/>
      <c r="N124" s="623"/>
      <c r="O124" s="623"/>
      <c r="P124" s="623"/>
      <c r="Q124" s="623"/>
      <c r="R124" s="623"/>
      <c r="S124" s="623"/>
      <c r="T124" s="622"/>
      <c r="U124" s="622"/>
      <c r="V124" s="622"/>
      <c r="W124" s="622"/>
      <c r="X124" s="622"/>
      <c r="Y124" s="623"/>
      <c r="Z124" s="623"/>
      <c r="AA124" s="623"/>
      <c r="AB124" s="541"/>
      <c r="AC124" s="541"/>
      <c r="AD124" s="622"/>
      <c r="AE124" s="622"/>
      <c r="AF124" s="622"/>
      <c r="AG124" s="622"/>
      <c r="AH124" s="622"/>
      <c r="AI124" s="622"/>
      <c r="AJ124" s="622"/>
      <c r="AK124" s="622"/>
      <c r="AL124" s="622"/>
      <c r="AM124" s="12"/>
      <c r="AN124" s="12"/>
      <c r="AO124" s="622"/>
      <c r="AP124" s="622"/>
      <c r="AQ124" s="622"/>
      <c r="AR124" s="622"/>
      <c r="AS124" s="622"/>
      <c r="AT124" s="622"/>
      <c r="AU124" s="622"/>
      <c r="AV124" s="622"/>
      <c r="AW124" s="622"/>
      <c r="AX124" s="622"/>
      <c r="AY124" s="622"/>
      <c r="AZ124" s="622"/>
      <c r="BA124" s="622"/>
      <c r="BB124" s="622"/>
      <c r="BC124" s="622"/>
      <c r="BF124" s="533" t="str">
        <f>A124</f>
        <v>*UTILITY SCALE CHP - SH</v>
      </c>
    </row>
    <row r="125" spans="1:58" s="626" customFormat="1" ht="14.25" customHeight="1">
      <c r="A125" s="627" t="s">
        <v>129</v>
      </c>
      <c r="B125" s="627" t="s">
        <v>130</v>
      </c>
      <c r="C125" s="530" t="s">
        <v>32</v>
      </c>
      <c r="D125" s="627" t="s">
        <v>131</v>
      </c>
      <c r="E125" s="531" t="s">
        <v>123</v>
      </c>
      <c r="F125" s="628">
        <v>2015</v>
      </c>
      <c r="G125" s="629">
        <v>30</v>
      </c>
      <c r="H125" s="630">
        <v>2.5215837627460433</v>
      </c>
      <c r="I125" s="630">
        <f>0.78*1.1</f>
        <v>0.8580000000000001</v>
      </c>
      <c r="J125" s="631"/>
      <c r="K125" s="531">
        <v>0.16</v>
      </c>
      <c r="L125" s="531">
        <v>0.16</v>
      </c>
      <c r="M125" s="531">
        <v>0.16</v>
      </c>
      <c r="N125" s="531">
        <v>0.16</v>
      </c>
      <c r="O125" s="531">
        <v>0.16</v>
      </c>
      <c r="P125" s="630">
        <v>7.0919543327232479E-2</v>
      </c>
      <c r="Q125" s="629">
        <v>0.18</v>
      </c>
      <c r="R125" s="630"/>
      <c r="S125" s="630"/>
      <c r="T125" s="630"/>
      <c r="U125" s="630"/>
      <c r="V125" s="630"/>
      <c r="W125" s="549"/>
      <c r="X125" s="549"/>
      <c r="Y125" s="549"/>
      <c r="Z125" s="549"/>
      <c r="AA125" s="549"/>
      <c r="AB125" s="541"/>
      <c r="AC125" s="541"/>
      <c r="AD125" s="546"/>
      <c r="AE125" s="531"/>
      <c r="AF125" s="531"/>
      <c r="AG125" s="531"/>
      <c r="AH125" s="531"/>
      <c r="AI125" s="531"/>
      <c r="AJ125" s="531"/>
      <c r="AK125" s="531"/>
      <c r="AL125" s="531"/>
      <c r="AM125" s="12"/>
      <c r="AN125" s="12"/>
      <c r="AO125" s="546"/>
      <c r="AP125" s="546"/>
      <c r="AQ125" s="546"/>
      <c r="AR125" s="546"/>
      <c r="AS125" s="546"/>
      <c r="AT125" s="546"/>
      <c r="AU125" s="546"/>
      <c r="AV125" s="546"/>
      <c r="AW125" s="546"/>
      <c r="AX125" s="546"/>
      <c r="AY125" s="546"/>
      <c r="AZ125" s="546"/>
      <c r="BA125" s="546"/>
      <c r="BB125" s="546"/>
      <c r="BC125" s="546"/>
      <c r="BF125" s="531" t="s">
        <v>37</v>
      </c>
    </row>
    <row r="126" spans="1:58" s="626" customFormat="1" ht="13.9" customHeight="1">
      <c r="A126" s="627" t="s">
        <v>132</v>
      </c>
      <c r="B126" s="627" t="s">
        <v>133</v>
      </c>
      <c r="C126" s="530" t="s">
        <v>32</v>
      </c>
      <c r="D126" s="627" t="s">
        <v>134</v>
      </c>
      <c r="E126" s="531" t="s">
        <v>123</v>
      </c>
      <c r="F126" s="628">
        <v>2015</v>
      </c>
      <c r="G126" s="629">
        <v>30</v>
      </c>
      <c r="H126" s="630">
        <v>2.5215837627460433</v>
      </c>
      <c r="I126" s="630">
        <f t="shared" ref="I126:I127" si="36">0.78*1.1</f>
        <v>0.8580000000000001</v>
      </c>
      <c r="J126" s="631"/>
      <c r="K126" s="531">
        <v>0.16</v>
      </c>
      <c r="L126" s="531">
        <v>0.16</v>
      </c>
      <c r="M126" s="531">
        <v>0.16</v>
      </c>
      <c r="N126" s="531">
        <v>0.16</v>
      </c>
      <c r="O126" s="531">
        <v>0.16</v>
      </c>
      <c r="P126" s="630">
        <v>7.0919543327232479E-2</v>
      </c>
      <c r="Q126" s="630">
        <v>0.18</v>
      </c>
      <c r="R126" s="630"/>
      <c r="S126" s="630"/>
      <c r="T126" s="630"/>
      <c r="U126" s="630"/>
      <c r="V126" s="630"/>
      <c r="W126" s="549"/>
      <c r="X126" s="549"/>
      <c r="Y126" s="549"/>
      <c r="Z126" s="549"/>
      <c r="AA126" s="549"/>
      <c r="AB126" s="541"/>
      <c r="AC126" s="541"/>
      <c r="AD126" s="546"/>
      <c r="AE126" s="531"/>
      <c r="AF126" s="531"/>
      <c r="AG126" s="531"/>
      <c r="AH126" s="531"/>
      <c r="AI126" s="531"/>
      <c r="AJ126" s="531"/>
      <c r="AK126" s="531"/>
      <c r="AL126" s="531"/>
      <c r="AM126" s="12"/>
      <c r="AN126" s="12"/>
      <c r="AO126" s="546"/>
      <c r="AP126" s="546"/>
      <c r="AQ126" s="546"/>
      <c r="AR126" s="546"/>
      <c r="AS126" s="546"/>
      <c r="AT126" s="546"/>
      <c r="AU126" s="546"/>
      <c r="AV126" s="546"/>
      <c r="AW126" s="546"/>
      <c r="AX126" s="546"/>
      <c r="AY126" s="546"/>
      <c r="AZ126" s="546"/>
      <c r="BA126" s="546"/>
      <c r="BB126" s="546"/>
      <c r="BC126" s="546"/>
      <c r="BF126" s="531" t="s">
        <v>37</v>
      </c>
    </row>
    <row r="127" spans="1:58" s="626" customFormat="1" ht="14.25" customHeight="1">
      <c r="A127" s="627" t="s">
        <v>135</v>
      </c>
      <c r="B127" s="627" t="s">
        <v>136</v>
      </c>
      <c r="C127" s="530" t="s">
        <v>32</v>
      </c>
      <c r="D127" s="627" t="s">
        <v>137</v>
      </c>
      <c r="E127" s="531" t="s">
        <v>123</v>
      </c>
      <c r="F127" s="628">
        <v>2015</v>
      </c>
      <c r="G127" s="629">
        <v>30</v>
      </c>
      <c r="H127" s="630">
        <v>2.5215837627460433</v>
      </c>
      <c r="I127" s="630">
        <f t="shared" si="36"/>
        <v>0.8580000000000001</v>
      </c>
      <c r="J127" s="631"/>
      <c r="K127" s="531">
        <v>0.16</v>
      </c>
      <c r="L127" s="531">
        <v>0.16</v>
      </c>
      <c r="M127" s="531">
        <v>0.16</v>
      </c>
      <c r="N127" s="531">
        <v>0.16</v>
      </c>
      <c r="O127" s="531">
        <v>0.16</v>
      </c>
      <c r="P127" s="630">
        <v>7.0919543327232479E-2</v>
      </c>
      <c r="Q127" s="630">
        <v>0.18</v>
      </c>
      <c r="R127" s="630"/>
      <c r="S127" s="630"/>
      <c r="T127" s="630"/>
      <c r="U127" s="630"/>
      <c r="V127" s="630"/>
      <c r="W127" s="549"/>
      <c r="X127" s="549"/>
      <c r="Y127" s="549"/>
      <c r="Z127" s="549"/>
      <c r="AA127" s="549"/>
      <c r="AB127" s="541"/>
      <c r="AC127" s="541"/>
      <c r="AD127" s="546"/>
      <c r="AE127" s="531"/>
      <c r="AF127" s="531"/>
      <c r="AG127" s="531"/>
      <c r="AH127" s="531"/>
      <c r="AI127" s="531"/>
      <c r="AJ127" s="531"/>
      <c r="AK127" s="531"/>
      <c r="AL127" s="531"/>
      <c r="AM127" s="12"/>
      <c r="AN127" s="12"/>
      <c r="AO127" s="546"/>
      <c r="AP127" s="546"/>
      <c r="AQ127" s="546"/>
      <c r="AR127" s="546"/>
      <c r="AS127" s="546"/>
      <c r="AT127" s="546"/>
      <c r="AU127" s="546"/>
      <c r="AV127" s="546"/>
      <c r="AW127" s="546"/>
      <c r="AX127" s="546"/>
      <c r="AY127" s="546"/>
      <c r="AZ127" s="546"/>
      <c r="BA127" s="546"/>
      <c r="BB127" s="546"/>
      <c r="BC127" s="546"/>
      <c r="BF127" s="531" t="s">
        <v>37</v>
      </c>
    </row>
    <row r="128" spans="1:58" s="626" customFormat="1" ht="23.5" customHeight="1">
      <c r="A128" s="621" t="s">
        <v>138</v>
      </c>
      <c r="B128" s="622"/>
      <c r="C128" s="622"/>
      <c r="D128" s="622"/>
      <c r="E128" s="622"/>
      <c r="F128" s="622"/>
      <c r="G128" s="623"/>
      <c r="H128" s="623"/>
      <c r="I128" s="624"/>
      <c r="J128" s="624"/>
      <c r="K128" s="625"/>
      <c r="L128" s="625" t="str">
        <f t="shared" ref="L128" si="37">IF(K128="","",K128)</f>
        <v/>
      </c>
      <c r="M128" s="624"/>
      <c r="N128" s="623"/>
      <c r="O128" s="623"/>
      <c r="P128" s="623"/>
      <c r="Q128" s="623"/>
      <c r="R128" s="623"/>
      <c r="S128" s="623"/>
      <c r="T128" s="622"/>
      <c r="U128" s="622"/>
      <c r="V128" s="622"/>
      <c r="W128" s="622"/>
      <c r="X128" s="622"/>
      <c r="Y128" s="623"/>
      <c r="Z128" s="623"/>
      <c r="AA128" s="623"/>
      <c r="AB128" s="541"/>
      <c r="AC128" s="541"/>
      <c r="AD128" s="622"/>
      <c r="AE128" s="622"/>
      <c r="AF128" s="622"/>
      <c r="AG128" s="622"/>
      <c r="AH128" s="622"/>
      <c r="AI128" s="622"/>
      <c r="AJ128" s="622"/>
      <c r="AK128" s="622"/>
      <c r="AL128" s="622"/>
      <c r="AM128" s="12"/>
      <c r="AN128" s="12"/>
      <c r="AO128" s="622"/>
      <c r="AP128" s="622"/>
      <c r="AQ128" s="622"/>
      <c r="AR128" s="622"/>
      <c r="AS128" s="622"/>
      <c r="AT128" s="622"/>
      <c r="AU128" s="622"/>
      <c r="AV128" s="622"/>
      <c r="AW128" s="622"/>
      <c r="AX128" s="622"/>
      <c r="AY128" s="622"/>
      <c r="AZ128" s="622"/>
      <c r="BA128" s="622"/>
      <c r="BB128" s="622"/>
      <c r="BC128" s="622"/>
      <c r="BF128" s="533" t="str">
        <f>A128</f>
        <v>*Heating retrofit</v>
      </c>
    </row>
    <row r="129" spans="1:58" s="626" customFormat="1" ht="14.25" customHeight="1">
      <c r="A129" s="627" t="s">
        <v>139</v>
      </c>
      <c r="B129" s="627" t="s">
        <v>140</v>
      </c>
      <c r="C129" s="530" t="s">
        <v>32</v>
      </c>
      <c r="D129" s="627" t="s">
        <v>141</v>
      </c>
      <c r="E129" s="531" t="s">
        <v>123</v>
      </c>
      <c r="F129" s="628">
        <v>2025</v>
      </c>
      <c r="G129" s="629">
        <v>30</v>
      </c>
      <c r="H129" s="631">
        <f>Retrofit!H16</f>
        <v>7.1421630639836131</v>
      </c>
      <c r="I129" s="630">
        <v>1</v>
      </c>
      <c r="J129" s="631"/>
      <c r="K129" s="531">
        <v>0.16</v>
      </c>
      <c r="L129" s="531">
        <v>0.16</v>
      </c>
      <c r="M129" s="531">
        <v>0.16</v>
      </c>
      <c r="N129" s="531">
        <v>0.16</v>
      </c>
      <c r="O129" s="531">
        <v>0.16</v>
      </c>
      <c r="P129" s="630"/>
      <c r="Q129" s="531">
        <v>0.18</v>
      </c>
      <c r="R129" s="630"/>
      <c r="S129" s="630"/>
      <c r="T129" s="630"/>
      <c r="U129" s="630"/>
      <c r="V129" s="630"/>
      <c r="W129" s="549"/>
      <c r="X129" s="549"/>
      <c r="Y129" s="549"/>
      <c r="Z129" s="549"/>
      <c r="AA129" s="549"/>
      <c r="AB129" s="541"/>
      <c r="AC129" s="541"/>
      <c r="AD129" s="546"/>
      <c r="AE129" s="531"/>
      <c r="AF129" s="531"/>
      <c r="AG129" s="531"/>
      <c r="AH129" s="531"/>
      <c r="AI129" s="531"/>
      <c r="AJ129" s="531"/>
      <c r="AK129" s="531"/>
      <c r="AL129" s="531"/>
      <c r="AM129" s="12"/>
      <c r="AN129" s="12"/>
      <c r="AO129" s="546"/>
      <c r="AP129" s="546"/>
      <c r="AQ129" s="546"/>
      <c r="AR129" s="546"/>
      <c r="AS129" s="546"/>
      <c r="AT129" s="546"/>
      <c r="AU129" s="546"/>
      <c r="AV129" s="546"/>
      <c r="AW129" s="546"/>
      <c r="AX129" s="546"/>
      <c r="AY129" s="546"/>
      <c r="AZ129" s="546"/>
      <c r="BA129" s="546"/>
      <c r="BB129" s="546"/>
      <c r="BC129" s="546"/>
      <c r="BF129" s="531"/>
    </row>
    <row r="130" spans="1:58" s="626" customFormat="1" ht="14.25" customHeight="1">
      <c r="A130" s="627" t="s">
        <v>142</v>
      </c>
      <c r="B130" s="627" t="s">
        <v>143</v>
      </c>
      <c r="C130" s="530" t="s">
        <v>32</v>
      </c>
      <c r="D130" s="627" t="s">
        <v>141</v>
      </c>
      <c r="E130" s="531" t="s">
        <v>123</v>
      </c>
      <c r="F130" s="628">
        <v>2025</v>
      </c>
      <c r="G130" s="629">
        <v>30</v>
      </c>
      <c r="H130" s="631">
        <f>Retrofit!H17</f>
        <v>13.734928969199256</v>
      </c>
      <c r="I130" s="630">
        <v>1</v>
      </c>
      <c r="J130" s="631"/>
      <c r="K130" s="531">
        <v>0.16</v>
      </c>
      <c r="L130" s="531">
        <v>0.16</v>
      </c>
      <c r="M130" s="531">
        <v>0.16</v>
      </c>
      <c r="N130" s="531">
        <v>0.16</v>
      </c>
      <c r="O130" s="531">
        <v>0.16</v>
      </c>
      <c r="P130" s="630"/>
      <c r="Q130" s="531">
        <v>0.18</v>
      </c>
      <c r="R130" s="630"/>
      <c r="S130" s="630"/>
      <c r="T130" s="630"/>
      <c r="U130" s="630"/>
      <c r="V130" s="630"/>
      <c r="W130" s="549"/>
      <c r="X130" s="549"/>
      <c r="Y130" s="549"/>
      <c r="Z130" s="549"/>
      <c r="AA130" s="549"/>
      <c r="AB130" s="541"/>
      <c r="AC130" s="541"/>
      <c r="AD130" s="546"/>
      <c r="AE130" s="531"/>
      <c r="AF130" s="531"/>
      <c r="AG130" s="531"/>
      <c r="AH130" s="531"/>
      <c r="AI130" s="531"/>
      <c r="AJ130" s="531"/>
      <c r="AK130" s="531"/>
      <c r="AL130" s="531"/>
      <c r="AM130" s="12"/>
      <c r="AN130" s="12"/>
      <c r="AO130" s="546"/>
      <c r="AP130" s="546"/>
      <c r="AQ130" s="546"/>
      <c r="AR130" s="546"/>
      <c r="AS130" s="546"/>
      <c r="AT130" s="546"/>
      <c r="AU130" s="546"/>
      <c r="AV130" s="546"/>
      <c r="AW130" s="546"/>
      <c r="AX130" s="546"/>
      <c r="AY130" s="546"/>
      <c r="AZ130" s="546"/>
      <c r="BA130" s="546"/>
      <c r="BB130" s="546"/>
      <c r="BC130" s="546"/>
      <c r="BF130" s="531"/>
    </row>
    <row r="131" spans="1:58" s="626" customFormat="1" ht="14.25" customHeight="1">
      <c r="A131" s="627" t="s">
        <v>144</v>
      </c>
      <c r="B131" s="627" t="s">
        <v>145</v>
      </c>
      <c r="C131" s="530" t="s">
        <v>32</v>
      </c>
      <c r="D131" s="627" t="s">
        <v>141</v>
      </c>
      <c r="E131" s="531" t="s">
        <v>123</v>
      </c>
      <c r="F131" s="628">
        <v>2025</v>
      </c>
      <c r="G131" s="629">
        <v>30</v>
      </c>
      <c r="H131" s="631">
        <f>Retrofit!H18</f>
        <v>20.602393453798886</v>
      </c>
      <c r="I131" s="630">
        <v>1</v>
      </c>
      <c r="J131" s="631"/>
      <c r="K131" s="531">
        <v>0.16</v>
      </c>
      <c r="L131" s="531">
        <v>0.16</v>
      </c>
      <c r="M131" s="531">
        <v>0.16</v>
      </c>
      <c r="N131" s="531">
        <v>0.16</v>
      </c>
      <c r="O131" s="531">
        <v>0.16</v>
      </c>
      <c r="P131" s="630"/>
      <c r="Q131" s="531">
        <v>0.18</v>
      </c>
      <c r="R131" s="630"/>
      <c r="S131" s="630"/>
      <c r="T131" s="630"/>
      <c r="U131" s="630"/>
      <c r="V131" s="630"/>
      <c r="W131" s="549"/>
      <c r="X131" s="549"/>
      <c r="Y131" s="549"/>
      <c r="Z131" s="549"/>
      <c r="AA131" s="549"/>
      <c r="AB131" s="541"/>
      <c r="AC131" s="541"/>
      <c r="AD131" s="546"/>
      <c r="AE131" s="531"/>
      <c r="AF131" s="531"/>
      <c r="AG131" s="531"/>
      <c r="AH131" s="531"/>
      <c r="AI131" s="531"/>
      <c r="AJ131" s="531"/>
      <c r="AK131" s="531"/>
      <c r="AL131" s="531"/>
      <c r="AM131" s="12"/>
      <c r="AN131" s="12"/>
      <c r="AO131" s="546"/>
      <c r="AP131" s="546"/>
      <c r="AQ131" s="546"/>
      <c r="AR131" s="546"/>
      <c r="AS131" s="546"/>
      <c r="AT131" s="546"/>
      <c r="AU131" s="546"/>
      <c r="AV131" s="546"/>
      <c r="AW131" s="546"/>
      <c r="AX131" s="546"/>
      <c r="AY131" s="546"/>
      <c r="AZ131" s="546"/>
      <c r="BA131" s="546"/>
      <c r="BB131" s="546"/>
      <c r="BC131" s="546"/>
      <c r="BF131" s="531"/>
    </row>
    <row r="132" spans="1:58" s="626" customFormat="1" ht="14.25" customHeight="1">
      <c r="A132" s="627" t="s">
        <v>146</v>
      </c>
      <c r="B132" s="627" t="s">
        <v>147</v>
      </c>
      <c r="C132" s="530" t="s">
        <v>32</v>
      </c>
      <c r="D132" s="627" t="s">
        <v>141</v>
      </c>
      <c r="E132" s="531" t="s">
        <v>123</v>
      </c>
      <c r="F132" s="628">
        <v>2025</v>
      </c>
      <c r="G132" s="629">
        <v>30</v>
      </c>
      <c r="H132" s="631">
        <f>Retrofit!H19</f>
        <v>68.674644845996283</v>
      </c>
      <c r="I132" s="630">
        <v>1</v>
      </c>
      <c r="J132" s="631"/>
      <c r="K132" s="531">
        <v>0.16</v>
      </c>
      <c r="L132" s="531">
        <v>0.16</v>
      </c>
      <c r="M132" s="531">
        <v>0.16</v>
      </c>
      <c r="N132" s="531">
        <v>0.16</v>
      </c>
      <c r="O132" s="531">
        <v>0.16</v>
      </c>
      <c r="P132" s="630"/>
      <c r="Q132" s="531">
        <v>0.18</v>
      </c>
      <c r="R132" s="630"/>
      <c r="S132" s="630"/>
      <c r="T132" s="630"/>
      <c r="U132" s="630"/>
      <c r="V132" s="630"/>
      <c r="W132" s="549"/>
      <c r="X132" s="549"/>
      <c r="Y132" s="549"/>
      <c r="Z132" s="549"/>
      <c r="AA132" s="549"/>
      <c r="AB132" s="541"/>
      <c r="AC132" s="541"/>
      <c r="AD132" s="546"/>
      <c r="AE132" s="531"/>
      <c r="AF132" s="531"/>
      <c r="AG132" s="531"/>
      <c r="AH132" s="531"/>
      <c r="AI132" s="531"/>
      <c r="AJ132" s="531"/>
      <c r="AK132" s="531"/>
      <c r="AL132" s="531"/>
      <c r="AM132" s="12"/>
      <c r="AN132" s="12"/>
      <c r="AO132" s="546"/>
      <c r="AP132" s="546"/>
      <c r="AQ132" s="546"/>
      <c r="AR132" s="546"/>
      <c r="AS132" s="546"/>
      <c r="AT132" s="546"/>
      <c r="AU132" s="546"/>
      <c r="AV132" s="546"/>
      <c r="AW132" s="546"/>
      <c r="AX132" s="546"/>
      <c r="AY132" s="546"/>
      <c r="AZ132" s="546"/>
      <c r="BA132" s="546"/>
      <c r="BB132" s="546"/>
      <c r="BC132" s="546"/>
      <c r="BF132" s="531"/>
    </row>
    <row r="133" spans="1:58" s="626" customFormat="1" ht="14.25" customHeight="1">
      <c r="A133" s="627" t="s">
        <v>148</v>
      </c>
      <c r="B133" s="627" t="s">
        <v>149</v>
      </c>
      <c r="C133" s="530" t="s">
        <v>32</v>
      </c>
      <c r="D133" s="627" t="s">
        <v>141</v>
      </c>
      <c r="E133" s="531" t="s">
        <v>123</v>
      </c>
      <c r="F133" s="628">
        <v>2025</v>
      </c>
      <c r="G133" s="629">
        <v>30</v>
      </c>
      <c r="H133" s="631">
        <f>Retrofit!H20</f>
        <v>895.38001950209946</v>
      </c>
      <c r="I133" s="630">
        <v>1</v>
      </c>
      <c r="J133" s="631"/>
      <c r="K133" s="531">
        <v>0.16</v>
      </c>
      <c r="L133" s="531">
        <v>0.16</v>
      </c>
      <c r="M133" s="531">
        <v>0.16</v>
      </c>
      <c r="N133" s="531">
        <v>0.16</v>
      </c>
      <c r="O133" s="531">
        <v>0.16</v>
      </c>
      <c r="P133" s="630"/>
      <c r="Q133" s="531">
        <v>0.18</v>
      </c>
      <c r="R133" s="630"/>
      <c r="S133" s="630"/>
      <c r="T133" s="630"/>
      <c r="U133" s="630"/>
      <c r="V133" s="630"/>
      <c r="W133" s="549"/>
      <c r="X133" s="549"/>
      <c r="Y133" s="549"/>
      <c r="Z133" s="549"/>
      <c r="AA133" s="549"/>
      <c r="AB133" s="541"/>
      <c r="AC133" s="541"/>
      <c r="AD133" s="546"/>
      <c r="AE133" s="531"/>
      <c r="AF133" s="531"/>
      <c r="AG133" s="531"/>
      <c r="AH133" s="531"/>
      <c r="AI133" s="531"/>
      <c r="AJ133" s="531"/>
      <c r="AK133" s="531"/>
      <c r="AL133" s="531"/>
      <c r="AM133" s="12"/>
      <c r="AN133" s="12"/>
      <c r="AO133" s="546"/>
      <c r="AP133" s="546"/>
      <c r="AQ133" s="546"/>
      <c r="AR133" s="546"/>
      <c r="AS133" s="546"/>
      <c r="AT133" s="546"/>
      <c r="AU133" s="546"/>
      <c r="AV133" s="546"/>
      <c r="AW133" s="546"/>
      <c r="AX133" s="546"/>
      <c r="AY133" s="546"/>
      <c r="AZ133" s="546"/>
      <c r="BA133" s="546"/>
      <c r="BB133" s="546"/>
      <c r="BC133" s="546"/>
      <c r="BF133" s="531"/>
    </row>
    <row r="134" spans="1:58" ht="15" customHeight="1">
      <c r="A134" s="533" t="str">
        <f>'EIA23 EQ Cost'!B80</f>
        <v>*Space Cooling</v>
      </c>
      <c r="B134" s="532"/>
      <c r="C134" s="533"/>
      <c r="D134" s="532"/>
      <c r="E134" s="532"/>
      <c r="F134" s="586"/>
      <c r="G134" s="588"/>
      <c r="H134" s="598"/>
      <c r="I134" s="598"/>
      <c r="J134" s="532"/>
      <c r="K134" s="532"/>
      <c r="L134" s="532"/>
      <c r="M134" s="532"/>
      <c r="N134" s="532"/>
      <c r="O134" s="532"/>
      <c r="P134" s="532"/>
      <c r="Q134" s="532"/>
      <c r="R134" s="558"/>
      <c r="S134" s="558"/>
      <c r="T134" s="558"/>
      <c r="U134" s="558"/>
      <c r="V134" s="558"/>
      <c r="W134" s="558"/>
      <c r="X134" s="558"/>
      <c r="Y134" s="558"/>
      <c r="Z134" s="558"/>
      <c r="AA134" s="558"/>
      <c r="AD134" s="558"/>
      <c r="AE134" s="532"/>
      <c r="AF134" s="532"/>
      <c r="AG134" s="532"/>
      <c r="AH134" s="532"/>
      <c r="AI134" s="532"/>
      <c r="AJ134" s="532"/>
      <c r="AK134" s="532"/>
      <c r="AL134" s="532"/>
      <c r="AO134" s="558"/>
      <c r="AP134" s="558"/>
      <c r="AQ134" s="558"/>
      <c r="AR134" s="558"/>
      <c r="AS134" s="558"/>
      <c r="AT134" s="558"/>
      <c r="AU134" s="558"/>
      <c r="AV134" s="558"/>
      <c r="AW134" s="558"/>
      <c r="AX134" s="558"/>
      <c r="AY134" s="558"/>
      <c r="AZ134" s="558"/>
      <c r="BA134" s="558"/>
      <c r="BB134" s="558"/>
      <c r="BC134" s="558"/>
      <c r="BF134" s="533" t="str">
        <f t="shared" ref="BF134:BF135" si="38">A134</f>
        <v>*Space Cooling</v>
      </c>
    </row>
    <row r="135" spans="1:58" ht="15" customHeight="1">
      <c r="A135" s="533" t="str">
        <f>'EIA23 EQ Cost'!B81</f>
        <v>*Room/Window AC (EIA EQ: Residential Room Air Conditioners)</v>
      </c>
      <c r="B135" s="532"/>
      <c r="C135" s="533"/>
      <c r="D135" s="532"/>
      <c r="E135" s="532"/>
      <c r="F135" s="586"/>
      <c r="G135" s="588"/>
      <c r="H135" s="598"/>
      <c r="I135" s="598"/>
      <c r="J135" s="555"/>
      <c r="K135" s="555"/>
      <c r="L135" s="555"/>
      <c r="M135" s="555"/>
      <c r="N135" s="555"/>
      <c r="O135" s="555"/>
      <c r="P135" s="555"/>
      <c r="Q135" s="556"/>
      <c r="R135" s="557"/>
      <c r="S135" s="557"/>
      <c r="T135" s="557"/>
      <c r="U135" s="557"/>
      <c r="V135" s="557"/>
      <c r="W135" s="557"/>
      <c r="X135" s="557"/>
      <c r="Y135" s="557"/>
      <c r="Z135" s="557"/>
      <c r="AA135" s="558"/>
      <c r="AD135" s="558"/>
      <c r="AE135" s="532"/>
      <c r="AF135" s="532"/>
      <c r="AG135" s="532"/>
      <c r="AH135" s="532"/>
      <c r="AI135" s="532"/>
      <c r="AJ135" s="532"/>
      <c r="AK135" s="532"/>
      <c r="AL135" s="532"/>
      <c r="AO135" s="557"/>
      <c r="AP135" s="557"/>
      <c r="AQ135" s="557"/>
      <c r="AR135" s="557"/>
      <c r="AS135" s="557"/>
      <c r="AT135" s="557"/>
      <c r="AU135" s="557"/>
      <c r="AV135" s="557"/>
      <c r="AW135" s="557"/>
      <c r="AX135" s="557"/>
      <c r="AY135" s="557"/>
      <c r="AZ135" s="557"/>
      <c r="BA135" s="557"/>
      <c r="BB135" s="557"/>
      <c r="BC135" s="557"/>
      <c r="BF135" s="533" t="str">
        <f t="shared" si="38"/>
        <v>*Room/Window AC (EIA EQ: Residential Room Air Conditioners)</v>
      </c>
    </row>
    <row r="136" spans="1:58" ht="15" customHeight="1">
      <c r="A136" s="531" t="str">
        <f>'EIA23 EQ Cost'!B82</f>
        <v>RSCRACBS15</v>
      </c>
      <c r="B136" s="531" t="str">
        <f>'EIA23 EQ Cost'!C82</f>
        <v>Room AC Base.RSC.ELC.15</v>
      </c>
      <c r="C136" s="530" t="s">
        <v>32</v>
      </c>
      <c r="D136" s="531" t="s">
        <v>122</v>
      </c>
      <c r="E136" s="531" t="s">
        <v>124</v>
      </c>
      <c r="F136" s="547">
        <f>'EIA23 EQ Cost'!G82</f>
        <v>2015</v>
      </c>
      <c r="G136" s="587">
        <f>'EIA23 EQ Cost'!H82</f>
        <v>9.5</v>
      </c>
      <c r="H136" s="548">
        <f>'EIA23 EQ Cost'!J82</f>
        <v>3.8006187690728455</v>
      </c>
      <c r="I136" s="548">
        <f>'EIA23 EQ Cost'!K82*0.293</f>
        <v>3.1936999999999998</v>
      </c>
      <c r="J136" s="531">
        <v>1</v>
      </c>
      <c r="K136" s="531">
        <v>0.16</v>
      </c>
      <c r="L136" s="531">
        <v>0.16</v>
      </c>
      <c r="M136" s="531">
        <v>0.16</v>
      </c>
      <c r="N136" s="531">
        <v>0.16</v>
      </c>
      <c r="O136" s="531">
        <v>0.16</v>
      </c>
      <c r="P136" s="531"/>
      <c r="Q136" s="531">
        <v>0.45</v>
      </c>
      <c r="R136" s="546"/>
      <c r="S136" s="546"/>
      <c r="T136" s="546">
        <v>0</v>
      </c>
      <c r="U136" s="546">
        <v>0</v>
      </c>
      <c r="V136" s="546">
        <v>0</v>
      </c>
      <c r="W136" s="546">
        <v>0</v>
      </c>
      <c r="X136" s="546">
        <v>0</v>
      </c>
      <c r="Y136" s="546">
        <v>0</v>
      </c>
      <c r="Z136" s="546">
        <v>0</v>
      </c>
      <c r="AA136" s="546">
        <v>0</v>
      </c>
      <c r="AD136" s="546"/>
      <c r="AE136" s="531"/>
      <c r="AF136" s="531"/>
      <c r="AG136" s="531"/>
      <c r="AH136" s="531"/>
      <c r="AI136" s="531"/>
      <c r="AJ136" s="531"/>
      <c r="AK136" s="531"/>
      <c r="AL136" s="531"/>
      <c r="AO136" s="549" t="e">
        <f>Resid!V57</f>
        <v>#REF!</v>
      </c>
      <c r="AP136" s="549" t="e">
        <f>Resid!W57</f>
        <v>#REF!</v>
      </c>
      <c r="AQ136" s="549" t="e">
        <f>Resid!X57</f>
        <v>#REF!</v>
      </c>
      <c r="AR136" s="549" t="e">
        <f>Resid!Y57</f>
        <v>#REF!</v>
      </c>
      <c r="AS136" s="549" t="e">
        <f>Resid!Z57</f>
        <v>#REF!</v>
      </c>
      <c r="AT136" s="549" t="e">
        <f>AO136*0.9</f>
        <v>#REF!</v>
      </c>
      <c r="AU136" s="549" t="e">
        <f t="shared" ref="AU136" si="39">AP136*0.9</f>
        <v>#REF!</v>
      </c>
      <c r="AV136" s="549" t="e">
        <f t="shared" ref="AV136" si="40">AQ136*0.9</f>
        <v>#REF!</v>
      </c>
      <c r="AW136" s="549" t="e">
        <f t="shared" ref="AW136" si="41">AR136*0.9</f>
        <v>#REF!</v>
      </c>
      <c r="AX136" s="549" t="e">
        <f t="shared" ref="AX136" si="42">AS136*0.9</f>
        <v>#REF!</v>
      </c>
      <c r="AY136" s="549"/>
      <c r="AZ136" s="549"/>
      <c r="BA136" s="549"/>
      <c r="BB136" s="549"/>
      <c r="BC136" s="549"/>
      <c r="BF136" s="531" t="s">
        <v>37</v>
      </c>
    </row>
    <row r="137" spans="1:58" ht="15" customHeight="1">
      <c r="A137" s="531" t="str">
        <f>'EIA23 EQ Cost'!B83</f>
        <v>RSCRACBS20</v>
      </c>
      <c r="B137" s="531" t="str">
        <f>'EIA23 EQ Cost'!C83</f>
        <v>Room AC Base.RSC.ELC.20</v>
      </c>
      <c r="C137" s="530" t="s">
        <v>32</v>
      </c>
      <c r="D137" s="531" t="s">
        <v>122</v>
      </c>
      <c r="E137" s="531" t="s">
        <v>124</v>
      </c>
      <c r="F137" s="547">
        <f>'EIA23 EQ Cost'!G83</f>
        <v>2020</v>
      </c>
      <c r="G137" s="587">
        <f>'EIA23 EQ Cost'!H83</f>
        <v>9.5</v>
      </c>
      <c r="H137" s="548">
        <f>'EIA23 EQ Cost'!J83</f>
        <v>2.8957095383412157</v>
      </c>
      <c r="I137" s="548">
        <f>'EIA23 EQ Cost'!K83*0.293</f>
        <v>3.1936999999999998</v>
      </c>
      <c r="J137" s="531">
        <v>1</v>
      </c>
      <c r="K137" s="531">
        <v>0.16</v>
      </c>
      <c r="L137" s="531">
        <v>0.16</v>
      </c>
      <c r="M137" s="531">
        <v>0.16</v>
      </c>
      <c r="N137" s="531">
        <v>0.16</v>
      </c>
      <c r="O137" s="531">
        <v>0.16</v>
      </c>
      <c r="P137" s="531"/>
      <c r="Q137" s="531">
        <v>0.45</v>
      </c>
      <c r="R137" s="546"/>
      <c r="S137" s="546"/>
      <c r="T137" s="546"/>
      <c r="U137" s="546">
        <v>0</v>
      </c>
      <c r="V137" s="546">
        <v>0</v>
      </c>
      <c r="W137" s="546">
        <v>0</v>
      </c>
      <c r="X137" s="546">
        <v>0</v>
      </c>
      <c r="Y137" s="546">
        <v>0</v>
      </c>
      <c r="Z137" s="546">
        <v>0</v>
      </c>
      <c r="AA137" s="546">
        <v>0</v>
      </c>
      <c r="AD137" s="546"/>
      <c r="AE137" s="531"/>
      <c r="AF137" s="531"/>
      <c r="AG137" s="531"/>
      <c r="AH137" s="531"/>
      <c r="AI137" s="531"/>
      <c r="AJ137" s="531"/>
      <c r="AK137" s="531"/>
      <c r="AL137" s="531"/>
      <c r="AO137" s="546"/>
      <c r="AP137" s="546"/>
      <c r="AQ137" s="546"/>
      <c r="AR137" s="546"/>
      <c r="AS137" s="546"/>
      <c r="AT137" s="546"/>
      <c r="AU137" s="546"/>
      <c r="AV137" s="546"/>
      <c r="AW137" s="546"/>
      <c r="AX137" s="546"/>
      <c r="AY137" s="546"/>
      <c r="AZ137" s="546"/>
      <c r="BA137" s="546"/>
      <c r="BB137" s="546"/>
      <c r="BC137" s="546"/>
      <c r="BF137" s="531" t="s">
        <v>37</v>
      </c>
    </row>
    <row r="138" spans="1:58" ht="15" customHeight="1">
      <c r="A138" s="531" t="str">
        <f>'EIA23 EQ Cost'!B84</f>
        <v>RSCRACV122</v>
      </c>
      <c r="B138" s="531" t="str">
        <f>'EIA23 EQ Cost'!C84</f>
        <v>Room AC Ver1.RSC.ELC.22</v>
      </c>
      <c r="C138" s="530" t="s">
        <v>32</v>
      </c>
      <c r="D138" s="531" t="s">
        <v>122</v>
      </c>
      <c r="E138" s="531" t="s">
        <v>124</v>
      </c>
      <c r="F138" s="547">
        <f>'EIA23 EQ Cost'!G84</f>
        <v>2022</v>
      </c>
      <c r="G138" s="587">
        <f>'EIA23 EQ Cost'!H84</f>
        <v>9.5</v>
      </c>
      <c r="H138" s="548">
        <f>'EIA23 EQ Cost'!J84</f>
        <v>2.8957095383412157</v>
      </c>
      <c r="I138" s="548">
        <f>'EIA23 EQ Cost'!K84*0.293</f>
        <v>3.1936999999999998</v>
      </c>
      <c r="J138" s="531">
        <v>1</v>
      </c>
      <c r="K138" s="531">
        <v>0.16</v>
      </c>
      <c r="L138" s="531">
        <v>0.16</v>
      </c>
      <c r="M138" s="531">
        <v>0.16</v>
      </c>
      <c r="N138" s="531">
        <v>0.16</v>
      </c>
      <c r="O138" s="531">
        <v>0.16</v>
      </c>
      <c r="P138" s="531"/>
      <c r="Q138" s="531">
        <v>0.45</v>
      </c>
      <c r="R138" s="546"/>
      <c r="S138" s="546"/>
      <c r="T138" s="546"/>
      <c r="U138" s="546"/>
      <c r="V138" s="546">
        <v>0</v>
      </c>
      <c r="W138" s="546">
        <v>0</v>
      </c>
      <c r="X138" s="546">
        <v>0</v>
      </c>
      <c r="Y138" s="546">
        <v>0</v>
      </c>
      <c r="Z138" s="546">
        <v>0</v>
      </c>
      <c r="AA138" s="546">
        <v>0</v>
      </c>
      <c r="AD138" s="546"/>
      <c r="AE138" s="531"/>
      <c r="AF138" s="531"/>
      <c r="AG138" s="531"/>
      <c r="AH138" s="531"/>
      <c r="AI138" s="531"/>
      <c r="AJ138" s="531"/>
      <c r="AK138" s="531"/>
      <c r="AL138" s="531"/>
      <c r="AO138" s="546"/>
      <c r="AP138" s="546"/>
      <c r="AQ138" s="546"/>
      <c r="AR138" s="546"/>
      <c r="AS138" s="546"/>
      <c r="AT138" s="546"/>
      <c r="AU138" s="546"/>
      <c r="AV138" s="546"/>
      <c r="AW138" s="546"/>
      <c r="AX138" s="546"/>
      <c r="AY138" s="546"/>
      <c r="AZ138" s="546"/>
      <c r="BA138" s="546"/>
      <c r="BB138" s="546"/>
      <c r="BC138" s="546"/>
      <c r="BF138" s="531" t="s">
        <v>37</v>
      </c>
    </row>
    <row r="139" spans="1:58" ht="15" customHeight="1">
      <c r="A139" s="531" t="str">
        <f>'EIA23 EQ Cost'!B85</f>
        <v>RSCRACV222</v>
      </c>
      <c r="B139" s="531" t="str">
        <f>'EIA23 EQ Cost'!C85</f>
        <v>Room AC Ver2.RSC.ELC.22</v>
      </c>
      <c r="C139" s="530" t="s">
        <v>32</v>
      </c>
      <c r="D139" s="531" t="s">
        <v>122</v>
      </c>
      <c r="E139" s="531" t="s">
        <v>124</v>
      </c>
      <c r="F139" s="547">
        <f>'EIA23 EQ Cost'!G85</f>
        <v>2022</v>
      </c>
      <c r="G139" s="587">
        <f>'EIA23 EQ Cost'!H85</f>
        <v>9.5</v>
      </c>
      <c r="H139" s="548">
        <f>'EIA23 EQ Cost'!J85</f>
        <v>2.9215640877906912</v>
      </c>
      <c r="I139" s="548">
        <f>'EIA23 EQ Cost'!K85*0.293</f>
        <v>3.516</v>
      </c>
      <c r="J139" s="531">
        <v>1</v>
      </c>
      <c r="K139" s="531">
        <v>0.16</v>
      </c>
      <c r="L139" s="531">
        <v>0.16</v>
      </c>
      <c r="M139" s="531">
        <v>0.16</v>
      </c>
      <c r="N139" s="531">
        <v>0.16</v>
      </c>
      <c r="O139" s="531">
        <v>0.16</v>
      </c>
      <c r="P139" s="531"/>
      <c r="Q139" s="531">
        <v>0.45</v>
      </c>
      <c r="R139" s="546"/>
      <c r="S139" s="546"/>
      <c r="T139" s="597"/>
      <c r="U139" s="546"/>
      <c r="V139" s="546">
        <v>0</v>
      </c>
      <c r="W139" s="546">
        <v>0</v>
      </c>
      <c r="X139" s="546">
        <v>0</v>
      </c>
      <c r="Y139" s="546">
        <v>0</v>
      </c>
      <c r="Z139" s="546">
        <v>0</v>
      </c>
      <c r="AA139" s="546">
        <v>0</v>
      </c>
      <c r="AD139" s="546"/>
      <c r="AE139" s="531"/>
      <c r="AF139" s="531"/>
      <c r="AG139" s="531"/>
      <c r="AH139" s="531"/>
      <c r="AI139" s="531"/>
      <c r="AJ139" s="531"/>
      <c r="AK139" s="531"/>
      <c r="AL139" s="531"/>
      <c r="AO139" s="546"/>
      <c r="AP139" s="546"/>
      <c r="AQ139" s="546"/>
      <c r="AR139" s="546"/>
      <c r="AS139" s="546"/>
      <c r="AT139" s="546"/>
      <c r="AU139" s="546"/>
      <c r="AV139" s="546"/>
      <c r="AW139" s="546"/>
      <c r="AX139" s="546"/>
      <c r="AY139" s="546"/>
      <c r="AZ139" s="546"/>
      <c r="BA139" s="546"/>
      <c r="BB139" s="546"/>
      <c r="BC139" s="546"/>
      <c r="BF139" s="531" t="s">
        <v>37</v>
      </c>
    </row>
    <row r="140" spans="1:58" ht="15" customHeight="1">
      <c r="A140" s="531" t="str">
        <f>'EIA23 EQ Cost'!B86</f>
        <v>RSCRACV322</v>
      </c>
      <c r="B140" s="531" t="str">
        <f>'EIA23 EQ Cost'!C86</f>
        <v>Room AC Ver3.RSC.ELC.22</v>
      </c>
      <c r="C140" s="530" t="s">
        <v>32</v>
      </c>
      <c r="D140" s="531" t="s">
        <v>122</v>
      </c>
      <c r="E140" s="531" t="s">
        <v>124</v>
      </c>
      <c r="F140" s="547">
        <f>'EIA23 EQ Cost'!G86</f>
        <v>2022</v>
      </c>
      <c r="G140" s="587">
        <f>'EIA23 EQ Cost'!H86</f>
        <v>9.5</v>
      </c>
      <c r="H140" s="548">
        <f>'EIA23 EQ Cost'!J86</f>
        <v>2.9215640877906912</v>
      </c>
      <c r="I140" s="548">
        <f>'EIA23 EQ Cost'!K86*0.293</f>
        <v>3.516</v>
      </c>
      <c r="J140" s="531">
        <v>1</v>
      </c>
      <c r="K140" s="531">
        <v>0.16</v>
      </c>
      <c r="L140" s="531">
        <v>0.16</v>
      </c>
      <c r="M140" s="531">
        <v>0.16</v>
      </c>
      <c r="N140" s="531">
        <v>0.16</v>
      </c>
      <c r="O140" s="531">
        <v>0.16</v>
      </c>
      <c r="P140" s="531"/>
      <c r="Q140" s="531">
        <v>0.45</v>
      </c>
      <c r="R140" s="546"/>
      <c r="S140" s="546"/>
      <c r="T140" s="546"/>
      <c r="U140" s="546"/>
      <c r="V140" s="546"/>
      <c r="W140" s="546"/>
      <c r="X140" s="546"/>
      <c r="Y140" s="546"/>
      <c r="Z140" s="546"/>
      <c r="AA140" s="546"/>
      <c r="AD140" s="546"/>
      <c r="AE140" s="531"/>
      <c r="AF140" s="531"/>
      <c r="AG140" s="531"/>
      <c r="AH140" s="531"/>
      <c r="AI140" s="531"/>
      <c r="AJ140" s="531"/>
      <c r="AK140" s="531"/>
      <c r="AL140" s="531"/>
      <c r="AO140" s="546"/>
      <c r="AP140" s="546"/>
      <c r="AQ140" s="546"/>
      <c r="AR140" s="546"/>
      <c r="AS140" s="546"/>
      <c r="AT140" s="546"/>
      <c r="AU140" s="546"/>
      <c r="AV140" s="546"/>
      <c r="AW140" s="546"/>
      <c r="AX140" s="546"/>
      <c r="AY140" s="546"/>
      <c r="AZ140" s="546"/>
      <c r="BA140" s="546"/>
      <c r="BB140" s="546"/>
      <c r="BC140" s="546"/>
      <c r="BF140" s="531" t="s">
        <v>37</v>
      </c>
    </row>
    <row r="141" spans="1:58" ht="15" customHeight="1">
      <c r="A141" s="531" t="str">
        <f>'EIA23 EQ Cost'!B87</f>
        <v>RSCRACV422</v>
      </c>
      <c r="B141" s="531" t="str">
        <f>'EIA23 EQ Cost'!C87</f>
        <v>Room AC Ver4.RSC.ELC.22</v>
      </c>
      <c r="C141" s="530" t="s">
        <v>32</v>
      </c>
      <c r="D141" s="531" t="s">
        <v>122</v>
      </c>
      <c r="E141" s="531" t="s">
        <v>124</v>
      </c>
      <c r="F141" s="547">
        <f>'EIA23 EQ Cost'!G87</f>
        <v>2022</v>
      </c>
      <c r="G141" s="587">
        <f>'EIA23 EQ Cost'!H87</f>
        <v>9.5</v>
      </c>
      <c r="H141" s="548">
        <f>'EIA23 EQ Cost'!J87</f>
        <v>3.4903641756791441</v>
      </c>
      <c r="I141" s="548">
        <f>'EIA23 EQ Cost'!K87*0.293</f>
        <v>4.6000999999999994</v>
      </c>
      <c r="J141" s="545"/>
      <c r="K141" s="545"/>
      <c r="L141" s="545" t="s">
        <v>127</v>
      </c>
      <c r="M141" s="545" t="s">
        <v>127</v>
      </c>
      <c r="N141" s="545" t="s">
        <v>127</v>
      </c>
      <c r="O141" s="545" t="s">
        <v>127</v>
      </c>
      <c r="P141" s="545"/>
      <c r="Q141" s="531">
        <v>0.45</v>
      </c>
      <c r="R141" s="597"/>
      <c r="S141" s="597"/>
      <c r="T141" s="597"/>
      <c r="U141" s="597"/>
      <c r="V141" s="597"/>
      <c r="W141" s="597"/>
      <c r="X141" s="597"/>
      <c r="Y141" s="597"/>
      <c r="Z141" s="597"/>
      <c r="AA141" s="546"/>
      <c r="AD141" s="546"/>
      <c r="AE141" s="531"/>
      <c r="AF141" s="531"/>
      <c r="AG141" s="531"/>
      <c r="AH141" s="531"/>
      <c r="AI141" s="531"/>
      <c r="AJ141" s="531"/>
      <c r="AK141" s="531"/>
      <c r="AL141" s="531"/>
      <c r="AO141" s="597"/>
      <c r="AP141" s="597"/>
      <c r="AQ141" s="597"/>
      <c r="AR141" s="597"/>
      <c r="AS141" s="597"/>
      <c r="AT141" s="597"/>
      <c r="AU141" s="597"/>
      <c r="AV141" s="597"/>
      <c r="AW141" s="597"/>
      <c r="AX141" s="597"/>
      <c r="AY141" s="597"/>
      <c r="AZ141" s="597"/>
      <c r="BA141" s="597"/>
      <c r="BB141" s="597"/>
      <c r="BC141" s="597"/>
      <c r="BF141" s="531" t="s">
        <v>37</v>
      </c>
    </row>
    <row r="142" spans="1:58" ht="15" customHeight="1">
      <c r="A142" s="533" t="str">
        <f>'EIA23 EQ Cost'!B88</f>
        <v>*Central AC Units (EIA EQ: Residential Central Air Conditioners (North (Not Hot-Dry or Hot-Humid)))</v>
      </c>
      <c r="B142" s="532"/>
      <c r="C142" s="533"/>
      <c r="D142" s="532"/>
      <c r="E142" s="532"/>
      <c r="F142" s="586"/>
      <c r="G142" s="588"/>
      <c r="H142" s="598"/>
      <c r="I142" s="598"/>
      <c r="J142" s="532"/>
      <c r="K142" s="532"/>
      <c r="L142" s="532"/>
      <c r="M142" s="532"/>
      <c r="N142" s="532"/>
      <c r="O142" s="532"/>
      <c r="P142" s="532"/>
      <c r="Q142" s="532"/>
      <c r="R142" s="558"/>
      <c r="S142" s="558"/>
      <c r="T142" s="558"/>
      <c r="U142" s="558"/>
      <c r="V142" s="558"/>
      <c r="W142" s="558"/>
      <c r="X142" s="558"/>
      <c r="Y142" s="558"/>
      <c r="Z142" s="558"/>
      <c r="AA142" s="558"/>
      <c r="AD142" s="558"/>
      <c r="AE142" s="532"/>
      <c r="AF142" s="532"/>
      <c r="AG142" s="532"/>
      <c r="AH142" s="532"/>
      <c r="AI142" s="532"/>
      <c r="AJ142" s="532"/>
      <c r="AK142" s="532"/>
      <c r="AL142" s="532"/>
      <c r="AO142" s="605"/>
      <c r="AP142" s="605"/>
      <c r="AQ142" s="605"/>
      <c r="AR142" s="605"/>
      <c r="AS142" s="605"/>
      <c r="AT142" s="605"/>
      <c r="AU142" s="605"/>
      <c r="AV142" s="605"/>
      <c r="AW142" s="605"/>
      <c r="AX142" s="605"/>
      <c r="AY142" s="605"/>
      <c r="AZ142" s="605"/>
      <c r="BA142" s="605"/>
      <c r="BB142" s="605"/>
      <c r="BC142" s="605"/>
      <c r="BF142" s="533" t="str">
        <f>A142</f>
        <v>*Central AC Units (EIA EQ: Residential Central Air Conditioners (North (Not Hot-Dry or Hot-Humid)))</v>
      </c>
    </row>
    <row r="143" spans="1:58" ht="15" customHeight="1">
      <c r="A143" s="531" t="str">
        <f>'EIA23 EQ Cost'!B89</f>
        <v>RSCCACBS15</v>
      </c>
      <c r="B143" s="531" t="str">
        <f>'EIA23 EQ Cost'!C89</f>
        <v>Central AC Base.RSC.ELC.15</v>
      </c>
      <c r="C143" s="530" t="s">
        <v>32</v>
      </c>
      <c r="D143" s="531" t="s">
        <v>122</v>
      </c>
      <c r="E143" s="531" t="s">
        <v>124</v>
      </c>
      <c r="F143" s="547">
        <f>'EIA23 EQ Cost'!G89</f>
        <v>2015</v>
      </c>
      <c r="G143" s="587">
        <f>'EIA23 EQ Cost'!H89</f>
        <v>18</v>
      </c>
      <c r="H143" s="548">
        <f>'EIA23 EQ Cost'!J89</f>
        <v>5.7454554332166978</v>
      </c>
      <c r="I143" s="548">
        <f>'EIA23 EQ Cost'!K89*0.293</f>
        <v>3.6624999999999996</v>
      </c>
      <c r="J143" s="531">
        <v>1</v>
      </c>
      <c r="K143" s="531">
        <v>0.16</v>
      </c>
      <c r="L143" s="531">
        <v>0.16</v>
      </c>
      <c r="M143" s="531">
        <v>0.16</v>
      </c>
      <c r="N143" s="531">
        <v>0.16</v>
      </c>
      <c r="O143" s="531">
        <v>0.16</v>
      </c>
      <c r="P143" s="531"/>
      <c r="Q143" s="531">
        <v>0.18</v>
      </c>
      <c r="R143" s="546"/>
      <c r="S143" s="546"/>
      <c r="T143" s="546">
        <v>0</v>
      </c>
      <c r="U143" s="546">
        <v>0</v>
      </c>
      <c r="V143" s="546">
        <v>0</v>
      </c>
      <c r="W143" s="546">
        <v>0</v>
      </c>
      <c r="X143" s="546">
        <v>0</v>
      </c>
      <c r="Y143" s="546">
        <v>0</v>
      </c>
      <c r="Z143" s="546">
        <v>0</v>
      </c>
      <c r="AA143" s="546">
        <v>0</v>
      </c>
      <c r="AD143" s="546"/>
      <c r="AE143" s="531"/>
      <c r="AF143" s="531"/>
      <c r="AG143" s="531"/>
      <c r="AH143" s="531"/>
      <c r="AI143" s="531"/>
      <c r="AJ143" s="531"/>
      <c r="AK143" s="531"/>
      <c r="AL143" s="531"/>
      <c r="AO143" s="549" t="e">
        <f>Resid!V65</f>
        <v>#REF!</v>
      </c>
      <c r="AP143" s="549" t="e">
        <f>Resid!W65</f>
        <v>#REF!</v>
      </c>
      <c r="AQ143" s="549" t="e">
        <f>Resid!X65</f>
        <v>#REF!</v>
      </c>
      <c r="AR143" s="549" t="e">
        <f>Resid!Y65</f>
        <v>#REF!</v>
      </c>
      <c r="AS143" s="549" t="e">
        <f>Resid!Z65</f>
        <v>#REF!</v>
      </c>
      <c r="AT143" s="549" t="e">
        <f>AO143*0.9</f>
        <v>#REF!</v>
      </c>
      <c r="AU143" s="549" t="e">
        <f t="shared" ref="AU143" si="43">AP143*0.9</f>
        <v>#REF!</v>
      </c>
      <c r="AV143" s="549" t="e">
        <f t="shared" ref="AV143" si="44">AQ143*0.9</f>
        <v>#REF!</v>
      </c>
      <c r="AW143" s="549" t="e">
        <f t="shared" ref="AW143" si="45">AR143*0.9</f>
        <v>#REF!</v>
      </c>
      <c r="AX143" s="549" t="e">
        <f t="shared" ref="AX143" si="46">AS143*0.9</f>
        <v>#REF!</v>
      </c>
      <c r="AY143" s="546"/>
      <c r="AZ143" s="546"/>
      <c r="BA143" s="546"/>
      <c r="BB143" s="546"/>
      <c r="BC143" s="546"/>
      <c r="BF143" s="531" t="s">
        <v>37</v>
      </c>
    </row>
    <row r="144" spans="1:58" ht="15" customHeight="1">
      <c r="A144" s="531" t="str">
        <f>'EIA23 EQ Cost'!B90</f>
        <v>RSCCACBS20</v>
      </c>
      <c r="B144" s="531" t="str">
        <f>'EIA23 EQ Cost'!C90</f>
        <v>Central AC Base.RSC.ELC.20</v>
      </c>
      <c r="C144" s="530" t="s">
        <v>32</v>
      </c>
      <c r="D144" s="531" t="s">
        <v>122</v>
      </c>
      <c r="E144" s="531" t="s">
        <v>124</v>
      </c>
      <c r="F144" s="547">
        <f>'EIA23 EQ Cost'!G90</f>
        <v>2020</v>
      </c>
      <c r="G144" s="587">
        <f>'EIA23 EQ Cost'!H90</f>
        <v>18</v>
      </c>
      <c r="H144" s="548">
        <f>'EIA23 EQ Cost'!J90</f>
        <v>6.1763645907079505</v>
      </c>
      <c r="I144" s="548">
        <f>'EIA23 EQ Cost'!K90*0.293</f>
        <v>4.0727000000000002</v>
      </c>
      <c r="J144" s="531">
        <v>1</v>
      </c>
      <c r="K144" s="531">
        <v>0.16</v>
      </c>
      <c r="L144" s="531">
        <v>0.16</v>
      </c>
      <c r="M144" s="531">
        <v>0.16</v>
      </c>
      <c r="N144" s="531">
        <v>0.16</v>
      </c>
      <c r="O144" s="531">
        <v>0.16</v>
      </c>
      <c r="P144" s="531"/>
      <c r="Q144" s="531">
        <v>0.18</v>
      </c>
      <c r="R144" s="546"/>
      <c r="S144" s="546"/>
      <c r="T144" s="546"/>
      <c r="U144" s="546">
        <v>0</v>
      </c>
      <c r="V144" s="546">
        <v>0</v>
      </c>
      <c r="W144" s="546">
        <v>0</v>
      </c>
      <c r="X144" s="546">
        <v>0</v>
      </c>
      <c r="Y144" s="546">
        <v>0</v>
      </c>
      <c r="Z144" s="546">
        <v>0</v>
      </c>
      <c r="AA144" s="546">
        <v>0</v>
      </c>
      <c r="AD144" s="546"/>
      <c r="AE144" s="531"/>
      <c r="AF144" s="531"/>
      <c r="AG144" s="531"/>
      <c r="AH144" s="531"/>
      <c r="AI144" s="531"/>
      <c r="AJ144" s="531"/>
      <c r="AK144" s="531"/>
      <c r="AL144" s="531"/>
      <c r="AO144" s="546"/>
      <c r="AP144" s="546"/>
      <c r="AQ144" s="546"/>
      <c r="AR144" s="546"/>
      <c r="AS144" s="546"/>
      <c r="AT144" s="546"/>
      <c r="AU144" s="546"/>
      <c r="AV144" s="546"/>
      <c r="AW144" s="546"/>
      <c r="AX144" s="546"/>
      <c r="AY144" s="546"/>
      <c r="AZ144" s="546"/>
      <c r="BA144" s="546"/>
      <c r="BB144" s="546"/>
      <c r="BC144" s="546"/>
      <c r="BF144" s="531" t="s">
        <v>37</v>
      </c>
    </row>
    <row r="145" spans="1:58" ht="15" customHeight="1">
      <c r="A145" s="531" t="str">
        <f>'EIA23 EQ Cost'!B91</f>
        <v>RSCCACV122</v>
      </c>
      <c r="B145" s="531" t="str">
        <f>'EIA23 EQ Cost'!C91</f>
        <v>Central AC Ver1.RSC.ELC.22</v>
      </c>
      <c r="C145" s="530" t="s">
        <v>32</v>
      </c>
      <c r="D145" s="531" t="s">
        <v>122</v>
      </c>
      <c r="E145" s="531" t="s">
        <v>124</v>
      </c>
      <c r="F145" s="547">
        <f>'EIA23 EQ Cost'!G91</f>
        <v>2022</v>
      </c>
      <c r="G145" s="587">
        <f>'EIA23 EQ Cost'!H91</f>
        <v>18</v>
      </c>
      <c r="H145" s="548">
        <f>'EIA23 EQ Cost'!J91</f>
        <v>7.5409102560969155</v>
      </c>
      <c r="I145" s="548">
        <f>'EIA23 EQ Cost'!K91*0.293</f>
        <v>3.8089999999999997</v>
      </c>
      <c r="J145" s="531">
        <v>1</v>
      </c>
      <c r="K145" s="531">
        <v>0.16</v>
      </c>
      <c r="L145" s="531">
        <v>0.16</v>
      </c>
      <c r="M145" s="531">
        <v>0.16</v>
      </c>
      <c r="N145" s="531">
        <v>0.16</v>
      </c>
      <c r="O145" s="531">
        <v>0.16</v>
      </c>
      <c r="P145" s="531"/>
      <c r="Q145" s="531">
        <v>0.18</v>
      </c>
      <c r="R145" s="546"/>
      <c r="S145" s="546"/>
      <c r="T145" s="546"/>
      <c r="U145" s="546"/>
      <c r="V145" s="546">
        <v>0</v>
      </c>
      <c r="W145" s="546">
        <v>0</v>
      </c>
      <c r="X145" s="546">
        <v>0</v>
      </c>
      <c r="Y145" s="546">
        <v>0</v>
      </c>
      <c r="Z145" s="546">
        <v>0</v>
      </c>
      <c r="AA145" s="546">
        <v>0</v>
      </c>
      <c r="AD145" s="546"/>
      <c r="AE145" s="531"/>
      <c r="AF145" s="531"/>
      <c r="AG145" s="531"/>
      <c r="AH145" s="531"/>
      <c r="AI145" s="531"/>
      <c r="AJ145" s="531"/>
      <c r="AK145" s="531"/>
      <c r="AL145" s="531"/>
      <c r="AO145" s="546"/>
      <c r="AP145" s="546"/>
      <c r="AQ145" s="546"/>
      <c r="AR145" s="546"/>
      <c r="AS145" s="546"/>
      <c r="AT145" s="546"/>
      <c r="AU145" s="546"/>
      <c r="AV145" s="546"/>
      <c r="AW145" s="546"/>
      <c r="AX145" s="546"/>
      <c r="AY145" s="546"/>
      <c r="AZ145" s="546"/>
      <c r="BA145" s="546"/>
      <c r="BB145" s="546"/>
      <c r="BC145" s="546"/>
      <c r="BF145" s="531" t="s">
        <v>37</v>
      </c>
    </row>
    <row r="146" spans="1:58" ht="15" customHeight="1">
      <c r="A146" s="531" t="str">
        <f>'EIA23 EQ Cost'!B92</f>
        <v>RSCCACV222</v>
      </c>
      <c r="B146" s="531" t="str">
        <f>'EIA23 EQ Cost'!C92</f>
        <v>Central AC Ver2.RSC.ELC.22</v>
      </c>
      <c r="C146" s="530" t="s">
        <v>32</v>
      </c>
      <c r="D146" s="531" t="s">
        <v>122</v>
      </c>
      <c r="E146" s="531" t="s">
        <v>124</v>
      </c>
      <c r="F146" s="547">
        <f>'EIA23 EQ Cost'!G92</f>
        <v>2022</v>
      </c>
      <c r="G146" s="587">
        <f>'EIA23 EQ Cost'!H92</f>
        <v>18</v>
      </c>
      <c r="H146" s="548">
        <f>'EIA23 EQ Cost'!J92</f>
        <v>7.6414557261782061</v>
      </c>
      <c r="I146" s="548">
        <f>'EIA23 EQ Cost'!K92*0.293</f>
        <v>4.1312999999999995</v>
      </c>
      <c r="J146" s="531">
        <v>1</v>
      </c>
      <c r="K146" s="531">
        <v>0.16</v>
      </c>
      <c r="L146" s="531">
        <v>0.16</v>
      </c>
      <c r="M146" s="531">
        <v>0.16</v>
      </c>
      <c r="N146" s="531">
        <v>0.16</v>
      </c>
      <c r="O146" s="531">
        <v>0.16</v>
      </c>
      <c r="P146" s="531"/>
      <c r="Q146" s="531">
        <v>0.18</v>
      </c>
      <c r="R146" s="546"/>
      <c r="S146" s="546"/>
      <c r="T146" s="597"/>
      <c r="U146" s="546"/>
      <c r="V146" s="546">
        <v>0</v>
      </c>
      <c r="W146" s="546">
        <v>0</v>
      </c>
      <c r="X146" s="546">
        <v>0</v>
      </c>
      <c r="Y146" s="546">
        <v>0</v>
      </c>
      <c r="Z146" s="546">
        <v>0</v>
      </c>
      <c r="AA146" s="546">
        <v>0</v>
      </c>
      <c r="AD146" s="546"/>
      <c r="AE146" s="531"/>
      <c r="AF146" s="531"/>
      <c r="AG146" s="531"/>
      <c r="AH146" s="531"/>
      <c r="AI146" s="531"/>
      <c r="AJ146" s="531"/>
      <c r="AK146" s="531"/>
      <c r="AL146" s="531"/>
      <c r="AO146" s="546"/>
      <c r="AP146" s="546"/>
      <c r="AQ146" s="546"/>
      <c r="AR146" s="546"/>
      <c r="AS146" s="546"/>
      <c r="AT146" s="546"/>
      <c r="AU146" s="546"/>
      <c r="AV146" s="546"/>
      <c r="AW146" s="546"/>
      <c r="AX146" s="546"/>
      <c r="AY146" s="546"/>
      <c r="AZ146" s="546"/>
      <c r="BA146" s="546"/>
      <c r="BB146" s="546"/>
      <c r="BC146" s="546"/>
      <c r="BF146" s="531" t="s">
        <v>37</v>
      </c>
    </row>
    <row r="147" spans="1:58" ht="15" customHeight="1">
      <c r="A147" s="531" t="str">
        <f>'EIA23 EQ Cost'!B93</f>
        <v>RSCCACV322</v>
      </c>
      <c r="B147" s="531" t="str">
        <f>'EIA23 EQ Cost'!C93</f>
        <v>Central AC Ver3.RSC.ELC.22</v>
      </c>
      <c r="C147" s="530" t="s">
        <v>32</v>
      </c>
      <c r="D147" s="531" t="s">
        <v>122</v>
      </c>
      <c r="E147" s="531" t="s">
        <v>124</v>
      </c>
      <c r="F147" s="547">
        <f>'EIA23 EQ Cost'!G93</f>
        <v>2022</v>
      </c>
      <c r="G147" s="587">
        <f>'EIA23 EQ Cost'!H93</f>
        <v>18</v>
      </c>
      <c r="H147" s="548">
        <f>'EIA23 EQ Cost'!J93</f>
        <v>7.9287284978390424</v>
      </c>
      <c r="I147" s="548">
        <f>'EIA23 EQ Cost'!K93*0.293</f>
        <v>4.3949999999999996</v>
      </c>
      <c r="J147" s="531">
        <v>1</v>
      </c>
      <c r="K147" s="531">
        <v>0.16</v>
      </c>
      <c r="L147" s="531">
        <v>0.16</v>
      </c>
      <c r="M147" s="531">
        <v>0.16</v>
      </c>
      <c r="N147" s="531">
        <v>0.16</v>
      </c>
      <c r="O147" s="531">
        <v>0.16</v>
      </c>
      <c r="P147" s="531"/>
      <c r="Q147" s="531">
        <v>0.18</v>
      </c>
      <c r="R147" s="546"/>
      <c r="S147" s="546"/>
      <c r="T147" s="546"/>
      <c r="U147" s="546"/>
      <c r="V147" s="546">
        <v>0</v>
      </c>
      <c r="W147" s="546">
        <v>0</v>
      </c>
      <c r="X147" s="546">
        <v>0</v>
      </c>
      <c r="Y147" s="546">
        <v>0</v>
      </c>
      <c r="Z147" s="546">
        <v>0</v>
      </c>
      <c r="AA147" s="546">
        <v>0</v>
      </c>
      <c r="AD147" s="546"/>
      <c r="AE147" s="531"/>
      <c r="AF147" s="531"/>
      <c r="AG147" s="531"/>
      <c r="AH147" s="531"/>
      <c r="AI147" s="531"/>
      <c r="AJ147" s="531"/>
      <c r="AK147" s="531"/>
      <c r="AL147" s="531"/>
      <c r="AO147" s="546"/>
      <c r="AP147" s="546"/>
      <c r="AQ147" s="546"/>
      <c r="AR147" s="546"/>
      <c r="AS147" s="546"/>
      <c r="AT147" s="546"/>
      <c r="AU147" s="546"/>
      <c r="AV147" s="546"/>
      <c r="AW147" s="546"/>
      <c r="AX147" s="546"/>
      <c r="AY147" s="546"/>
      <c r="AZ147" s="546"/>
      <c r="BA147" s="546"/>
      <c r="BB147" s="546"/>
      <c r="BC147" s="546"/>
      <c r="BF147" s="531" t="s">
        <v>37</v>
      </c>
    </row>
    <row r="148" spans="1:58" ht="15" customHeight="1">
      <c r="A148" s="531" t="str">
        <f>'EIA23 EQ Cost'!B94</f>
        <v>RSCCACV422</v>
      </c>
      <c r="B148" s="531" t="str">
        <f>'EIA23 EQ Cost'!C94</f>
        <v>Central AC Ver4.RSC.ELC.22</v>
      </c>
      <c r="C148" s="530" t="s">
        <v>32</v>
      </c>
      <c r="D148" s="531" t="s">
        <v>122</v>
      </c>
      <c r="E148" s="531" t="s">
        <v>124</v>
      </c>
      <c r="F148" s="547">
        <f>'EIA23 EQ Cost'!G94</f>
        <v>2022</v>
      </c>
      <c r="G148" s="587">
        <f>'EIA23 EQ Cost'!H94</f>
        <v>18</v>
      </c>
      <c r="H148" s="548">
        <f>'EIA23 EQ Cost'!J94</f>
        <v>8.5894558726589629</v>
      </c>
      <c r="I148" s="548">
        <f>'EIA23 EQ Cost'!K94*0.293</f>
        <v>4.9809999999999999</v>
      </c>
      <c r="J148" s="545"/>
      <c r="K148" s="545"/>
      <c r="L148" s="545" t="s">
        <v>127</v>
      </c>
      <c r="M148" s="545" t="s">
        <v>127</v>
      </c>
      <c r="N148" s="545" t="s">
        <v>127</v>
      </c>
      <c r="O148" s="545" t="s">
        <v>127</v>
      </c>
      <c r="P148" s="545"/>
      <c r="Q148" s="531">
        <v>0.18</v>
      </c>
      <c r="R148" s="597"/>
      <c r="S148" s="597"/>
      <c r="T148" s="597"/>
      <c r="U148" s="597"/>
      <c r="V148" s="546">
        <v>0</v>
      </c>
      <c r="W148" s="546">
        <v>0</v>
      </c>
      <c r="X148" s="546">
        <v>0</v>
      </c>
      <c r="Y148" s="546">
        <v>0</v>
      </c>
      <c r="Z148" s="546">
        <v>0</v>
      </c>
      <c r="AA148" s="546">
        <v>0</v>
      </c>
      <c r="AD148" s="546"/>
      <c r="AE148" s="531"/>
      <c r="AF148" s="531"/>
      <c r="AG148" s="531"/>
      <c r="AH148" s="531"/>
      <c r="AI148" s="531"/>
      <c r="AJ148" s="531"/>
      <c r="AK148" s="531"/>
      <c r="AL148" s="531"/>
      <c r="AO148" s="597"/>
      <c r="AP148" s="597"/>
      <c r="AQ148" s="597"/>
      <c r="AR148" s="597"/>
      <c r="AS148" s="597"/>
      <c r="AT148" s="597"/>
      <c r="AU148" s="597"/>
      <c r="AV148" s="597"/>
      <c r="AW148" s="597"/>
      <c r="AX148" s="597"/>
      <c r="AY148" s="597"/>
      <c r="AZ148" s="597"/>
      <c r="BA148" s="597"/>
      <c r="BB148" s="597"/>
      <c r="BC148" s="597"/>
      <c r="BF148" s="531" t="s">
        <v>37</v>
      </c>
    </row>
    <row r="149" spans="1:58" ht="15" customHeight="1">
      <c r="A149" s="531" t="str">
        <f>'EIA23 EQ Cost'!B95</f>
        <v>RSCCACV130</v>
      </c>
      <c r="B149" s="531" t="str">
        <f>'EIA23 EQ Cost'!C95</f>
        <v>Central AC Ver1.RSC.ELC.30</v>
      </c>
      <c r="C149" s="530" t="s">
        <v>32</v>
      </c>
      <c r="D149" s="531" t="s">
        <v>122</v>
      </c>
      <c r="E149" s="531" t="s">
        <v>124</v>
      </c>
      <c r="F149" s="547">
        <f>'EIA23 EQ Cost'!G95</f>
        <v>2030</v>
      </c>
      <c r="G149" s="587">
        <f>'EIA23 EQ Cost'!H95</f>
        <v>18</v>
      </c>
      <c r="H149" s="548">
        <f>'EIA23 EQ Cost'!J95</f>
        <v>7.6845466419273345</v>
      </c>
      <c r="I149" s="548">
        <f>'EIA23 EQ Cost'!K95*0.293</f>
        <v>4.2191999999999998</v>
      </c>
      <c r="J149" s="531">
        <v>1</v>
      </c>
      <c r="K149" s="531">
        <v>0.16</v>
      </c>
      <c r="L149" s="531">
        <v>0.16</v>
      </c>
      <c r="M149" s="531">
        <v>0.16</v>
      </c>
      <c r="N149" s="531">
        <v>0.16</v>
      </c>
      <c r="O149" s="531">
        <v>0.16</v>
      </c>
      <c r="P149" s="531"/>
      <c r="Q149" s="531">
        <v>0.18</v>
      </c>
      <c r="R149" s="546"/>
      <c r="S149" s="546"/>
      <c r="T149" s="546"/>
      <c r="U149" s="546"/>
      <c r="V149" s="546"/>
      <c r="W149" s="546"/>
      <c r="X149" s="546"/>
      <c r="Y149" s="546"/>
      <c r="Z149" s="546"/>
      <c r="AA149" s="546"/>
      <c r="AD149" s="546"/>
      <c r="AE149" s="531"/>
      <c r="AF149" s="531"/>
      <c r="AG149" s="531"/>
      <c r="AH149" s="531"/>
      <c r="AI149" s="531"/>
      <c r="AJ149" s="531"/>
      <c r="AK149" s="531"/>
      <c r="AL149" s="531"/>
      <c r="AO149" s="549"/>
      <c r="AP149" s="549"/>
      <c r="AQ149" s="549"/>
      <c r="AR149" s="549"/>
      <c r="AS149" s="549"/>
      <c r="AT149" s="549"/>
      <c r="AU149" s="549"/>
      <c r="AV149" s="549"/>
      <c r="AW149" s="549"/>
      <c r="AX149" s="549"/>
      <c r="AY149" s="549"/>
      <c r="AZ149" s="549"/>
      <c r="BA149" s="549"/>
      <c r="BB149" s="549"/>
      <c r="BC149" s="549"/>
      <c r="BF149" s="531" t="s">
        <v>37</v>
      </c>
    </row>
    <row r="150" spans="1:58" ht="15" customHeight="1">
      <c r="A150" s="531" t="str">
        <f>'EIA23 EQ Cost'!B96</f>
        <v>RSCCACV230</v>
      </c>
      <c r="B150" s="531" t="str">
        <f>'EIA23 EQ Cost'!C96</f>
        <v>Central AC Ver2.RSC.ELC.30</v>
      </c>
      <c r="C150" s="530" t="s">
        <v>32</v>
      </c>
      <c r="D150" s="531" t="s">
        <v>122</v>
      </c>
      <c r="E150" s="531" t="s">
        <v>124</v>
      </c>
      <c r="F150" s="547">
        <f>'EIA23 EQ Cost'!G96</f>
        <v>2030</v>
      </c>
      <c r="G150" s="587">
        <f>'EIA23 EQ Cost'!H96</f>
        <v>18</v>
      </c>
      <c r="H150" s="548">
        <f>'EIA23 EQ Cost'!J96</f>
        <v>8.5894558726589629</v>
      </c>
      <c r="I150" s="548">
        <f>'EIA23 EQ Cost'!K96*0.293</f>
        <v>4.9809999999999999</v>
      </c>
      <c r="J150" s="531">
        <v>1</v>
      </c>
      <c r="K150" s="531">
        <v>0.16</v>
      </c>
      <c r="L150" s="531">
        <v>0.16</v>
      </c>
      <c r="M150" s="531">
        <v>0.16</v>
      </c>
      <c r="N150" s="531">
        <v>0.16</v>
      </c>
      <c r="O150" s="531">
        <v>0.16</v>
      </c>
      <c r="P150" s="531"/>
      <c r="Q150" s="531">
        <v>0.18</v>
      </c>
      <c r="R150" s="546"/>
      <c r="S150" s="546"/>
      <c r="T150" s="546"/>
      <c r="U150" s="546"/>
      <c r="V150" s="546"/>
      <c r="W150" s="546"/>
      <c r="X150" s="546"/>
      <c r="Y150" s="546"/>
      <c r="Z150" s="546"/>
      <c r="AA150" s="546"/>
      <c r="AD150" s="546"/>
      <c r="AE150" s="531"/>
      <c r="AF150" s="531"/>
      <c r="AG150" s="531"/>
      <c r="AH150" s="531"/>
      <c r="AI150" s="531"/>
      <c r="AJ150" s="531"/>
      <c r="AK150" s="531"/>
      <c r="AL150" s="531"/>
      <c r="AO150" s="549"/>
      <c r="AP150" s="549"/>
      <c r="AQ150" s="549"/>
      <c r="AR150" s="549"/>
      <c r="AS150" s="549"/>
      <c r="AT150" s="549"/>
      <c r="AU150" s="549"/>
      <c r="AV150" s="549"/>
      <c r="AW150" s="549"/>
      <c r="AX150" s="549"/>
      <c r="AY150" s="549"/>
      <c r="AZ150" s="549"/>
      <c r="BA150" s="549"/>
      <c r="BB150" s="549"/>
      <c r="BC150" s="549"/>
      <c r="BF150" s="531" t="s">
        <v>37</v>
      </c>
    </row>
    <row r="151" spans="1:58" ht="15" customHeight="1">
      <c r="A151" s="533" t="str">
        <f>'EIA23 EQ Cost'!B97</f>
        <v>*Portable AC Units (EIA EQ: Residential Portable Air Conditioners Ver1 Base, Ver2 Energy Star, Ver3 Typical Short, Ver4 Typical Long, Ver5 High Short Ver6 High Long)</v>
      </c>
      <c r="B151" s="532"/>
      <c r="C151" s="533"/>
      <c r="D151" s="532"/>
      <c r="E151" s="532"/>
      <c r="F151" s="586"/>
      <c r="G151" s="588"/>
      <c r="H151" s="598"/>
      <c r="I151" s="598"/>
      <c r="J151" s="532"/>
      <c r="K151" s="532"/>
      <c r="L151" s="532"/>
      <c r="M151" s="532"/>
      <c r="N151" s="532"/>
      <c r="O151" s="532"/>
      <c r="P151" s="532"/>
      <c r="Q151" s="532"/>
      <c r="R151" s="558"/>
      <c r="S151" s="558"/>
      <c r="T151" s="558"/>
      <c r="U151" s="558"/>
      <c r="V151" s="558"/>
      <c r="W151" s="558"/>
      <c r="X151" s="558"/>
      <c r="Y151" s="558"/>
      <c r="Z151" s="558"/>
      <c r="AA151" s="558"/>
      <c r="AD151" s="558"/>
      <c r="AE151" s="532"/>
      <c r="AF151" s="532"/>
      <c r="AG151" s="532"/>
      <c r="AH151" s="532"/>
      <c r="AI151" s="532"/>
      <c r="AJ151" s="532"/>
      <c r="AK151" s="532"/>
      <c r="AL151" s="532"/>
      <c r="AO151" s="558"/>
      <c r="AP151" s="558"/>
      <c r="AQ151" s="558"/>
      <c r="AR151" s="558"/>
      <c r="AS151" s="558"/>
      <c r="AT151" s="558"/>
      <c r="AU151" s="558"/>
      <c r="AV151" s="558"/>
      <c r="AW151" s="558"/>
      <c r="AX151" s="558"/>
      <c r="AY151" s="558"/>
      <c r="AZ151" s="558"/>
      <c r="BA151" s="558"/>
      <c r="BB151" s="558"/>
      <c r="BC151" s="558"/>
      <c r="BF151" s="533" t="str">
        <f>A151</f>
        <v>*Portable AC Units (EIA EQ: Residential Portable Air Conditioners Ver1 Base, Ver2 Energy Star, Ver3 Typical Short, Ver4 Typical Long, Ver5 High Short Ver6 High Long)</v>
      </c>
    </row>
    <row r="152" spans="1:58" ht="15" customHeight="1">
      <c r="A152" s="531" t="str">
        <f>'EIA23 EQ Cost'!B98</f>
        <v>RSCCACP115</v>
      </c>
      <c r="B152" s="531" t="str">
        <f>'EIA23 EQ Cost'!C98</f>
        <v>Portable AC Ver1.RSC.ELC.15</v>
      </c>
      <c r="C152" s="530" t="s">
        <v>32</v>
      </c>
      <c r="D152" s="531" t="s">
        <v>122</v>
      </c>
      <c r="E152" s="531" t="s">
        <v>124</v>
      </c>
      <c r="F152" s="547">
        <f>'EIA23 EQ Cost'!G98</f>
        <v>2015</v>
      </c>
      <c r="G152" s="587">
        <f>'EIA23 EQ Cost'!H98</f>
        <v>9.5</v>
      </c>
      <c r="H152" s="548">
        <f>'EIA23 EQ Cost'!J98</f>
        <v>5.4842983680704851</v>
      </c>
      <c r="I152" s="548">
        <f>'EIA23 EQ Cost'!K98*0.293</f>
        <v>1.6407999999999998</v>
      </c>
      <c r="J152" s="531">
        <v>1</v>
      </c>
      <c r="K152" s="531">
        <v>0.16</v>
      </c>
      <c r="L152" s="531">
        <v>0.16</v>
      </c>
      <c r="M152" s="531">
        <v>0.16</v>
      </c>
      <c r="N152" s="531">
        <v>0.16</v>
      </c>
      <c r="O152" s="531">
        <v>0.16</v>
      </c>
      <c r="P152" s="531"/>
      <c r="Q152" s="531">
        <v>0.45</v>
      </c>
      <c r="R152" s="546"/>
      <c r="S152" s="546"/>
      <c r="T152" s="546">
        <v>0</v>
      </c>
      <c r="U152" s="546">
        <v>0</v>
      </c>
      <c r="V152" s="546">
        <v>0</v>
      </c>
      <c r="W152" s="546">
        <v>0</v>
      </c>
      <c r="X152" s="546">
        <v>0</v>
      </c>
      <c r="Y152" s="546">
        <v>0</v>
      </c>
      <c r="Z152" s="546">
        <v>0</v>
      </c>
      <c r="AA152" s="546">
        <v>0</v>
      </c>
      <c r="AD152" s="546"/>
      <c r="AE152" s="531"/>
      <c r="AF152" s="531"/>
      <c r="AG152" s="531"/>
      <c r="AH152" s="531"/>
      <c r="AI152" s="531"/>
      <c r="AJ152" s="531"/>
      <c r="AK152" s="531"/>
      <c r="AL152" s="531"/>
      <c r="AO152" s="546"/>
      <c r="AP152" s="546"/>
      <c r="AQ152" s="546"/>
      <c r="AR152" s="546"/>
      <c r="AS152" s="546"/>
      <c r="AT152" s="546"/>
      <c r="AU152" s="546"/>
      <c r="AV152" s="546"/>
      <c r="AW152" s="546"/>
      <c r="AX152" s="546"/>
      <c r="AY152" s="546"/>
      <c r="AZ152" s="546"/>
      <c r="BA152" s="546"/>
      <c r="BB152" s="546"/>
      <c r="BC152" s="546"/>
      <c r="BF152" s="531" t="s">
        <v>37</v>
      </c>
    </row>
    <row r="153" spans="1:58" ht="15" customHeight="1">
      <c r="A153" s="531" t="str">
        <f>'EIA23 EQ Cost'!B99</f>
        <v>RSCCACP120</v>
      </c>
      <c r="B153" s="531" t="str">
        <f>'EIA23 EQ Cost'!C99</f>
        <v>Portable AC Ver1.RSC.ELC.20</v>
      </c>
      <c r="C153" s="530" t="s">
        <v>32</v>
      </c>
      <c r="D153" s="531" t="s">
        <v>122</v>
      </c>
      <c r="E153" s="531" t="s">
        <v>124</v>
      </c>
      <c r="F153" s="547">
        <f>'EIA23 EQ Cost'!G99</f>
        <v>2020</v>
      </c>
      <c r="G153" s="587">
        <f>'EIA23 EQ Cost'!H99</f>
        <v>9.5</v>
      </c>
      <c r="H153" s="548">
        <f>'EIA23 EQ Cost'!J99</f>
        <v>5.4842983680704851</v>
      </c>
      <c r="I153" s="548">
        <f>'EIA23 EQ Cost'!K99*0.293</f>
        <v>1.6407999999999998</v>
      </c>
      <c r="J153" s="531">
        <v>1</v>
      </c>
      <c r="K153" s="531">
        <v>0.16</v>
      </c>
      <c r="L153" s="531">
        <v>0.16</v>
      </c>
      <c r="M153" s="531">
        <v>0.16</v>
      </c>
      <c r="N153" s="531">
        <v>0.16</v>
      </c>
      <c r="O153" s="531">
        <v>0.16</v>
      </c>
      <c r="P153" s="531"/>
      <c r="Q153" s="531">
        <v>0.45</v>
      </c>
      <c r="R153" s="546"/>
      <c r="S153" s="546"/>
      <c r="T153" s="546"/>
      <c r="U153" s="546">
        <v>0</v>
      </c>
      <c r="V153" s="546">
        <v>0</v>
      </c>
      <c r="W153" s="546">
        <v>0</v>
      </c>
      <c r="X153" s="546">
        <v>0</v>
      </c>
      <c r="Y153" s="546">
        <v>0</v>
      </c>
      <c r="Z153" s="546">
        <v>0</v>
      </c>
      <c r="AA153" s="546">
        <v>0</v>
      </c>
      <c r="AD153" s="546"/>
      <c r="AE153" s="531"/>
      <c r="AF153" s="531"/>
      <c r="AG153" s="531"/>
      <c r="AH153" s="531"/>
      <c r="AI153" s="531"/>
      <c r="AJ153" s="531"/>
      <c r="AK153" s="531"/>
      <c r="AL153" s="531"/>
      <c r="AO153" s="546"/>
      <c r="AP153" s="546"/>
      <c r="AQ153" s="546"/>
      <c r="AR153" s="546"/>
      <c r="AS153" s="546"/>
      <c r="AT153" s="546"/>
      <c r="AU153" s="546"/>
      <c r="AV153" s="546"/>
      <c r="AW153" s="546"/>
      <c r="AX153" s="546"/>
      <c r="AY153" s="546"/>
      <c r="AZ153" s="546"/>
      <c r="BA153" s="546"/>
      <c r="BB153" s="546"/>
      <c r="BC153" s="546"/>
      <c r="BF153" s="531" t="s">
        <v>37</v>
      </c>
    </row>
    <row r="154" spans="1:58" ht="15" customHeight="1">
      <c r="A154" s="531" t="str">
        <f>'EIA23 EQ Cost'!B100</f>
        <v>RSCCACP122</v>
      </c>
      <c r="B154" s="531" t="str">
        <f>'EIA23 EQ Cost'!C100</f>
        <v>Portable AC Ver1.RSC.ELC.22</v>
      </c>
      <c r="C154" s="530" t="s">
        <v>32</v>
      </c>
      <c r="D154" s="531" t="s">
        <v>122</v>
      </c>
      <c r="E154" s="531" t="s">
        <v>124</v>
      </c>
      <c r="F154" s="547">
        <f>'EIA23 EQ Cost'!G100</f>
        <v>2022</v>
      </c>
      <c r="G154" s="587">
        <f>'EIA23 EQ Cost'!H100</f>
        <v>9.5</v>
      </c>
      <c r="H154" s="548">
        <f>'EIA23 EQ Cost'!J100</f>
        <v>5.4842983680704851</v>
      </c>
      <c r="I154" s="548">
        <f>'EIA23 EQ Cost'!K100*0.293</f>
        <v>1.6407999999999998</v>
      </c>
      <c r="J154" s="531">
        <v>1</v>
      </c>
      <c r="K154" s="531">
        <v>0.16</v>
      </c>
      <c r="L154" s="531">
        <v>0.16</v>
      </c>
      <c r="M154" s="531">
        <v>0.16</v>
      </c>
      <c r="N154" s="531">
        <v>0.16</v>
      </c>
      <c r="O154" s="531">
        <v>0.16</v>
      </c>
      <c r="P154" s="545"/>
      <c r="Q154" s="531">
        <v>0.45</v>
      </c>
      <c r="R154" s="597"/>
      <c r="S154" s="597"/>
      <c r="T154" s="546"/>
      <c r="U154" s="546"/>
      <c r="V154" s="546">
        <v>0</v>
      </c>
      <c r="W154" s="546">
        <v>0</v>
      </c>
      <c r="X154" s="546">
        <v>0</v>
      </c>
      <c r="Y154" s="546">
        <v>0</v>
      </c>
      <c r="Z154" s="546">
        <v>0</v>
      </c>
      <c r="AA154" s="546">
        <v>0</v>
      </c>
      <c r="AD154" s="546"/>
      <c r="AE154" s="531"/>
      <c r="AF154" s="531"/>
      <c r="AG154" s="531"/>
      <c r="AH154" s="531"/>
      <c r="AI154" s="531"/>
      <c r="AJ154" s="531"/>
      <c r="AK154" s="531"/>
      <c r="AL154" s="531"/>
      <c r="AM154" s="531"/>
      <c r="AO154" s="597"/>
      <c r="AP154" s="597"/>
      <c r="AQ154" s="597"/>
      <c r="AR154" s="597"/>
      <c r="AS154" s="597"/>
      <c r="AT154" s="597"/>
      <c r="AU154" s="597"/>
      <c r="AV154" s="597"/>
      <c r="AW154" s="597"/>
      <c r="AX154" s="597"/>
      <c r="AY154" s="597"/>
      <c r="AZ154" s="597"/>
      <c r="BA154" s="597"/>
      <c r="BB154" s="597"/>
      <c r="BC154" s="597"/>
      <c r="BF154" s="531" t="s">
        <v>37</v>
      </c>
    </row>
    <row r="155" spans="1:58" ht="15" customHeight="1">
      <c r="A155" s="531" t="str">
        <f>'EIA23 EQ Cost'!B101</f>
        <v>RSCCACP222</v>
      </c>
      <c r="B155" s="531" t="str">
        <f>'EIA23 EQ Cost'!C101</f>
        <v>Portable AC Ver2.RSC.ELC.22</v>
      </c>
      <c r="C155" s="530" t="s">
        <v>32</v>
      </c>
      <c r="D155" s="531" t="s">
        <v>122</v>
      </c>
      <c r="E155" s="531" t="s">
        <v>124</v>
      </c>
      <c r="F155" s="547">
        <f>'EIA23 EQ Cost'!G101</f>
        <v>2022</v>
      </c>
      <c r="G155" s="587">
        <f>'EIA23 EQ Cost'!H101</f>
        <v>9.5</v>
      </c>
      <c r="H155" s="548">
        <f>'EIA23 EQ Cost'!J101</f>
        <v>6.3461166830529896</v>
      </c>
      <c r="I155" s="548">
        <f>'EIA23 EQ Cost'!K101*0.293</f>
        <v>2.2267999999999999</v>
      </c>
      <c r="J155" s="531">
        <v>1</v>
      </c>
      <c r="K155" s="531">
        <v>0.16</v>
      </c>
      <c r="L155" s="531">
        <v>0.16</v>
      </c>
      <c r="M155" s="531">
        <v>0.16</v>
      </c>
      <c r="N155" s="531">
        <v>0.16</v>
      </c>
      <c r="O155" s="531">
        <v>0.16</v>
      </c>
      <c r="P155" s="531"/>
      <c r="Q155" s="531">
        <v>0.45</v>
      </c>
      <c r="R155" s="546"/>
      <c r="S155" s="546"/>
      <c r="T155" s="597"/>
      <c r="U155" s="546"/>
      <c r="V155" s="546">
        <v>0</v>
      </c>
      <c r="W155" s="546">
        <v>0</v>
      </c>
      <c r="X155" s="546">
        <v>0</v>
      </c>
      <c r="Y155" s="546">
        <v>0</v>
      </c>
      <c r="Z155" s="546">
        <v>0</v>
      </c>
      <c r="AA155" s="546">
        <v>0</v>
      </c>
      <c r="AD155" s="546"/>
      <c r="AE155" s="531"/>
      <c r="AF155" s="531"/>
      <c r="AG155" s="531"/>
      <c r="AH155" s="531"/>
      <c r="AI155" s="531"/>
      <c r="AJ155" s="531"/>
      <c r="AK155" s="531"/>
      <c r="AL155" s="531"/>
      <c r="AO155" s="549"/>
      <c r="AP155" s="549"/>
      <c r="AQ155" s="549"/>
      <c r="AR155" s="549"/>
      <c r="AS155" s="549"/>
      <c r="AT155" s="549"/>
      <c r="AU155" s="549"/>
      <c r="AV155" s="549"/>
      <c r="AW155" s="549"/>
      <c r="AX155" s="549"/>
      <c r="AY155" s="549"/>
      <c r="AZ155" s="549"/>
      <c r="BA155" s="549"/>
      <c r="BB155" s="549"/>
      <c r="BC155" s="549"/>
      <c r="BF155" s="531" t="s">
        <v>37</v>
      </c>
    </row>
    <row r="156" spans="1:58" ht="15" customHeight="1">
      <c r="A156" s="531" t="str">
        <f>'EIA23 EQ Cost'!B102</f>
        <v>RSCCACP125</v>
      </c>
      <c r="B156" s="531" t="str">
        <f>'EIA23 EQ Cost'!C102</f>
        <v>Portable AC Ver1.RSC.ELC.25</v>
      </c>
      <c r="C156" s="530" t="s">
        <v>32</v>
      </c>
      <c r="D156" s="531" t="s">
        <v>122</v>
      </c>
      <c r="E156" s="531" t="s">
        <v>124</v>
      </c>
      <c r="F156" s="547">
        <f>'EIA23 EQ Cost'!G102</f>
        <v>2025</v>
      </c>
      <c r="G156" s="587">
        <f>'EIA23 EQ Cost'!H102</f>
        <v>9.5</v>
      </c>
      <c r="H156" s="548">
        <f>'EIA23 EQ Cost'!J102</f>
        <v>5.9543810853336687</v>
      </c>
      <c r="I156" s="548">
        <f>'EIA23 EQ Cost'!K102*0.293</f>
        <v>1.9630999999999998</v>
      </c>
      <c r="J156" s="531">
        <v>1</v>
      </c>
      <c r="K156" s="531">
        <v>0.16</v>
      </c>
      <c r="L156" s="531">
        <v>0.16</v>
      </c>
      <c r="M156" s="531">
        <v>0.16</v>
      </c>
      <c r="N156" s="531">
        <v>0.16</v>
      </c>
      <c r="O156" s="531">
        <v>0.16</v>
      </c>
      <c r="P156" s="531"/>
      <c r="Q156" s="531">
        <v>0.45</v>
      </c>
      <c r="R156" s="546"/>
      <c r="S156" s="546"/>
      <c r="T156" s="597"/>
      <c r="U156" s="546"/>
      <c r="V156" s="546"/>
      <c r="W156" s="546"/>
      <c r="X156" s="546"/>
      <c r="Y156" s="546"/>
      <c r="Z156" s="546"/>
      <c r="AA156" s="546"/>
      <c r="AD156" s="546"/>
      <c r="AE156" s="531"/>
      <c r="AF156" s="531"/>
      <c r="AG156" s="531"/>
      <c r="AH156" s="531"/>
      <c r="AI156" s="531"/>
      <c r="AJ156" s="531"/>
      <c r="AK156" s="531"/>
      <c r="AL156" s="531"/>
      <c r="AO156" s="549"/>
      <c r="AP156" s="549"/>
      <c r="AQ156" s="549"/>
      <c r="AR156" s="549"/>
      <c r="AS156" s="549"/>
      <c r="AT156" s="549"/>
      <c r="AU156" s="549"/>
      <c r="AV156" s="549"/>
      <c r="AW156" s="549"/>
      <c r="AX156" s="549"/>
      <c r="AY156" s="549"/>
      <c r="AZ156" s="549"/>
      <c r="BA156" s="549"/>
      <c r="BB156" s="549"/>
      <c r="BC156" s="549"/>
      <c r="BF156" s="531" t="s">
        <v>37</v>
      </c>
    </row>
    <row r="157" spans="1:58" ht="15" customHeight="1">
      <c r="A157" s="531" t="str">
        <f>'EIA23 EQ Cost'!B103</f>
        <v>RSCCACP225</v>
      </c>
      <c r="B157" s="531" t="str">
        <f>'EIA23 EQ Cost'!C103</f>
        <v>Portable AC Ver2.RSC.ELC.25</v>
      </c>
      <c r="C157" s="530" t="s">
        <v>32</v>
      </c>
      <c r="D157" s="531" t="s">
        <v>122</v>
      </c>
      <c r="E157" s="531" t="s">
        <v>124</v>
      </c>
      <c r="F157" s="547">
        <f>'EIA23 EQ Cost'!G103</f>
        <v>2025</v>
      </c>
      <c r="G157" s="587">
        <f>'EIA23 EQ Cost'!H103</f>
        <v>9.5</v>
      </c>
      <c r="H157" s="548">
        <f>'EIA23 EQ Cost'!J103</f>
        <v>6.3461166830529896</v>
      </c>
      <c r="I157" s="548">
        <f>'EIA23 EQ Cost'!K103*0.293</f>
        <v>2.2267999999999999</v>
      </c>
      <c r="J157" s="531">
        <v>1</v>
      </c>
      <c r="K157" s="531">
        <v>0.16</v>
      </c>
      <c r="L157" s="531">
        <v>0.16</v>
      </c>
      <c r="M157" s="531">
        <v>0.16</v>
      </c>
      <c r="N157" s="531">
        <v>0.16</v>
      </c>
      <c r="O157" s="531">
        <v>0.16</v>
      </c>
      <c r="P157" s="531"/>
      <c r="Q157" s="531">
        <v>0.45</v>
      </c>
      <c r="R157" s="546"/>
      <c r="S157" s="546"/>
      <c r="T157" s="546"/>
      <c r="U157" s="546"/>
      <c r="V157" s="546"/>
      <c r="W157" s="546"/>
      <c r="X157" s="546"/>
      <c r="Y157" s="546"/>
      <c r="Z157" s="546"/>
      <c r="AA157" s="546"/>
      <c r="AD157" s="546"/>
      <c r="AE157" s="531"/>
      <c r="AF157" s="531"/>
      <c r="AG157" s="531"/>
      <c r="AH157" s="531"/>
      <c r="AI157" s="531"/>
      <c r="AJ157" s="531"/>
      <c r="AK157" s="531"/>
      <c r="AL157" s="531"/>
      <c r="AO157" s="546"/>
      <c r="AP157" s="546"/>
      <c r="AQ157" s="546"/>
      <c r="AR157" s="546"/>
      <c r="AS157" s="546"/>
      <c r="AT157" s="546"/>
      <c r="AU157" s="546"/>
      <c r="AV157" s="546"/>
      <c r="AW157" s="546"/>
      <c r="AX157" s="546"/>
      <c r="AY157" s="546"/>
      <c r="AZ157" s="546"/>
      <c r="BA157" s="546"/>
      <c r="BB157" s="546"/>
      <c r="BC157" s="546"/>
      <c r="BF157" s="531" t="s">
        <v>37</v>
      </c>
    </row>
    <row r="158" spans="1:58" ht="15" customHeight="1">
      <c r="A158" s="530" t="str">
        <f>'EIA23 EQ Cost'!B119</f>
        <v xml:space="preserve"> *Natural Gas Heat Pumps (EIA EQ: Residential Natural Gas Heat Pumps ver1 short, ver2 long)</v>
      </c>
      <c r="B158" s="531"/>
      <c r="C158" s="530"/>
      <c r="D158" s="531"/>
      <c r="E158" s="531"/>
      <c r="F158" s="547"/>
      <c r="G158" s="587"/>
      <c r="H158" s="548"/>
      <c r="I158" s="548"/>
      <c r="J158" s="531"/>
      <c r="K158" s="531"/>
      <c r="L158" s="531"/>
      <c r="M158" s="531"/>
      <c r="N158" s="531"/>
      <c r="O158" s="531"/>
      <c r="P158" s="531"/>
      <c r="Q158" s="531"/>
      <c r="R158" s="546"/>
      <c r="S158" s="546"/>
      <c r="T158" s="546"/>
      <c r="U158" s="546"/>
      <c r="V158" s="546"/>
      <c r="W158" s="546"/>
      <c r="X158" s="546"/>
      <c r="Y158" s="546"/>
      <c r="Z158" s="546"/>
      <c r="AA158" s="546"/>
      <c r="AD158" s="546"/>
      <c r="AE158" s="531"/>
      <c r="AF158" s="531"/>
      <c r="AG158" s="531"/>
      <c r="AH158" s="531"/>
      <c r="AI158" s="531"/>
      <c r="AJ158" s="531"/>
      <c r="AK158" s="531"/>
      <c r="AL158" s="531"/>
      <c r="AO158" s="546"/>
      <c r="AP158" s="546"/>
      <c r="AQ158" s="546"/>
      <c r="AR158" s="546"/>
      <c r="AS158" s="546"/>
      <c r="AT158" s="546"/>
      <c r="AU158" s="546"/>
      <c r="AV158" s="546"/>
      <c r="AW158" s="546"/>
      <c r="AX158" s="546"/>
      <c r="AY158" s="546"/>
      <c r="AZ158" s="546"/>
      <c r="BA158" s="546"/>
      <c r="BB158" s="546"/>
      <c r="BC158" s="546"/>
      <c r="BF158" s="531" t="s">
        <v>37</v>
      </c>
    </row>
    <row r="159" spans="1:58" ht="15" customHeight="1">
      <c r="A159" s="533" t="str">
        <f>'EIA23 EQ Cost'!B120</f>
        <v>*Water Heating</v>
      </c>
      <c r="B159" s="532"/>
      <c r="C159" s="533"/>
      <c r="D159" s="532"/>
      <c r="E159" s="532"/>
      <c r="F159" s="586"/>
      <c r="G159" s="588"/>
      <c r="H159" s="598"/>
      <c r="I159" s="598"/>
      <c r="J159" s="532"/>
      <c r="K159" s="532"/>
      <c r="L159" s="532"/>
      <c r="M159" s="532"/>
      <c r="N159" s="532"/>
      <c r="O159" s="532"/>
      <c r="P159" s="532"/>
      <c r="Q159" s="532"/>
      <c r="R159" s="558"/>
      <c r="S159" s="558"/>
      <c r="T159" s="558"/>
      <c r="U159" s="558"/>
      <c r="V159" s="558"/>
      <c r="W159" s="558"/>
      <c r="X159" s="558"/>
      <c r="Y159" s="558"/>
      <c r="Z159" s="558"/>
      <c r="AA159" s="558"/>
      <c r="AD159" s="558"/>
      <c r="AE159" s="532"/>
      <c r="AF159" s="532"/>
      <c r="AG159" s="532"/>
      <c r="AH159" s="532"/>
      <c r="AI159" s="532"/>
      <c r="AJ159" s="532"/>
      <c r="AK159" s="532"/>
      <c r="AL159" s="532"/>
      <c r="AM159" s="532"/>
      <c r="AO159" s="558"/>
      <c r="AP159" s="558"/>
      <c r="AQ159" s="558"/>
      <c r="AR159" s="558"/>
      <c r="AS159" s="558"/>
      <c r="AT159" s="558"/>
      <c r="AU159" s="558"/>
      <c r="AV159" s="558"/>
      <c r="AW159" s="558"/>
      <c r="AX159" s="558"/>
      <c r="AY159" s="558"/>
      <c r="AZ159" s="558"/>
      <c r="BA159" s="558"/>
      <c r="BB159" s="558"/>
      <c r="BC159" s="558"/>
      <c r="BF159" s="533" t="str">
        <f>A159</f>
        <v>*Water Heating</v>
      </c>
    </row>
    <row r="160" spans="1:58" ht="15" customHeight="1">
      <c r="A160" s="533" t="str">
        <f>'EIA23 EQ Cost'!B121</f>
        <v>*Natural Gas Storage Water Heater</v>
      </c>
      <c r="B160" s="532"/>
      <c r="C160" s="533"/>
      <c r="D160" s="532"/>
      <c r="E160" s="532"/>
      <c r="F160" s="586"/>
      <c r="G160" s="588"/>
      <c r="H160" s="598"/>
      <c r="I160" s="598"/>
      <c r="J160" s="532"/>
      <c r="K160" s="532"/>
      <c r="L160" s="532"/>
      <c r="M160" s="532"/>
      <c r="N160" s="532"/>
      <c r="O160" s="532"/>
      <c r="P160" s="532"/>
      <c r="Q160" s="532"/>
      <c r="R160" s="558"/>
      <c r="S160" s="558"/>
      <c r="T160" s="558"/>
      <c r="U160" s="558"/>
      <c r="V160" s="558"/>
      <c r="W160" s="558"/>
      <c r="X160" s="558"/>
      <c r="Y160" s="558"/>
      <c r="Z160" s="558"/>
      <c r="AA160" s="558"/>
      <c r="AD160" s="558"/>
      <c r="AE160" s="532"/>
      <c r="AF160" s="532"/>
      <c r="AG160" s="532"/>
      <c r="AH160" s="532"/>
      <c r="AI160" s="532"/>
      <c r="AJ160" s="532"/>
      <c r="AK160" s="532"/>
      <c r="AL160" s="532"/>
      <c r="AM160" s="532"/>
      <c r="AO160" s="558"/>
      <c r="AP160" s="558"/>
      <c r="AQ160" s="558"/>
      <c r="AR160" s="558"/>
      <c r="AS160" s="558"/>
      <c r="AT160" s="558"/>
      <c r="AU160" s="558"/>
      <c r="AV160" s="558"/>
      <c r="AW160" s="558"/>
      <c r="AX160" s="558"/>
      <c r="AY160" s="558"/>
      <c r="AZ160" s="558"/>
      <c r="BA160" s="558"/>
      <c r="BB160" s="558"/>
      <c r="BC160" s="558"/>
      <c r="BF160" s="533" t="str">
        <f>A160</f>
        <v>*Natural Gas Storage Water Heater</v>
      </c>
    </row>
    <row r="161" spans="1:58" ht="15" customHeight="1">
      <c r="A161" s="531" t="str">
        <f>'EIA23 EQ Cost'!B122</f>
        <v>RWHNGSV115</v>
      </c>
      <c r="B161" s="531" t="str">
        <f>'EIA23 EQ Cost'!C122</f>
        <v>Natural Gas Ver1.RWH.NGA.15</v>
      </c>
      <c r="C161" s="530" t="s">
        <v>32</v>
      </c>
      <c r="D161" s="531" t="s">
        <v>125</v>
      </c>
      <c r="E161" s="531" t="s">
        <v>150</v>
      </c>
      <c r="F161" s="547">
        <f>'EIA23 EQ Cost'!G122</f>
        <v>2015</v>
      </c>
      <c r="G161" s="587">
        <f>'EIA23 EQ Cost'!H122</f>
        <v>13</v>
      </c>
      <c r="H161" s="548">
        <f>'EIA23 EQ Cost'!J122</f>
        <v>12.023468201901652</v>
      </c>
      <c r="I161" s="548">
        <f>'EIA23 EQ Cost'!K122</f>
        <v>0.57999999999999996</v>
      </c>
      <c r="J161" s="531">
        <v>1</v>
      </c>
      <c r="K161" s="531">
        <v>0.16</v>
      </c>
      <c r="L161" s="531">
        <v>0.16</v>
      </c>
      <c r="M161" s="531">
        <v>0.16</v>
      </c>
      <c r="N161" s="531">
        <v>0.16</v>
      </c>
      <c r="O161" s="531">
        <v>0.16</v>
      </c>
      <c r="P161" s="531"/>
      <c r="Q161" s="531">
        <v>0.18</v>
      </c>
      <c r="R161" s="546"/>
      <c r="S161" s="546"/>
      <c r="T161" s="546">
        <v>0</v>
      </c>
      <c r="U161" s="546">
        <v>0</v>
      </c>
      <c r="V161" s="546">
        <v>0</v>
      </c>
      <c r="W161" s="546">
        <v>0</v>
      </c>
      <c r="X161" s="546">
        <v>0</v>
      </c>
      <c r="Y161" s="546">
        <v>0</v>
      </c>
      <c r="Z161" s="546">
        <v>0</v>
      </c>
      <c r="AA161" s="546">
        <v>0</v>
      </c>
      <c r="AD161" s="546"/>
      <c r="AE161" s="531"/>
      <c r="AF161" s="531"/>
      <c r="AG161" s="531"/>
      <c r="AH161" s="531"/>
      <c r="AI161" s="531"/>
      <c r="AJ161" s="531"/>
      <c r="AK161" s="531"/>
      <c r="AL161" s="531"/>
      <c r="AM161" s="531"/>
      <c r="AO161" s="546"/>
      <c r="AP161" s="546"/>
      <c r="AQ161" s="546"/>
      <c r="AR161" s="546"/>
      <c r="AS161" s="546"/>
      <c r="AT161" s="546"/>
      <c r="AU161" s="546"/>
      <c r="AV161" s="546"/>
      <c r="AW161" s="546"/>
      <c r="AX161" s="546"/>
      <c r="AY161" s="546"/>
      <c r="AZ161" s="546"/>
      <c r="BA161" s="546"/>
      <c r="BB161" s="546"/>
      <c r="BC161" s="546"/>
      <c r="BF161" s="531" t="s">
        <v>37</v>
      </c>
    </row>
    <row r="162" spans="1:58" ht="15" customHeight="1">
      <c r="A162" s="531" t="str">
        <f>'EIA23 EQ Cost'!B123</f>
        <v>RWHNGSV120</v>
      </c>
      <c r="B162" s="531" t="str">
        <f>'EIA23 EQ Cost'!C123</f>
        <v>Natural Gas Ver1.RWH.NGA.20</v>
      </c>
      <c r="C162" s="530" t="s">
        <v>32</v>
      </c>
      <c r="D162" s="531" t="s">
        <v>125</v>
      </c>
      <c r="E162" s="531" t="s">
        <v>150</v>
      </c>
      <c r="F162" s="547">
        <f>'EIA23 EQ Cost'!G123</f>
        <v>2020</v>
      </c>
      <c r="G162" s="587">
        <f>'EIA23 EQ Cost'!H123</f>
        <v>13</v>
      </c>
      <c r="H162" s="548">
        <f>'EIA23 EQ Cost'!J123</f>
        <v>21.962222159118742</v>
      </c>
      <c r="I162" s="548">
        <f>'EIA23 EQ Cost'!K123</f>
        <v>0.63</v>
      </c>
      <c r="J162" s="531">
        <v>1</v>
      </c>
      <c r="K162" s="531">
        <v>0.16</v>
      </c>
      <c r="L162" s="531">
        <v>0.16</v>
      </c>
      <c r="M162" s="531">
        <v>0.16</v>
      </c>
      <c r="N162" s="531">
        <v>0.16</v>
      </c>
      <c r="O162" s="531">
        <v>0.16</v>
      </c>
      <c r="P162" s="531"/>
      <c r="Q162" s="531">
        <v>0.18</v>
      </c>
      <c r="R162" s="546"/>
      <c r="S162" s="546"/>
      <c r="T162" s="546"/>
      <c r="U162" s="546">
        <v>0</v>
      </c>
      <c r="V162" s="546">
        <v>0</v>
      </c>
      <c r="W162" s="546">
        <v>0</v>
      </c>
      <c r="X162" s="546">
        <v>0</v>
      </c>
      <c r="Y162" s="546">
        <v>0</v>
      </c>
      <c r="Z162" s="546">
        <v>0</v>
      </c>
      <c r="AA162" s="546">
        <v>0</v>
      </c>
      <c r="AD162" s="546"/>
      <c r="AE162" s="531"/>
      <c r="AF162" s="531"/>
      <c r="AG162" s="531"/>
      <c r="AH162" s="531"/>
      <c r="AI162" s="531"/>
      <c r="AJ162" s="531"/>
      <c r="AK162" s="531"/>
      <c r="AL162" s="531"/>
      <c r="AM162" s="531"/>
      <c r="AO162" s="546"/>
      <c r="AP162" s="546"/>
      <c r="AQ162" s="546"/>
      <c r="AR162" s="546"/>
      <c r="AS162" s="546"/>
      <c r="AT162" s="546"/>
      <c r="AU162" s="546"/>
      <c r="AV162" s="546"/>
      <c r="AW162" s="546"/>
      <c r="AX162" s="546"/>
      <c r="AY162" s="546"/>
      <c r="AZ162" s="546"/>
      <c r="BA162" s="546"/>
      <c r="BB162" s="546"/>
      <c r="BC162" s="546"/>
      <c r="BF162" s="531" t="s">
        <v>37</v>
      </c>
    </row>
    <row r="163" spans="1:58" ht="15" customHeight="1">
      <c r="A163" s="531" t="str">
        <f>'EIA23 EQ Cost'!B124</f>
        <v>RWHNGSV122</v>
      </c>
      <c r="B163" s="531" t="str">
        <f>'EIA23 EQ Cost'!C124</f>
        <v>Natural Gas Ver1.RWH.NGA.22</v>
      </c>
      <c r="C163" s="530" t="s">
        <v>32</v>
      </c>
      <c r="D163" s="531" t="s">
        <v>125</v>
      </c>
      <c r="E163" s="531" t="s">
        <v>150</v>
      </c>
      <c r="F163" s="547">
        <f>'EIA23 EQ Cost'!G124</f>
        <v>2022</v>
      </c>
      <c r="G163" s="587">
        <f>'EIA23 EQ Cost'!H124</f>
        <v>14.5</v>
      </c>
      <c r="H163" s="548">
        <f>'EIA23 EQ Cost'!J124</f>
        <v>11.781059568798794</v>
      </c>
      <c r="I163" s="548">
        <f>'EIA23 EQ Cost'!K124</f>
        <v>0.61</v>
      </c>
      <c r="J163" s="531">
        <v>1</v>
      </c>
      <c r="K163" s="531">
        <v>0.16</v>
      </c>
      <c r="L163" s="531">
        <v>0.16</v>
      </c>
      <c r="M163" s="531">
        <v>0.16</v>
      </c>
      <c r="N163" s="531">
        <v>0.16</v>
      </c>
      <c r="O163" s="531">
        <v>0.16</v>
      </c>
      <c r="P163" s="531"/>
      <c r="Q163" s="531">
        <v>0.18</v>
      </c>
      <c r="R163" s="546"/>
      <c r="S163" s="546"/>
      <c r="T163" s="546"/>
      <c r="U163" s="546"/>
      <c r="V163" s="546">
        <v>0</v>
      </c>
      <c r="W163" s="546">
        <v>0</v>
      </c>
      <c r="X163" s="546">
        <v>0</v>
      </c>
      <c r="Y163" s="546">
        <v>0</v>
      </c>
      <c r="Z163" s="546">
        <v>0</v>
      </c>
      <c r="AA163" s="546">
        <v>0</v>
      </c>
      <c r="AD163" s="546"/>
      <c r="AE163" s="531"/>
      <c r="AF163" s="531"/>
      <c r="AG163" s="531"/>
      <c r="AH163" s="531"/>
      <c r="AI163" s="531"/>
      <c r="AJ163" s="531"/>
      <c r="AK163" s="531"/>
      <c r="AL163" s="531"/>
      <c r="AM163" s="531"/>
      <c r="AO163" s="546"/>
      <c r="AP163" s="546"/>
      <c r="AQ163" s="546"/>
      <c r="AR163" s="546"/>
      <c r="AS163" s="546"/>
      <c r="AT163" s="546"/>
      <c r="AU163" s="546"/>
      <c r="AV163" s="546"/>
      <c r="AW163" s="546"/>
      <c r="AX163" s="546"/>
      <c r="AY163" s="546"/>
      <c r="AZ163" s="546"/>
      <c r="BA163" s="546"/>
      <c r="BB163" s="546"/>
      <c r="BC163" s="546"/>
      <c r="BF163" s="531" t="s">
        <v>37</v>
      </c>
    </row>
    <row r="164" spans="1:58" ht="15" customHeight="1">
      <c r="A164" s="531" t="str">
        <f>'EIA23 EQ Cost'!B125</f>
        <v>RWHNGSV222</v>
      </c>
      <c r="B164" s="531" t="str">
        <f>'EIA23 EQ Cost'!C125</f>
        <v>Natural Gas Ver2.RWH.NGA.22</v>
      </c>
      <c r="C164" s="530" t="s">
        <v>32</v>
      </c>
      <c r="D164" s="531" t="s">
        <v>125</v>
      </c>
      <c r="E164" s="531" t="s">
        <v>150</v>
      </c>
      <c r="F164" s="547">
        <f>'EIA23 EQ Cost'!G125</f>
        <v>2022</v>
      </c>
      <c r="G164" s="587">
        <f>'EIA23 EQ Cost'!H125</f>
        <v>14.5</v>
      </c>
      <c r="H164" s="548">
        <f>'EIA23 EQ Cost'!J125</f>
        <v>11.781059568798794</v>
      </c>
      <c r="I164" s="548">
        <f>'EIA23 EQ Cost'!K125</f>
        <v>0.61</v>
      </c>
      <c r="J164" s="531">
        <v>1</v>
      </c>
      <c r="K164" s="531">
        <v>0.16</v>
      </c>
      <c r="L164" s="531">
        <v>0.16</v>
      </c>
      <c r="M164" s="531">
        <v>0.16</v>
      </c>
      <c r="N164" s="531">
        <v>0.16</v>
      </c>
      <c r="O164" s="531">
        <v>0.16</v>
      </c>
      <c r="P164" s="545"/>
      <c r="Q164" s="531">
        <v>0.18</v>
      </c>
      <c r="R164" s="546"/>
      <c r="S164" s="597"/>
      <c r="T164" s="597"/>
      <c r="U164" s="546"/>
      <c r="V164" s="546">
        <v>0</v>
      </c>
      <c r="W164" s="546">
        <v>0</v>
      </c>
      <c r="X164" s="546">
        <v>0</v>
      </c>
      <c r="Y164" s="546">
        <v>0</v>
      </c>
      <c r="Z164" s="546">
        <v>0</v>
      </c>
      <c r="AA164" s="546">
        <v>0</v>
      </c>
      <c r="AD164" s="546"/>
      <c r="AE164" s="531"/>
      <c r="AF164" s="531"/>
      <c r="AG164" s="531"/>
      <c r="AH164" s="531"/>
      <c r="AI164" s="531"/>
      <c r="AJ164" s="531"/>
      <c r="AK164" s="531"/>
      <c r="AL164" s="531"/>
      <c r="AM164" s="531"/>
      <c r="AO164" s="597"/>
      <c r="AP164" s="597"/>
      <c r="AQ164" s="597"/>
      <c r="AR164" s="597"/>
      <c r="AS164" s="597"/>
      <c r="AT164" s="597"/>
      <c r="AU164" s="597"/>
      <c r="AV164" s="597"/>
      <c r="AW164" s="597"/>
      <c r="AX164" s="597"/>
      <c r="AY164" s="597"/>
      <c r="AZ164" s="597"/>
      <c r="BA164" s="597"/>
      <c r="BB164" s="597"/>
      <c r="BC164" s="597"/>
      <c r="BF164" s="531" t="s">
        <v>37</v>
      </c>
    </row>
    <row r="165" spans="1:58" ht="15" customHeight="1">
      <c r="A165" s="531" t="str">
        <f>'EIA23 EQ Cost'!B126</f>
        <v>RWHNGSV322</v>
      </c>
      <c r="B165" s="531" t="str">
        <f>'EIA23 EQ Cost'!C126</f>
        <v>Natural Gas Ver3.RWH.NGA.22</v>
      </c>
      <c r="C165" s="530" t="s">
        <v>32</v>
      </c>
      <c r="D165" s="531" t="s">
        <v>125</v>
      </c>
      <c r="E165" s="531" t="s">
        <v>150</v>
      </c>
      <c r="F165" s="547">
        <f>'EIA23 EQ Cost'!G126</f>
        <v>2022</v>
      </c>
      <c r="G165" s="587">
        <f>'EIA23 EQ Cost'!H126</f>
        <v>14.5</v>
      </c>
      <c r="H165" s="548">
        <f>'EIA23 EQ Cost'!J126</f>
        <v>12.847657554451363</v>
      </c>
      <c r="I165" s="548">
        <f>'EIA23 EQ Cost'!K126</f>
        <v>0.66</v>
      </c>
      <c r="J165" s="531">
        <v>1</v>
      </c>
      <c r="K165" s="531">
        <v>0.16</v>
      </c>
      <c r="L165" s="531">
        <v>0.16</v>
      </c>
      <c r="M165" s="531">
        <v>0.16</v>
      </c>
      <c r="N165" s="531">
        <v>0.16</v>
      </c>
      <c r="O165" s="531">
        <v>0.16</v>
      </c>
      <c r="P165" s="545"/>
      <c r="Q165" s="531">
        <v>0.18</v>
      </c>
      <c r="R165" s="546"/>
      <c r="S165" s="597"/>
      <c r="T165" s="597"/>
      <c r="U165" s="546"/>
      <c r="V165" s="546">
        <v>0</v>
      </c>
      <c r="W165" s="546">
        <v>0</v>
      </c>
      <c r="X165" s="546">
        <v>0</v>
      </c>
      <c r="Y165" s="546">
        <v>0</v>
      </c>
      <c r="Z165" s="546">
        <v>0</v>
      </c>
      <c r="AA165" s="546">
        <v>0</v>
      </c>
      <c r="AD165" s="546"/>
      <c r="AE165" s="531"/>
      <c r="AF165" s="531"/>
      <c r="AG165" s="531"/>
      <c r="AH165" s="531"/>
      <c r="AI165" s="531"/>
      <c r="AJ165" s="531"/>
      <c r="AK165" s="531"/>
      <c r="AL165" s="531"/>
      <c r="AM165" s="531"/>
      <c r="AO165" s="597"/>
      <c r="AP165" s="597"/>
      <c r="AQ165" s="597"/>
      <c r="AR165" s="597"/>
      <c r="AS165" s="597"/>
      <c r="AT165" s="597"/>
      <c r="AU165" s="597"/>
      <c r="AV165" s="597"/>
      <c r="AW165" s="597"/>
      <c r="AX165" s="597"/>
      <c r="AY165" s="597"/>
      <c r="AZ165" s="597"/>
      <c r="BA165" s="597"/>
      <c r="BB165" s="597"/>
      <c r="BC165" s="597"/>
      <c r="BF165" s="531" t="s">
        <v>37</v>
      </c>
    </row>
    <row r="166" spans="1:58" ht="15" customHeight="1">
      <c r="A166" s="531" t="str">
        <f>'EIA23 EQ Cost'!B127</f>
        <v>RWHNGSV422</v>
      </c>
      <c r="B166" s="531" t="str">
        <f>'EIA23 EQ Cost'!C127</f>
        <v>Natural Gas Ver4.RWH.NGA.22</v>
      </c>
      <c r="C166" s="530" t="s">
        <v>32</v>
      </c>
      <c r="D166" s="531" t="s">
        <v>125</v>
      </c>
      <c r="E166" s="531" t="s">
        <v>150</v>
      </c>
      <c r="F166" s="547">
        <f>'EIA23 EQ Cost'!G127</f>
        <v>2022</v>
      </c>
      <c r="G166" s="587">
        <f>'EIA23 EQ Cost'!H127</f>
        <v>14.5</v>
      </c>
      <c r="H166" s="548">
        <f>'EIA23 EQ Cost'!J127</f>
        <v>20.701697266983896</v>
      </c>
      <c r="I166" s="548">
        <f>'EIA23 EQ Cost'!K127</f>
        <v>0.84</v>
      </c>
      <c r="J166" s="531">
        <v>1</v>
      </c>
      <c r="K166" s="531">
        <v>0.15</v>
      </c>
      <c r="L166" s="531">
        <v>0.15</v>
      </c>
      <c r="M166" s="531">
        <v>0.15</v>
      </c>
      <c r="N166" s="531">
        <v>0.15</v>
      </c>
      <c r="O166" s="531">
        <v>0.15</v>
      </c>
      <c r="P166" s="531"/>
      <c r="Q166" s="531">
        <v>0.18</v>
      </c>
      <c r="R166" s="546"/>
      <c r="S166" s="546"/>
      <c r="T166" s="546"/>
      <c r="U166" s="546"/>
      <c r="V166" s="546">
        <v>0</v>
      </c>
      <c r="W166" s="546">
        <v>0</v>
      </c>
      <c r="X166" s="546">
        <v>0</v>
      </c>
      <c r="Y166" s="546">
        <v>0</v>
      </c>
      <c r="Z166" s="546">
        <v>0</v>
      </c>
      <c r="AA166" s="546">
        <v>0</v>
      </c>
      <c r="AD166" s="546"/>
      <c r="AE166" s="531"/>
      <c r="AF166" s="531"/>
      <c r="AG166" s="531"/>
      <c r="AH166" s="531"/>
      <c r="AI166" s="531"/>
      <c r="AJ166" s="531"/>
      <c r="AK166" s="531"/>
      <c r="AL166" s="531"/>
      <c r="AM166" s="531"/>
      <c r="AO166" s="549"/>
      <c r="AP166" s="549"/>
      <c r="AQ166" s="549"/>
      <c r="AR166" s="549"/>
      <c r="AS166" s="549"/>
      <c r="AT166" s="549"/>
      <c r="AU166" s="549"/>
      <c r="AV166" s="549"/>
      <c r="AW166" s="549"/>
      <c r="AX166" s="549"/>
      <c r="AY166" s="549"/>
      <c r="AZ166" s="549"/>
      <c r="BA166" s="549"/>
      <c r="BB166" s="549"/>
      <c r="BC166" s="549"/>
      <c r="BF166" s="531" t="s">
        <v>37</v>
      </c>
    </row>
    <row r="167" spans="1:58" ht="15" customHeight="1">
      <c r="A167" s="531" t="str">
        <f>'EIA23 EQ Cost'!B128</f>
        <v>RWHNGSV423</v>
      </c>
      <c r="B167" s="531" t="str">
        <f>'EIA23 EQ Cost'!C128</f>
        <v>Natural Gas Ver5.RWH.NGA.23</v>
      </c>
      <c r="C167" s="530" t="s">
        <v>32</v>
      </c>
      <c r="D167" s="531" t="s">
        <v>125</v>
      </c>
      <c r="E167" s="531" t="s">
        <v>150</v>
      </c>
      <c r="F167" s="547">
        <f>'EIA23 EQ Cost'!G128</f>
        <v>2023</v>
      </c>
      <c r="G167" s="587">
        <f>'EIA23 EQ Cost'!H128</f>
        <v>14.5</v>
      </c>
      <c r="H167" s="548">
        <f>'EIA23 EQ Cost'!J128</f>
        <v>20.798660720225037</v>
      </c>
      <c r="I167" s="548">
        <f>'EIA23 EQ Cost'!K128</f>
        <v>0.83</v>
      </c>
      <c r="J167" s="531">
        <v>1</v>
      </c>
      <c r="K167" s="531">
        <v>0.15</v>
      </c>
      <c r="L167" s="531">
        <v>0.15</v>
      </c>
      <c r="M167" s="531">
        <v>0.15</v>
      </c>
      <c r="N167" s="531">
        <v>0.15</v>
      </c>
      <c r="O167" s="531">
        <v>0.15</v>
      </c>
      <c r="P167" s="531"/>
      <c r="Q167" s="531">
        <v>0.18</v>
      </c>
      <c r="R167" s="546"/>
      <c r="S167" s="546"/>
      <c r="T167" s="546"/>
      <c r="U167" s="546"/>
      <c r="V167" s="546">
        <v>0</v>
      </c>
      <c r="W167" s="546">
        <v>0</v>
      </c>
      <c r="X167" s="546">
        <v>0</v>
      </c>
      <c r="Y167" s="546">
        <v>0</v>
      </c>
      <c r="Z167" s="546">
        <v>0</v>
      </c>
      <c r="AA167" s="546">
        <v>0</v>
      </c>
      <c r="AD167" s="546"/>
      <c r="AE167" s="531"/>
      <c r="AF167" s="531"/>
      <c r="AG167" s="531"/>
      <c r="AH167" s="531"/>
      <c r="AI167" s="531"/>
      <c r="AJ167" s="531"/>
      <c r="AK167" s="531"/>
      <c r="AL167" s="531"/>
      <c r="AM167" s="531"/>
      <c r="AO167" s="549"/>
      <c r="AP167" s="549"/>
      <c r="AQ167" s="549"/>
      <c r="AR167" s="549"/>
      <c r="AS167" s="549"/>
      <c r="AT167" s="549"/>
      <c r="AU167" s="549"/>
      <c r="AV167" s="549"/>
      <c r="AW167" s="549"/>
      <c r="AX167" s="549"/>
      <c r="AY167" s="549"/>
      <c r="AZ167" s="549"/>
      <c r="BA167" s="549"/>
      <c r="BB167" s="549"/>
      <c r="BC167" s="549"/>
      <c r="BF167" s="531" t="s">
        <v>37</v>
      </c>
    </row>
    <row r="168" spans="1:58" ht="15" customHeight="1">
      <c r="A168" s="531" t="str">
        <f>'EIA23 EQ Cost'!B129</f>
        <v>RWHNGSV130</v>
      </c>
      <c r="B168" s="531" t="str">
        <f>'EIA23 EQ Cost'!C129</f>
        <v>Natural Gas Ver1.RWH.NGA.30</v>
      </c>
      <c r="C168" s="530" t="s">
        <v>32</v>
      </c>
      <c r="D168" s="531" t="s">
        <v>125</v>
      </c>
      <c r="E168" s="531" t="s">
        <v>150</v>
      </c>
      <c r="F168" s="547">
        <f>'EIA23 EQ Cost'!G129</f>
        <v>2030</v>
      </c>
      <c r="G168" s="587">
        <f>'EIA23 EQ Cost'!H129</f>
        <v>14.5</v>
      </c>
      <c r="H168" s="548">
        <f>'EIA23 EQ Cost'!J129</f>
        <v>11.781059568798794</v>
      </c>
      <c r="I168" s="548">
        <f>'EIA23 EQ Cost'!K129</f>
        <v>0.61</v>
      </c>
      <c r="J168" s="531">
        <v>1</v>
      </c>
      <c r="K168" s="531">
        <v>0.15</v>
      </c>
      <c r="L168" s="531">
        <v>0.15</v>
      </c>
      <c r="M168" s="531">
        <v>0.15</v>
      </c>
      <c r="N168" s="531">
        <v>0.15</v>
      </c>
      <c r="O168" s="531">
        <v>0.15</v>
      </c>
      <c r="P168" s="531"/>
      <c r="Q168" s="531">
        <v>0.18</v>
      </c>
      <c r="R168" s="546"/>
      <c r="S168" s="546"/>
      <c r="T168" s="546"/>
      <c r="U168" s="546"/>
      <c r="V168" s="546"/>
      <c r="W168" s="546"/>
      <c r="X168" s="546">
        <v>0</v>
      </c>
      <c r="Y168" s="546">
        <v>0</v>
      </c>
      <c r="Z168" s="546">
        <v>0</v>
      </c>
      <c r="AA168" s="546">
        <v>0</v>
      </c>
      <c r="AD168" s="546"/>
      <c r="AE168" s="531"/>
      <c r="AF168" s="531"/>
      <c r="AG168" s="531"/>
      <c r="AH168" s="531"/>
      <c r="AI168" s="531"/>
      <c r="AJ168" s="531"/>
      <c r="AK168" s="531"/>
      <c r="AL168" s="531"/>
      <c r="AM168" s="531"/>
      <c r="AO168" s="549"/>
      <c r="AP168" s="549"/>
      <c r="AQ168" s="549"/>
      <c r="AR168" s="549"/>
      <c r="AS168" s="549"/>
      <c r="AT168" s="549"/>
      <c r="AU168" s="549"/>
      <c r="AV168" s="549"/>
      <c r="AW168" s="549"/>
      <c r="AX168" s="549"/>
      <c r="AY168" s="549"/>
      <c r="AZ168" s="549"/>
      <c r="BA168" s="549"/>
      <c r="BB168" s="549"/>
      <c r="BC168" s="549"/>
      <c r="BF168" s="531" t="s">
        <v>37</v>
      </c>
    </row>
    <row r="169" spans="1:58" ht="15" customHeight="1">
      <c r="A169" s="531" t="str">
        <f>'EIA23 EQ Cost'!B130</f>
        <v>RWHNGSV230</v>
      </c>
      <c r="B169" s="531" t="str">
        <f>'EIA23 EQ Cost'!C130</f>
        <v>Natural Gas Ver2.RWH.NGA.30</v>
      </c>
      <c r="C169" s="530" t="s">
        <v>32</v>
      </c>
      <c r="D169" s="531" t="s">
        <v>125</v>
      </c>
      <c r="E169" s="531" t="s">
        <v>150</v>
      </c>
      <c r="F169" s="547">
        <f>'EIA23 EQ Cost'!G130</f>
        <v>2030</v>
      </c>
      <c r="G169" s="587">
        <f>'EIA23 EQ Cost'!H130</f>
        <v>14.5</v>
      </c>
      <c r="H169" s="548">
        <f>'EIA23 EQ Cost'!J130</f>
        <v>20.701697266983896</v>
      </c>
      <c r="I169" s="548">
        <f>'EIA23 EQ Cost'!K130</f>
        <v>0.84</v>
      </c>
      <c r="J169" s="531">
        <v>1</v>
      </c>
      <c r="K169" s="531">
        <v>0.15</v>
      </c>
      <c r="L169" s="531">
        <v>0.15</v>
      </c>
      <c r="M169" s="531">
        <v>0.15</v>
      </c>
      <c r="N169" s="531">
        <v>0.15</v>
      </c>
      <c r="O169" s="531">
        <v>0.15</v>
      </c>
      <c r="P169" s="531"/>
      <c r="Q169" s="531">
        <v>0.18</v>
      </c>
      <c r="R169" s="546"/>
      <c r="S169" s="546"/>
      <c r="T169" s="546"/>
      <c r="U169" s="546"/>
      <c r="V169" s="546"/>
      <c r="W169" s="546"/>
      <c r="X169" s="546">
        <v>0</v>
      </c>
      <c r="Y169" s="546">
        <v>0</v>
      </c>
      <c r="Z169" s="546">
        <v>0</v>
      </c>
      <c r="AA169" s="546">
        <v>0</v>
      </c>
      <c r="AD169" s="546"/>
      <c r="AE169" s="531"/>
      <c r="AF169" s="531"/>
      <c r="AG169" s="531"/>
      <c r="AH169" s="531"/>
      <c r="AI169" s="531"/>
      <c r="AJ169" s="531"/>
      <c r="AK169" s="531"/>
      <c r="AL169" s="531"/>
      <c r="AM169" s="531"/>
      <c r="AO169" s="549"/>
      <c r="AP169" s="549"/>
      <c r="AQ169" s="549"/>
      <c r="AR169" s="549"/>
      <c r="AS169" s="549"/>
      <c r="AT169" s="549"/>
      <c r="AU169" s="549"/>
      <c r="AV169" s="549"/>
      <c r="AW169" s="549"/>
      <c r="AX169" s="549"/>
      <c r="AY169" s="549"/>
      <c r="AZ169" s="549"/>
      <c r="BA169" s="549"/>
      <c r="BB169" s="549"/>
      <c r="BC169" s="549"/>
      <c r="BF169" s="531" t="s">
        <v>37</v>
      </c>
    </row>
    <row r="170" spans="1:58" ht="15" customHeight="1">
      <c r="A170" s="531" t="str">
        <f>'EIA23 EQ Cost'!B131</f>
        <v>RWHNNGV140</v>
      </c>
      <c r="B170" s="531" t="str">
        <f>'EIA23 EQ Cost'!C131</f>
        <v>Natural Gas Ver1.RWH.NGA.40</v>
      </c>
      <c r="C170" s="530" t="s">
        <v>32</v>
      </c>
      <c r="D170" s="531" t="s">
        <v>125</v>
      </c>
      <c r="E170" s="531" t="s">
        <v>150</v>
      </c>
      <c r="F170" s="547">
        <f>'EIA23 EQ Cost'!G131</f>
        <v>2040</v>
      </c>
      <c r="G170" s="587">
        <f>'EIA23 EQ Cost'!H131</f>
        <v>14.5</v>
      </c>
      <c r="H170" s="548">
        <f>'EIA23 EQ Cost'!J131</f>
        <v>11.781059568798794</v>
      </c>
      <c r="I170" s="548">
        <f>'EIA23 EQ Cost'!K131</f>
        <v>0.63</v>
      </c>
      <c r="J170" s="531">
        <v>1</v>
      </c>
      <c r="K170" s="531">
        <v>0.15</v>
      </c>
      <c r="L170" s="531">
        <v>0.15</v>
      </c>
      <c r="M170" s="531">
        <v>0.15</v>
      </c>
      <c r="N170" s="531">
        <v>0.15</v>
      </c>
      <c r="O170" s="531">
        <v>0.15</v>
      </c>
      <c r="P170" s="531"/>
      <c r="Q170" s="531">
        <v>0.18</v>
      </c>
      <c r="R170" s="546"/>
      <c r="S170" s="546"/>
      <c r="T170" s="546"/>
      <c r="U170" s="546"/>
      <c r="V170" s="546"/>
      <c r="W170" s="546"/>
      <c r="X170" s="546"/>
      <c r="Y170" s="546">
        <v>0</v>
      </c>
      <c r="Z170" s="546">
        <v>0</v>
      </c>
      <c r="AA170" s="546">
        <v>0</v>
      </c>
      <c r="AD170" s="546"/>
      <c r="AE170" s="531"/>
      <c r="AF170" s="531"/>
      <c r="AG170" s="531"/>
      <c r="AH170" s="531"/>
      <c r="AI170" s="531"/>
      <c r="AJ170" s="531"/>
      <c r="AK170" s="531"/>
      <c r="AL170" s="531"/>
      <c r="AM170" s="531"/>
      <c r="AO170" s="549"/>
      <c r="AP170" s="549"/>
      <c r="AQ170" s="549"/>
      <c r="AR170" s="549"/>
      <c r="AS170" s="549"/>
      <c r="AT170" s="549"/>
      <c r="AU170" s="549"/>
      <c r="AV170" s="549"/>
      <c r="AW170" s="549"/>
      <c r="AX170" s="549"/>
      <c r="AY170" s="549"/>
      <c r="AZ170" s="549"/>
      <c r="BA170" s="549"/>
      <c r="BB170" s="549"/>
      <c r="BC170" s="549"/>
      <c r="BF170" s="531" t="s">
        <v>37</v>
      </c>
    </row>
    <row r="171" spans="1:58" ht="15" customHeight="1">
      <c r="A171" s="531" t="str">
        <f>'EIA23 EQ Cost'!B132</f>
        <v>RWHNGSV240</v>
      </c>
      <c r="B171" s="531" t="str">
        <f>'EIA23 EQ Cost'!C132</f>
        <v>Natural Gas Ver2.RWH.NGA.40</v>
      </c>
      <c r="C171" s="530" t="s">
        <v>32</v>
      </c>
      <c r="D171" s="531" t="s">
        <v>125</v>
      </c>
      <c r="E171" s="531" t="s">
        <v>150</v>
      </c>
      <c r="F171" s="547">
        <f>'EIA23 EQ Cost'!G132</f>
        <v>2040</v>
      </c>
      <c r="G171" s="587">
        <f>'EIA23 EQ Cost'!H132</f>
        <v>14.5</v>
      </c>
      <c r="H171" s="548">
        <f>'EIA23 EQ Cost'!J132</f>
        <v>20.701697266983896</v>
      </c>
      <c r="I171" s="548">
        <f>'EIA23 EQ Cost'!K132</f>
        <v>0.84</v>
      </c>
      <c r="J171" s="531">
        <v>1</v>
      </c>
      <c r="K171" s="531">
        <v>0.15</v>
      </c>
      <c r="L171" s="531">
        <v>0.15</v>
      </c>
      <c r="M171" s="531">
        <v>0.15</v>
      </c>
      <c r="N171" s="531">
        <v>0.15</v>
      </c>
      <c r="O171" s="531">
        <v>0.15</v>
      </c>
      <c r="P171" s="531"/>
      <c r="Q171" s="531">
        <v>0.18</v>
      </c>
      <c r="R171" s="546"/>
      <c r="S171" s="546"/>
      <c r="T171" s="546"/>
      <c r="U171" s="546"/>
      <c r="V171" s="546"/>
      <c r="W171" s="546"/>
      <c r="X171" s="546"/>
      <c r="Y171" s="546">
        <v>0</v>
      </c>
      <c r="Z171" s="546">
        <v>0</v>
      </c>
      <c r="AA171" s="546">
        <v>0</v>
      </c>
      <c r="AD171" s="546"/>
      <c r="AE171" s="531"/>
      <c r="AF171" s="531"/>
      <c r="AG171" s="531"/>
      <c r="AH171" s="531"/>
      <c r="AI171" s="531"/>
      <c r="AJ171" s="531"/>
      <c r="AK171" s="531"/>
      <c r="AL171" s="531"/>
      <c r="AM171" s="531"/>
      <c r="AO171" s="549"/>
      <c r="AP171" s="549"/>
      <c r="AQ171" s="549"/>
      <c r="AR171" s="549"/>
      <c r="AS171" s="549"/>
      <c r="AT171" s="549"/>
      <c r="AU171" s="549"/>
      <c r="AV171" s="549"/>
      <c r="AW171" s="549"/>
      <c r="AX171" s="549"/>
      <c r="AY171" s="549"/>
      <c r="AZ171" s="549"/>
      <c r="BA171" s="549"/>
      <c r="BB171" s="549"/>
      <c r="BC171" s="549"/>
      <c r="BF171" s="531" t="s">
        <v>37</v>
      </c>
    </row>
    <row r="172" spans="1:58" ht="15" customHeight="1">
      <c r="A172" s="531" t="str">
        <f>'EIA23 EQ Cost'!B133</f>
        <v>RWHNGSV150</v>
      </c>
      <c r="B172" s="531" t="str">
        <f>'EIA23 EQ Cost'!C133</f>
        <v>Natural Gas Ver1.RWH.NGA.50</v>
      </c>
      <c r="C172" s="530" t="s">
        <v>32</v>
      </c>
      <c r="D172" s="531" t="s">
        <v>125</v>
      </c>
      <c r="E172" s="531" t="s">
        <v>150</v>
      </c>
      <c r="F172" s="547">
        <f>'EIA23 EQ Cost'!G133</f>
        <v>2050</v>
      </c>
      <c r="G172" s="587">
        <f>'EIA23 EQ Cost'!H133</f>
        <v>14.5</v>
      </c>
      <c r="H172" s="548">
        <f>'EIA23 EQ Cost'!J133</f>
        <v>11.781059568798794</v>
      </c>
      <c r="I172" s="548">
        <f>'EIA23 EQ Cost'!K133</f>
        <v>0.61</v>
      </c>
      <c r="J172" s="531">
        <v>1</v>
      </c>
      <c r="K172" s="531">
        <v>0.15</v>
      </c>
      <c r="L172" s="531">
        <v>0.15</v>
      </c>
      <c r="M172" s="531">
        <v>0.15</v>
      </c>
      <c r="N172" s="531">
        <v>0.15</v>
      </c>
      <c r="O172" s="531">
        <v>0.15</v>
      </c>
      <c r="P172" s="531"/>
      <c r="Q172" s="531">
        <v>0.18</v>
      </c>
      <c r="R172" s="546"/>
      <c r="S172" s="546"/>
      <c r="T172" s="546"/>
      <c r="U172" s="546"/>
      <c r="V172" s="546"/>
      <c r="W172" s="546"/>
      <c r="X172" s="546"/>
      <c r="Y172" s="546"/>
      <c r="Z172" s="546"/>
      <c r="AA172" s="546"/>
      <c r="AD172" s="546"/>
      <c r="AE172" s="531"/>
      <c r="AF172" s="531"/>
      <c r="AG172" s="531"/>
      <c r="AH172" s="531"/>
      <c r="AI172" s="531"/>
      <c r="AJ172" s="531"/>
      <c r="AK172" s="531"/>
      <c r="AL172" s="531"/>
      <c r="AM172" s="531"/>
      <c r="AO172" s="549"/>
      <c r="AP172" s="549"/>
      <c r="AQ172" s="549"/>
      <c r="AR172" s="549"/>
      <c r="AS172" s="549"/>
      <c r="AT172" s="549"/>
      <c r="AU172" s="549"/>
      <c r="AV172" s="549"/>
      <c r="AW172" s="549"/>
      <c r="AX172" s="549"/>
      <c r="AY172" s="549"/>
      <c r="AZ172" s="549"/>
      <c r="BA172" s="549"/>
      <c r="BB172" s="549"/>
      <c r="BC172" s="549"/>
      <c r="BF172" s="531" t="s">
        <v>37</v>
      </c>
    </row>
    <row r="173" spans="1:58" ht="15" customHeight="1">
      <c r="A173" s="531" t="str">
        <f>'EIA23 EQ Cost'!B134</f>
        <v>RWHNGSV250</v>
      </c>
      <c r="B173" s="531" t="str">
        <f>'EIA23 EQ Cost'!C134</f>
        <v>Natural Gas Ver2.RWH.NGA.50</v>
      </c>
      <c r="C173" s="530" t="s">
        <v>32</v>
      </c>
      <c r="D173" s="531" t="s">
        <v>125</v>
      </c>
      <c r="E173" s="531" t="s">
        <v>150</v>
      </c>
      <c r="F173" s="547">
        <f>'EIA23 EQ Cost'!G134</f>
        <v>2050</v>
      </c>
      <c r="G173" s="587">
        <f>'EIA23 EQ Cost'!H134</f>
        <v>14.5</v>
      </c>
      <c r="H173" s="548">
        <f>'EIA23 EQ Cost'!J134</f>
        <v>20.701697266983896</v>
      </c>
      <c r="I173" s="548">
        <f>'EIA23 EQ Cost'!K134</f>
        <v>0.84</v>
      </c>
      <c r="J173" s="531">
        <v>1</v>
      </c>
      <c r="K173" s="531">
        <v>0.15</v>
      </c>
      <c r="L173" s="531">
        <v>0.15</v>
      </c>
      <c r="M173" s="531">
        <v>0.15</v>
      </c>
      <c r="N173" s="531">
        <v>0.15</v>
      </c>
      <c r="O173" s="531">
        <v>0.15</v>
      </c>
      <c r="P173" s="531"/>
      <c r="Q173" s="531">
        <v>0.18</v>
      </c>
      <c r="R173" s="546"/>
      <c r="S173" s="546"/>
      <c r="T173" s="546"/>
      <c r="U173" s="546"/>
      <c r="V173" s="546"/>
      <c r="W173" s="546"/>
      <c r="X173" s="546"/>
      <c r="Y173" s="546"/>
      <c r="Z173" s="546"/>
      <c r="AA173" s="546"/>
      <c r="AD173" s="546"/>
      <c r="AE173" s="531"/>
      <c r="AF173" s="531"/>
      <c r="AG173" s="531"/>
      <c r="AH173" s="531"/>
      <c r="AI173" s="531"/>
      <c r="AJ173" s="531"/>
      <c r="AK173" s="531"/>
      <c r="AL173" s="531"/>
      <c r="AM173" s="531"/>
      <c r="AO173" s="549"/>
      <c r="AP173" s="549"/>
      <c r="AQ173" s="549"/>
      <c r="AR173" s="549"/>
      <c r="AS173" s="549"/>
      <c r="AT173" s="549"/>
      <c r="AU173" s="549"/>
      <c r="AV173" s="549"/>
      <c r="AW173" s="549"/>
      <c r="AX173" s="549"/>
      <c r="AY173" s="549"/>
      <c r="AZ173" s="549"/>
      <c r="BA173" s="549"/>
      <c r="BB173" s="549"/>
      <c r="BC173" s="549"/>
      <c r="BF173" s="531" t="s">
        <v>37</v>
      </c>
    </row>
    <row r="174" spans="1:58" ht="15" customHeight="1">
      <c r="A174" s="533" t="str">
        <f>'EIA23 EQ Cost'!B135</f>
        <v>*Electric Water Heaters (EIA EQ: Residentail Electric Resistance Storage Water Heaters)</v>
      </c>
      <c r="B174" s="532"/>
      <c r="C174" s="533"/>
      <c r="D174" s="532"/>
      <c r="E174" s="532"/>
      <c r="F174" s="586"/>
      <c r="G174" s="588"/>
      <c r="H174" s="598"/>
      <c r="I174" s="598"/>
      <c r="J174" s="532"/>
      <c r="K174" s="532"/>
      <c r="L174" s="532"/>
      <c r="M174" s="532"/>
      <c r="N174" s="532"/>
      <c r="O174" s="532"/>
      <c r="P174" s="532"/>
      <c r="Q174" s="532"/>
      <c r="R174" s="558"/>
      <c r="S174" s="558"/>
      <c r="T174" s="558"/>
      <c r="U174" s="558"/>
      <c r="V174" s="558"/>
      <c r="W174" s="558"/>
      <c r="X174" s="558"/>
      <c r="Y174" s="558"/>
      <c r="Z174" s="558"/>
      <c r="AA174" s="558"/>
      <c r="AD174" s="558"/>
      <c r="AE174" s="532"/>
      <c r="AF174" s="532"/>
      <c r="AG174" s="532"/>
      <c r="AH174" s="532"/>
      <c r="AI174" s="532"/>
      <c r="AJ174" s="532"/>
      <c r="AK174" s="532"/>
      <c r="AL174" s="532"/>
      <c r="AM174" s="532"/>
      <c r="AO174" s="605"/>
      <c r="AP174" s="605"/>
      <c r="AQ174" s="605"/>
      <c r="AR174" s="605"/>
      <c r="AS174" s="605"/>
      <c r="AT174" s="605"/>
      <c r="AU174" s="605"/>
      <c r="AV174" s="605"/>
      <c r="AW174" s="605"/>
      <c r="AX174" s="605"/>
      <c r="AY174" s="605"/>
      <c r="AZ174" s="605"/>
      <c r="BA174" s="605"/>
      <c r="BB174" s="605"/>
      <c r="BC174" s="605"/>
      <c r="BF174" s="533" t="str">
        <f>A174</f>
        <v>*Electric Water Heaters (EIA EQ: Residentail Electric Resistance Storage Water Heaters)</v>
      </c>
    </row>
    <row r="175" spans="1:58" ht="15" customHeight="1">
      <c r="A175" s="531" t="str">
        <f>'EIA23 EQ Cost'!B136</f>
        <v>RWHEWHV115</v>
      </c>
      <c r="B175" s="531" t="str">
        <f>'EIA23 EQ Cost'!C136</f>
        <v>Electric Ver1.RWH.ELC.15</v>
      </c>
      <c r="C175" s="530" t="s">
        <v>32</v>
      </c>
      <c r="D175" s="531" t="s">
        <v>122</v>
      </c>
      <c r="E175" s="531" t="s">
        <v>150</v>
      </c>
      <c r="F175" s="547">
        <f>'EIA23 EQ Cost'!G136</f>
        <v>2015</v>
      </c>
      <c r="G175" s="587">
        <f>'EIA23 EQ Cost'!H136</f>
        <v>13</v>
      </c>
      <c r="H175" s="548">
        <f>'EIA23 EQ Cost'!J136</f>
        <v>7.4177041729473894</v>
      </c>
      <c r="I175" s="548">
        <f>'EIA23 EQ Cost'!K136</f>
        <v>0.88</v>
      </c>
      <c r="J175" s="531">
        <v>1</v>
      </c>
      <c r="K175" s="531">
        <v>0.15</v>
      </c>
      <c r="L175" s="531">
        <v>0.15</v>
      </c>
      <c r="M175" s="531">
        <v>0.15</v>
      </c>
      <c r="N175" s="531">
        <v>0.15</v>
      </c>
      <c r="O175" s="531">
        <v>0.15</v>
      </c>
      <c r="P175" s="531"/>
      <c r="Q175" s="531">
        <v>0.18</v>
      </c>
      <c r="R175" s="546"/>
      <c r="S175" s="546"/>
      <c r="T175" s="546">
        <v>0</v>
      </c>
      <c r="U175" s="546">
        <v>0</v>
      </c>
      <c r="V175" s="546">
        <v>0</v>
      </c>
      <c r="W175" s="546">
        <v>0</v>
      </c>
      <c r="X175" s="546">
        <v>0</v>
      </c>
      <c r="Y175" s="546">
        <v>0</v>
      </c>
      <c r="Z175" s="546">
        <v>0</v>
      </c>
      <c r="AA175" s="546">
        <v>0</v>
      </c>
      <c r="AD175" s="546"/>
      <c r="AE175" s="531"/>
      <c r="AF175" s="531"/>
      <c r="AG175" s="531"/>
      <c r="AH175" s="531"/>
      <c r="AI175" s="531"/>
      <c r="AJ175" s="531"/>
      <c r="AK175" s="531"/>
      <c r="AL175" s="531"/>
      <c r="AO175" s="549"/>
      <c r="AP175" s="549"/>
      <c r="AQ175" s="549"/>
      <c r="AR175" s="549"/>
      <c r="AS175" s="549"/>
      <c r="AT175" s="549"/>
      <c r="AU175" s="549"/>
      <c r="AV175" s="549"/>
      <c r="AW175" s="549"/>
      <c r="AX175" s="549"/>
      <c r="AY175" s="549"/>
      <c r="AZ175" s="549"/>
      <c r="BA175" s="549"/>
      <c r="BB175" s="549"/>
      <c r="BC175" s="549"/>
      <c r="BF175" s="531" t="s">
        <v>37</v>
      </c>
    </row>
    <row r="176" spans="1:58" ht="15" customHeight="1">
      <c r="A176" s="531" t="str">
        <f>'EIA23 EQ Cost'!B137</f>
        <v>RWHEWHV320</v>
      </c>
      <c r="B176" s="531" t="str">
        <f>'EIA23 EQ Cost'!C137</f>
        <v>Electric Ver3.RWH.ELC.20</v>
      </c>
      <c r="C176" s="530" t="s">
        <v>32</v>
      </c>
      <c r="D176" s="531" t="s">
        <v>122</v>
      </c>
      <c r="E176" s="531" t="s">
        <v>150</v>
      </c>
      <c r="F176" s="547">
        <f>'EIA23 EQ Cost'!G137</f>
        <v>2020</v>
      </c>
      <c r="G176" s="587">
        <f>'EIA23 EQ Cost'!H137</f>
        <v>13</v>
      </c>
      <c r="H176" s="548">
        <f>'EIA23 EQ Cost'!J137</f>
        <v>9.6963453241142332</v>
      </c>
      <c r="I176" s="548">
        <f>'EIA23 EQ Cost'!K137</f>
        <v>0.93</v>
      </c>
      <c r="J176" s="531">
        <v>1</v>
      </c>
      <c r="K176" s="531">
        <v>0.15</v>
      </c>
      <c r="L176" s="531">
        <v>0.15</v>
      </c>
      <c r="M176" s="531">
        <v>0.15</v>
      </c>
      <c r="N176" s="531">
        <v>0.15</v>
      </c>
      <c r="O176" s="531">
        <v>0.15</v>
      </c>
      <c r="P176" s="531"/>
      <c r="Q176" s="531">
        <v>0.18</v>
      </c>
      <c r="R176" s="546"/>
      <c r="S176" s="546"/>
      <c r="T176" s="546"/>
      <c r="U176" s="546">
        <v>0</v>
      </c>
      <c r="V176" s="546">
        <v>0</v>
      </c>
      <c r="W176" s="546">
        <v>0</v>
      </c>
      <c r="X176" s="546">
        <v>0</v>
      </c>
      <c r="Y176" s="546">
        <v>0</v>
      </c>
      <c r="Z176" s="546">
        <v>0</v>
      </c>
      <c r="AA176" s="546">
        <v>0</v>
      </c>
      <c r="AD176" s="546"/>
      <c r="AE176" s="531"/>
      <c r="AF176" s="531"/>
      <c r="AG176" s="531"/>
      <c r="AH176" s="531"/>
      <c r="AI176" s="531"/>
      <c r="AJ176" s="531"/>
      <c r="AK176" s="531"/>
      <c r="AL176" s="531"/>
      <c r="AO176" s="546"/>
      <c r="AP176" s="546"/>
      <c r="AQ176" s="546"/>
      <c r="AR176" s="546"/>
      <c r="AS176" s="546"/>
      <c r="AT176" s="546"/>
      <c r="AU176" s="546"/>
      <c r="AV176" s="546"/>
      <c r="AW176" s="546"/>
      <c r="AX176" s="546"/>
      <c r="AY176" s="546"/>
      <c r="AZ176" s="546"/>
      <c r="BA176" s="546"/>
      <c r="BB176" s="546"/>
      <c r="BC176" s="546"/>
      <c r="BF176" s="531" t="s">
        <v>37</v>
      </c>
    </row>
    <row r="177" spans="1:58" ht="15" customHeight="1">
      <c r="A177" s="531" t="str">
        <f>'EIA23 EQ Cost'!B138</f>
        <v>RWHEWHV520</v>
      </c>
      <c r="B177" s="531" t="str">
        <f>'EIA23 EQ Cost'!C138</f>
        <v>Electric Ver5.RWH.ELC.20</v>
      </c>
      <c r="C177" s="530" t="s">
        <v>32</v>
      </c>
      <c r="D177" s="531" t="s">
        <v>122</v>
      </c>
      <c r="E177" s="531" t="s">
        <v>150</v>
      </c>
      <c r="F177" s="547">
        <f>'EIA23 EQ Cost'!G138</f>
        <v>2020</v>
      </c>
      <c r="G177" s="587">
        <f>'EIA23 EQ Cost'!H138</f>
        <v>15.1</v>
      </c>
      <c r="H177" s="548">
        <f>'EIA23 EQ Cost'!J138</f>
        <v>8.7751925183233812</v>
      </c>
      <c r="I177" s="548">
        <f>'EIA23 EQ Cost'!K138</f>
        <v>0.92</v>
      </c>
      <c r="J177" s="531">
        <v>1</v>
      </c>
      <c r="K177" s="531">
        <v>0.15</v>
      </c>
      <c r="L177" s="531">
        <v>0.15</v>
      </c>
      <c r="M177" s="531">
        <v>0.15</v>
      </c>
      <c r="N177" s="531">
        <v>0.15</v>
      </c>
      <c r="O177" s="531">
        <v>0.15</v>
      </c>
      <c r="P177" s="531"/>
      <c r="Q177" s="531">
        <v>0.18</v>
      </c>
      <c r="R177" s="546"/>
      <c r="S177" s="546"/>
      <c r="T177" s="546"/>
      <c r="U177" s="546">
        <v>0</v>
      </c>
      <c r="V177" s="546">
        <v>0</v>
      </c>
      <c r="W177" s="546">
        <v>0</v>
      </c>
      <c r="X177" s="546">
        <v>0</v>
      </c>
      <c r="Y177" s="546">
        <v>0</v>
      </c>
      <c r="Z177" s="546">
        <v>0</v>
      </c>
      <c r="AA177" s="546">
        <v>0</v>
      </c>
      <c r="AD177" s="546"/>
      <c r="AE177" s="531"/>
      <c r="AF177" s="531"/>
      <c r="AG177" s="531"/>
      <c r="AH177" s="531"/>
      <c r="AI177" s="531"/>
      <c r="AJ177" s="531"/>
      <c r="AK177" s="531"/>
      <c r="AL177" s="531"/>
      <c r="AO177" s="546"/>
      <c r="AP177" s="546"/>
      <c r="AQ177" s="546"/>
      <c r="AR177" s="546"/>
      <c r="AS177" s="546"/>
      <c r="AT177" s="546"/>
      <c r="AU177" s="546"/>
      <c r="AV177" s="546"/>
      <c r="AW177" s="546"/>
      <c r="AX177" s="546"/>
      <c r="AY177" s="546"/>
      <c r="AZ177" s="546"/>
      <c r="BA177" s="546"/>
      <c r="BB177" s="546"/>
      <c r="BC177" s="546"/>
      <c r="BF177" s="531" t="s">
        <v>37</v>
      </c>
    </row>
    <row r="178" spans="1:58" ht="15" customHeight="1">
      <c r="A178" s="531" t="str">
        <f>'EIA23 EQ Cost'!B139</f>
        <v>RWHEWHV122</v>
      </c>
      <c r="B178" s="531" t="str">
        <f>'EIA23 EQ Cost'!C139</f>
        <v>Electric Ver1.RWH.ELC.22</v>
      </c>
      <c r="C178" s="530" t="s">
        <v>32</v>
      </c>
      <c r="D178" s="531" t="s">
        <v>122</v>
      </c>
      <c r="E178" s="531" t="s">
        <v>150</v>
      </c>
      <c r="F178" s="547">
        <f>'EIA23 EQ Cost'!G139</f>
        <v>2022</v>
      </c>
      <c r="G178" s="587">
        <f>'EIA23 EQ Cost'!H139</f>
        <v>15.1</v>
      </c>
      <c r="H178" s="548">
        <f>'EIA23 EQ Cost'!J139</f>
        <v>8.7751925183233812</v>
      </c>
      <c r="I178" s="548">
        <f>'EIA23 EQ Cost'!K139</f>
        <v>0.92</v>
      </c>
      <c r="J178" s="531">
        <v>1</v>
      </c>
      <c r="K178" s="531">
        <v>0.15</v>
      </c>
      <c r="L178" s="531">
        <v>0.15</v>
      </c>
      <c r="M178" s="531">
        <v>0.15</v>
      </c>
      <c r="N178" s="531">
        <v>0.15</v>
      </c>
      <c r="O178" s="531">
        <v>0.15</v>
      </c>
      <c r="P178" s="531"/>
      <c r="Q178" s="531">
        <v>0.18</v>
      </c>
      <c r="R178" s="546"/>
      <c r="S178" s="546"/>
      <c r="T178" s="546"/>
      <c r="U178" s="546"/>
      <c r="V178" s="546"/>
      <c r="W178" s="546"/>
      <c r="X178" s="546"/>
      <c r="Y178" s="546"/>
      <c r="Z178" s="546"/>
      <c r="AA178" s="546"/>
      <c r="AD178" s="546"/>
      <c r="AE178" s="531"/>
      <c r="AF178" s="531"/>
      <c r="AG178" s="531"/>
      <c r="AH178" s="531"/>
      <c r="AI178" s="531"/>
      <c r="AJ178" s="531"/>
      <c r="AK178" s="531"/>
      <c r="AL178" s="531"/>
      <c r="AO178" s="546"/>
      <c r="AP178" s="546"/>
      <c r="AQ178" s="546"/>
      <c r="AR178" s="546"/>
      <c r="AS178" s="546"/>
      <c r="AT178" s="546"/>
      <c r="AU178" s="546"/>
      <c r="AV178" s="546"/>
      <c r="AW178" s="546"/>
      <c r="AX178" s="546"/>
      <c r="AY178" s="546"/>
      <c r="AZ178" s="546"/>
      <c r="BA178" s="546"/>
      <c r="BB178" s="546"/>
      <c r="BC178" s="546"/>
      <c r="BF178" s="531" t="s">
        <v>37</v>
      </c>
    </row>
    <row r="179" spans="1:58" ht="15" customHeight="1">
      <c r="A179" s="531" t="str">
        <f>'EIA23 EQ Cost'!B140</f>
        <v>RWHEWHV222</v>
      </c>
      <c r="B179" s="531" t="str">
        <f>'EIA23 EQ Cost'!C140</f>
        <v>Electric Ver2.RWH.ELC.22</v>
      </c>
      <c r="C179" s="530" t="s">
        <v>32</v>
      </c>
      <c r="D179" s="531" t="s">
        <v>122</v>
      </c>
      <c r="E179" s="531" t="s">
        <v>150</v>
      </c>
      <c r="F179" s="547">
        <f>'EIA23 EQ Cost'!G140</f>
        <v>2022</v>
      </c>
      <c r="G179" s="587">
        <f>'EIA23 EQ Cost'!H140</f>
        <v>15.1</v>
      </c>
      <c r="H179" s="548">
        <f>'EIA23 EQ Cost'!J140</f>
        <v>9.5993818708730938</v>
      </c>
      <c r="I179" s="548">
        <f>'EIA23 EQ Cost'!K140</f>
        <v>0.93</v>
      </c>
      <c r="J179" s="531">
        <v>1</v>
      </c>
      <c r="K179" s="531">
        <v>0.15</v>
      </c>
      <c r="L179" s="531">
        <v>0.15</v>
      </c>
      <c r="M179" s="531">
        <v>0.15</v>
      </c>
      <c r="N179" s="531">
        <v>0.15</v>
      </c>
      <c r="O179" s="531">
        <v>0.15</v>
      </c>
      <c r="P179" s="531"/>
      <c r="Q179" s="531">
        <v>0.18</v>
      </c>
      <c r="R179" s="546"/>
      <c r="S179" s="546"/>
      <c r="T179" s="546"/>
      <c r="U179" s="546"/>
      <c r="V179" s="546"/>
      <c r="W179" s="546"/>
      <c r="X179" s="546"/>
      <c r="Y179" s="546"/>
      <c r="Z179" s="546"/>
      <c r="AA179" s="546"/>
      <c r="AD179" s="546"/>
      <c r="AE179" s="531"/>
      <c r="AF179" s="531"/>
      <c r="AG179" s="531"/>
      <c r="AH179" s="531"/>
      <c r="AI179" s="531"/>
      <c r="AJ179" s="531"/>
      <c r="AK179" s="531"/>
      <c r="AL179" s="531"/>
      <c r="AO179" s="546"/>
      <c r="AP179" s="546"/>
      <c r="AQ179" s="546"/>
      <c r="AR179" s="546"/>
      <c r="AS179" s="546"/>
      <c r="AT179" s="546"/>
      <c r="AU179" s="546"/>
      <c r="AV179" s="546"/>
      <c r="AW179" s="546"/>
      <c r="AX179" s="546"/>
      <c r="AY179" s="546"/>
      <c r="AZ179" s="546"/>
      <c r="BA179" s="546"/>
      <c r="BB179" s="546"/>
      <c r="BC179" s="546"/>
      <c r="BF179" s="531" t="s">
        <v>37</v>
      </c>
    </row>
    <row r="180" spans="1:58" ht="15" customHeight="1">
      <c r="A180" s="533" t="str">
        <f>'EIA23 EQ Cost'!B141</f>
        <v>*Fuel Oil (DSL) Storage Water Heaters</v>
      </c>
      <c r="B180" s="532"/>
      <c r="C180" s="533"/>
      <c r="D180" s="532"/>
      <c r="E180" s="532"/>
      <c r="F180" s="586"/>
      <c r="G180" s="588"/>
      <c r="H180" s="598"/>
      <c r="I180" s="598"/>
      <c r="J180" s="532"/>
      <c r="K180" s="532"/>
      <c r="L180" s="532"/>
      <c r="M180" s="532"/>
      <c r="N180" s="532"/>
      <c r="O180" s="532"/>
      <c r="P180" s="532"/>
      <c r="Q180" s="532"/>
      <c r="R180" s="558"/>
      <c r="S180" s="558"/>
      <c r="T180" s="558"/>
      <c r="U180" s="558"/>
      <c r="V180" s="558"/>
      <c r="W180" s="558"/>
      <c r="X180" s="558"/>
      <c r="Y180" s="558"/>
      <c r="Z180" s="558"/>
      <c r="AA180" s="558"/>
      <c r="AD180" s="558"/>
      <c r="AE180" s="532"/>
      <c r="AF180" s="532"/>
      <c r="AG180" s="532"/>
      <c r="AH180" s="532"/>
      <c r="AI180" s="532"/>
      <c r="AJ180" s="532"/>
      <c r="AK180" s="532"/>
      <c r="AL180" s="532"/>
      <c r="AM180" s="532"/>
      <c r="AO180" s="558"/>
      <c r="AP180" s="558"/>
      <c r="AQ180" s="558"/>
      <c r="AR180" s="558"/>
      <c r="AS180" s="558"/>
      <c r="AT180" s="558"/>
      <c r="AU180" s="558"/>
      <c r="AV180" s="558"/>
      <c r="AW180" s="558"/>
      <c r="AX180" s="558"/>
      <c r="AY180" s="558"/>
      <c r="AZ180" s="558"/>
      <c r="BA180" s="558"/>
      <c r="BB180" s="558"/>
      <c r="BC180" s="558"/>
      <c r="BF180" s="533" t="str">
        <f>A180</f>
        <v>*Fuel Oil (DSL) Storage Water Heaters</v>
      </c>
    </row>
    <row r="181" spans="1:58" ht="15" customHeight="1">
      <c r="A181" s="531" t="str">
        <f>'EIA23 EQ Cost'!B142</f>
        <v>RWHDSHV115</v>
      </c>
      <c r="B181" s="531" t="str">
        <f>'EIA23 EQ Cost'!C142</f>
        <v>Oil Ver1.RWH.DSH.15</v>
      </c>
      <c r="C181" s="530" t="s">
        <v>32</v>
      </c>
      <c r="D181" s="531" t="s">
        <v>126</v>
      </c>
      <c r="E181" s="531" t="s">
        <v>150</v>
      </c>
      <c r="F181" s="547">
        <f>'EIA23 EQ Cost'!G142</f>
        <v>2015</v>
      </c>
      <c r="G181" s="587">
        <f>'EIA23 EQ Cost'!H142</f>
        <v>13</v>
      </c>
      <c r="H181" s="548">
        <f>'EIA23 EQ Cost'!J142</f>
        <v>23.368192231115305</v>
      </c>
      <c r="I181" s="548">
        <f>'EIA23 EQ Cost'!K142</f>
        <v>0.51</v>
      </c>
      <c r="J181" s="531">
        <v>1</v>
      </c>
      <c r="K181" s="531">
        <v>0.15</v>
      </c>
      <c r="L181" s="531">
        <v>0.15</v>
      </c>
      <c r="M181" s="531">
        <v>0.15</v>
      </c>
      <c r="N181" s="531">
        <v>0.15</v>
      </c>
      <c r="O181" s="531">
        <v>0.15</v>
      </c>
      <c r="P181" s="531"/>
      <c r="Q181" s="531">
        <v>0.18</v>
      </c>
      <c r="R181" s="546"/>
      <c r="S181" s="546"/>
      <c r="T181" s="546">
        <v>0</v>
      </c>
      <c r="U181" s="546">
        <v>0</v>
      </c>
      <c r="V181" s="546">
        <v>0</v>
      </c>
      <c r="W181" s="546">
        <v>0</v>
      </c>
      <c r="X181" s="546">
        <v>0</v>
      </c>
      <c r="Y181" s="546">
        <v>0</v>
      </c>
      <c r="Z181" s="546">
        <v>0</v>
      </c>
      <c r="AA181" s="546">
        <v>0</v>
      </c>
      <c r="AD181" s="546"/>
      <c r="AE181" s="531"/>
      <c r="AF181" s="531"/>
      <c r="AG181" s="531"/>
      <c r="AH181" s="531"/>
      <c r="AI181" s="531"/>
      <c r="AJ181" s="531"/>
      <c r="AK181" s="531"/>
      <c r="AL181" s="531"/>
      <c r="AO181" s="546"/>
      <c r="AP181" s="546"/>
      <c r="AQ181" s="546"/>
      <c r="AR181" s="546"/>
      <c r="AS181" s="546"/>
      <c r="AT181" s="546"/>
      <c r="AU181" s="546"/>
      <c r="AV181" s="546"/>
      <c r="AW181" s="546"/>
      <c r="AX181" s="546"/>
      <c r="AY181" s="546"/>
      <c r="AZ181" s="546"/>
      <c r="BA181" s="546"/>
      <c r="BB181" s="546"/>
      <c r="BC181" s="546"/>
      <c r="BF181" s="531" t="s">
        <v>37</v>
      </c>
    </row>
    <row r="182" spans="1:58" ht="15" customHeight="1">
      <c r="A182" s="531" t="str">
        <f>'EIA23 EQ Cost'!B143</f>
        <v>RWHDSHV120</v>
      </c>
      <c r="B182" s="531" t="str">
        <f>'EIA23 EQ Cost'!C143</f>
        <v>Oil Ver1.RWH.DSH.20</v>
      </c>
      <c r="C182" s="530" t="s">
        <v>32</v>
      </c>
      <c r="D182" s="531" t="s">
        <v>126</v>
      </c>
      <c r="E182" s="531" t="s">
        <v>150</v>
      </c>
      <c r="F182" s="547">
        <f>'EIA23 EQ Cost'!G143</f>
        <v>2020</v>
      </c>
      <c r="G182" s="587">
        <f>'EIA23 EQ Cost'!H143</f>
        <v>13</v>
      </c>
      <c r="H182" s="548">
        <f>'EIA23 EQ Cost'!J143</f>
        <v>29.089035972342703</v>
      </c>
      <c r="I182" s="548">
        <f>'EIA23 EQ Cost'!K143</f>
        <v>0.67</v>
      </c>
      <c r="J182" s="531">
        <v>1</v>
      </c>
      <c r="K182" s="531">
        <v>0.15</v>
      </c>
      <c r="L182" s="531">
        <v>0.15</v>
      </c>
      <c r="M182" s="531">
        <v>0.15</v>
      </c>
      <c r="N182" s="531">
        <v>0.15</v>
      </c>
      <c r="O182" s="531">
        <v>0.15</v>
      </c>
      <c r="P182" s="531"/>
      <c r="Q182" s="531">
        <v>0.18</v>
      </c>
      <c r="R182" s="546"/>
      <c r="S182" s="546"/>
      <c r="T182" s="546"/>
      <c r="U182" s="546">
        <v>0</v>
      </c>
      <c r="V182" s="546">
        <v>0</v>
      </c>
      <c r="W182" s="546">
        <v>0</v>
      </c>
      <c r="X182" s="546">
        <v>0</v>
      </c>
      <c r="Y182" s="546">
        <v>0</v>
      </c>
      <c r="Z182" s="546">
        <v>0</v>
      </c>
      <c r="AA182" s="546">
        <v>0</v>
      </c>
      <c r="AD182" s="546"/>
      <c r="AE182" s="531"/>
      <c r="AF182" s="531"/>
      <c r="AG182" s="531"/>
      <c r="AH182" s="531"/>
      <c r="AI182" s="531"/>
      <c r="AJ182" s="531"/>
      <c r="AK182" s="531"/>
      <c r="AL182" s="531"/>
      <c r="AO182" s="546"/>
      <c r="AP182" s="546"/>
      <c r="AQ182" s="546"/>
      <c r="AR182" s="546"/>
      <c r="AS182" s="546"/>
      <c r="AT182" s="546"/>
      <c r="AU182" s="546"/>
      <c r="AV182" s="546"/>
      <c r="AW182" s="546"/>
      <c r="AX182" s="546"/>
      <c r="AY182" s="546"/>
      <c r="AZ182" s="546"/>
      <c r="BA182" s="546"/>
      <c r="BB182" s="546"/>
      <c r="BC182" s="546"/>
      <c r="BF182" s="531" t="s">
        <v>37</v>
      </c>
    </row>
    <row r="183" spans="1:58" ht="15" customHeight="1">
      <c r="A183" s="531" t="str">
        <f>'EIA23 EQ Cost'!B144</f>
        <v>RWHDSHV122</v>
      </c>
      <c r="B183" s="531" t="str">
        <f>'EIA23 EQ Cost'!C144</f>
        <v>Oil Ver1.RWH.DSH.22</v>
      </c>
      <c r="C183" s="530" t="s">
        <v>32</v>
      </c>
      <c r="D183" s="531" t="s">
        <v>126</v>
      </c>
      <c r="E183" s="531" t="s">
        <v>150</v>
      </c>
      <c r="F183" s="547">
        <f>'EIA23 EQ Cost'!G144</f>
        <v>2022</v>
      </c>
      <c r="G183" s="587">
        <f>'EIA23 EQ Cost'!H144</f>
        <v>15.5</v>
      </c>
      <c r="H183" s="548">
        <f>'EIA23 EQ Cost'!J144</f>
        <v>32.337311655920971</v>
      </c>
      <c r="I183" s="548">
        <f>'EIA23 EQ Cost'!K144</f>
        <v>0.64</v>
      </c>
      <c r="J183" s="531">
        <v>1</v>
      </c>
      <c r="K183" s="531">
        <v>0.15</v>
      </c>
      <c r="L183" s="531">
        <v>0.15</v>
      </c>
      <c r="M183" s="531">
        <v>0.15</v>
      </c>
      <c r="N183" s="531">
        <v>0.15</v>
      </c>
      <c r="O183" s="531">
        <v>0.15</v>
      </c>
      <c r="P183" s="531"/>
      <c r="Q183" s="531">
        <v>0.18</v>
      </c>
      <c r="R183" s="546"/>
      <c r="S183" s="546"/>
      <c r="T183" s="546"/>
      <c r="U183" s="546"/>
      <c r="V183" s="546">
        <v>0</v>
      </c>
      <c r="W183" s="546">
        <v>0</v>
      </c>
      <c r="X183" s="546">
        <v>0</v>
      </c>
      <c r="Y183" s="546">
        <v>0</v>
      </c>
      <c r="Z183" s="546">
        <v>0</v>
      </c>
      <c r="AA183" s="546">
        <v>0</v>
      </c>
      <c r="AD183" s="546"/>
      <c r="AE183" s="531"/>
      <c r="AF183" s="531"/>
      <c r="AG183" s="531"/>
      <c r="AH183" s="531"/>
      <c r="AI183" s="531"/>
      <c r="AJ183" s="531"/>
      <c r="AK183" s="531"/>
      <c r="AL183" s="531"/>
      <c r="AO183" s="546"/>
      <c r="AP183" s="546"/>
      <c r="AQ183" s="546"/>
      <c r="AR183" s="546"/>
      <c r="AS183" s="546"/>
      <c r="AT183" s="546"/>
      <c r="AU183" s="546"/>
      <c r="AV183" s="546"/>
      <c r="AW183" s="546"/>
      <c r="AX183" s="546"/>
      <c r="AY183" s="546"/>
      <c r="AZ183" s="546"/>
      <c r="BA183" s="546"/>
      <c r="BB183" s="546"/>
      <c r="BC183" s="546"/>
      <c r="BF183" s="531" t="s">
        <v>37</v>
      </c>
    </row>
    <row r="184" spans="1:58" ht="15" customHeight="1">
      <c r="A184" s="531" t="str">
        <f>'EIA23 EQ Cost'!B145</f>
        <v>RWHDSHV222</v>
      </c>
      <c r="B184" s="531" t="str">
        <f>'EIA23 EQ Cost'!C145</f>
        <v>Oil Ver1.RWH.DSH.22</v>
      </c>
      <c r="C184" s="530" t="s">
        <v>32</v>
      </c>
      <c r="D184" s="531" t="s">
        <v>126</v>
      </c>
      <c r="E184" s="531" t="s">
        <v>150</v>
      </c>
      <c r="F184" s="547">
        <f>'EIA23 EQ Cost'!G145</f>
        <v>2022</v>
      </c>
      <c r="G184" s="587">
        <f>'EIA23 EQ Cost'!H145</f>
        <v>15.5</v>
      </c>
      <c r="H184" s="548">
        <f>'EIA23 EQ Cost'!J145</f>
        <v>32.822128922126687</v>
      </c>
      <c r="I184" s="548">
        <f>'EIA23 EQ Cost'!K145</f>
        <v>0.66</v>
      </c>
      <c r="J184" s="531">
        <v>1</v>
      </c>
      <c r="K184" s="531">
        <v>0.15</v>
      </c>
      <c r="L184" s="531">
        <v>0.15</v>
      </c>
      <c r="M184" s="531">
        <v>0.15</v>
      </c>
      <c r="N184" s="531">
        <v>0.15</v>
      </c>
      <c r="O184" s="531">
        <v>0.15</v>
      </c>
      <c r="P184" s="531"/>
      <c r="Q184" s="531">
        <v>0.18</v>
      </c>
      <c r="R184" s="546"/>
      <c r="S184" s="546"/>
      <c r="T184" s="546"/>
      <c r="U184" s="546"/>
      <c r="V184" s="546"/>
      <c r="W184" s="546">
        <v>0</v>
      </c>
      <c r="X184" s="546">
        <v>0</v>
      </c>
      <c r="Y184" s="546">
        <v>0</v>
      </c>
      <c r="Z184" s="546">
        <v>0</v>
      </c>
      <c r="AA184" s="546">
        <v>0</v>
      </c>
      <c r="AD184" s="546"/>
      <c r="AE184" s="531"/>
      <c r="AF184" s="531"/>
      <c r="AG184" s="531"/>
      <c r="AH184" s="531"/>
      <c r="AI184" s="531"/>
      <c r="AJ184" s="531"/>
      <c r="AK184" s="531"/>
      <c r="AL184" s="531"/>
      <c r="AO184" s="546"/>
      <c r="AP184" s="546"/>
      <c r="AQ184" s="546"/>
      <c r="AR184" s="546"/>
      <c r="AS184" s="546"/>
      <c r="AT184" s="546"/>
      <c r="AU184" s="546"/>
      <c r="AV184" s="546"/>
      <c r="AW184" s="546"/>
      <c r="AX184" s="546"/>
      <c r="AY184" s="546"/>
      <c r="AZ184" s="546"/>
      <c r="BA184" s="546"/>
      <c r="BB184" s="546"/>
      <c r="BC184" s="546"/>
      <c r="BF184" s="531" t="s">
        <v>37</v>
      </c>
    </row>
    <row r="185" spans="1:58" ht="15" customHeight="1">
      <c r="A185" s="531" t="str">
        <f>'EIA23 EQ Cost'!B146</f>
        <v>RWHDSHV322</v>
      </c>
      <c r="B185" s="531" t="str">
        <f>'EIA23 EQ Cost'!C146</f>
        <v>Oil Ver2.RWH.DSH.22</v>
      </c>
      <c r="C185" s="530" t="s">
        <v>32</v>
      </c>
      <c r="D185" s="531" t="s">
        <v>126</v>
      </c>
      <c r="E185" s="531" t="s">
        <v>150</v>
      </c>
      <c r="F185" s="547">
        <f>'EIA23 EQ Cost'!G146</f>
        <v>2022</v>
      </c>
      <c r="G185" s="587">
        <f>'EIA23 EQ Cost'!H146</f>
        <v>15.5</v>
      </c>
      <c r="H185" s="548">
        <f>'EIA23 EQ Cost'!J146</f>
        <v>33.985690361020396</v>
      </c>
      <c r="I185" s="548">
        <f>'EIA23 EQ Cost'!K146</f>
        <v>0.68</v>
      </c>
      <c r="J185" s="531">
        <v>1</v>
      </c>
      <c r="K185" s="531">
        <v>0.15</v>
      </c>
      <c r="L185" s="531">
        <v>0.15</v>
      </c>
      <c r="M185" s="531">
        <v>0.15</v>
      </c>
      <c r="N185" s="531">
        <v>0.15</v>
      </c>
      <c r="O185" s="531">
        <v>0.15</v>
      </c>
      <c r="P185" s="531"/>
      <c r="Q185" s="531">
        <v>0.18</v>
      </c>
      <c r="R185" s="546"/>
      <c r="S185" s="546"/>
      <c r="T185" s="546"/>
      <c r="U185" s="546"/>
      <c r="V185" s="546"/>
      <c r="W185" s="546">
        <v>0</v>
      </c>
      <c r="X185" s="546">
        <v>0</v>
      </c>
      <c r="Y185" s="546">
        <v>0</v>
      </c>
      <c r="Z185" s="546">
        <v>0</v>
      </c>
      <c r="AA185" s="546">
        <v>0</v>
      </c>
      <c r="AD185" s="546"/>
      <c r="AE185" s="531"/>
      <c r="AF185" s="531"/>
      <c r="AG185" s="531"/>
      <c r="AH185" s="531"/>
      <c r="AI185" s="531"/>
      <c r="AJ185" s="531"/>
      <c r="AK185" s="531"/>
      <c r="AL185" s="531"/>
      <c r="AO185" s="546"/>
      <c r="AP185" s="546"/>
      <c r="AQ185" s="546"/>
      <c r="AR185" s="546"/>
      <c r="AS185" s="546"/>
      <c r="AT185" s="546"/>
      <c r="AU185" s="546"/>
      <c r="AV185" s="546"/>
      <c r="AW185" s="546"/>
      <c r="AX185" s="546"/>
      <c r="AY185" s="546"/>
      <c r="AZ185" s="546"/>
      <c r="BA185" s="546"/>
      <c r="BB185" s="546"/>
      <c r="BC185" s="546"/>
      <c r="BF185" s="531" t="s">
        <v>37</v>
      </c>
    </row>
    <row r="186" spans="1:58" ht="15" customHeight="1">
      <c r="A186" s="533" t="str">
        <f>'EIA23 EQ Cost'!B147</f>
        <v>*Natural Gas Instantenous Water Heaters</v>
      </c>
      <c r="B186" s="532"/>
      <c r="C186" s="533"/>
      <c r="D186" s="532"/>
      <c r="E186" s="532"/>
      <c r="F186" s="586"/>
      <c r="G186" s="588"/>
      <c r="H186" s="598"/>
      <c r="I186" s="598"/>
      <c r="J186" s="532"/>
      <c r="K186" s="532"/>
      <c r="L186" s="532"/>
      <c r="M186" s="532"/>
      <c r="N186" s="532"/>
      <c r="O186" s="532"/>
      <c r="P186" s="532"/>
      <c r="Q186" s="532"/>
      <c r="R186" s="558"/>
      <c r="S186" s="558"/>
      <c r="T186" s="558"/>
      <c r="U186" s="558"/>
      <c r="V186" s="558"/>
      <c r="W186" s="558"/>
      <c r="X186" s="558"/>
      <c r="Y186" s="558"/>
      <c r="Z186" s="558"/>
      <c r="AA186" s="558"/>
      <c r="AD186" s="558"/>
      <c r="AE186" s="532"/>
      <c r="AF186" s="532"/>
      <c r="AG186" s="532"/>
      <c r="AH186" s="532"/>
      <c r="AI186" s="532"/>
      <c r="AJ186" s="532"/>
      <c r="AK186" s="532"/>
      <c r="AL186" s="532"/>
      <c r="AM186" s="532"/>
      <c r="AO186" s="558"/>
      <c r="AP186" s="558"/>
      <c r="AQ186" s="558"/>
      <c r="AR186" s="558"/>
      <c r="AS186" s="558"/>
      <c r="AT186" s="558"/>
      <c r="AU186" s="558"/>
      <c r="AV186" s="558"/>
      <c r="AW186" s="558"/>
      <c r="AX186" s="558"/>
      <c r="AY186" s="558"/>
      <c r="AZ186" s="558"/>
      <c r="BA186" s="558"/>
      <c r="BB186" s="558"/>
      <c r="BC186" s="558"/>
      <c r="BF186" s="533" t="str">
        <f>A186</f>
        <v>*Natural Gas Instantenous Water Heaters</v>
      </c>
    </row>
    <row r="187" spans="1:58" ht="15" customHeight="1">
      <c r="A187" s="531" t="str">
        <f>'EIA23 EQ Cost'!B148</f>
        <v>RWHNGIV115</v>
      </c>
      <c r="B187" s="531" t="str">
        <f>'EIA23 EQ Cost'!C148</f>
        <v>Natural Gas Instant Ver1.RWH.NGA.15</v>
      </c>
      <c r="C187" s="530" t="s">
        <v>32</v>
      </c>
      <c r="D187" s="531" t="s">
        <v>125</v>
      </c>
      <c r="E187" s="531" t="s">
        <v>150</v>
      </c>
      <c r="F187" s="547">
        <f>'EIA23 EQ Cost'!G148</f>
        <v>2015</v>
      </c>
      <c r="G187" s="587">
        <f>'EIA23 EQ Cost'!H148</f>
        <v>19</v>
      </c>
      <c r="H187" s="548">
        <f>'EIA23 EQ Cost'!J148</f>
        <v>31.076786763786128</v>
      </c>
      <c r="I187" s="548">
        <f>'EIA23 EQ Cost'!K148</f>
        <v>0.81</v>
      </c>
      <c r="J187" s="531">
        <v>1</v>
      </c>
      <c r="K187" s="531">
        <v>0.15</v>
      </c>
      <c r="L187" s="531">
        <v>0.15</v>
      </c>
      <c r="M187" s="531">
        <v>0.15</v>
      </c>
      <c r="N187" s="531">
        <v>0.15</v>
      </c>
      <c r="O187" s="531">
        <v>0.15</v>
      </c>
      <c r="P187" s="545"/>
      <c r="Q187" s="531">
        <v>0.18</v>
      </c>
      <c r="R187" s="597"/>
      <c r="S187" s="597"/>
      <c r="T187" s="597">
        <v>0</v>
      </c>
      <c r="U187" s="597">
        <v>0</v>
      </c>
      <c r="V187" s="597">
        <v>0</v>
      </c>
      <c r="W187" s="597">
        <v>0</v>
      </c>
      <c r="X187" s="597">
        <v>0</v>
      </c>
      <c r="Y187" s="597">
        <v>0</v>
      </c>
      <c r="Z187" s="597">
        <v>0</v>
      </c>
      <c r="AA187" s="546">
        <v>0</v>
      </c>
      <c r="AD187" s="546"/>
      <c r="AE187" s="531"/>
      <c r="AF187" s="531"/>
      <c r="AG187" s="531"/>
      <c r="AH187" s="531"/>
      <c r="AI187" s="531"/>
      <c r="AJ187" s="531"/>
      <c r="AK187" s="531"/>
      <c r="AL187" s="531"/>
      <c r="AM187" s="531"/>
      <c r="AO187" s="597"/>
      <c r="AP187" s="597"/>
      <c r="AQ187" s="597"/>
      <c r="AR187" s="597"/>
      <c r="AS187" s="597"/>
      <c r="AT187" s="597"/>
      <c r="AU187" s="597"/>
      <c r="AV187" s="597"/>
      <c r="AW187" s="597"/>
      <c r="AX187" s="597"/>
      <c r="AY187" s="597"/>
      <c r="AZ187" s="597"/>
      <c r="BA187" s="597"/>
      <c r="BB187" s="597"/>
      <c r="BC187" s="597"/>
      <c r="BF187" s="531" t="s">
        <v>37</v>
      </c>
    </row>
    <row r="188" spans="1:58" ht="15" customHeight="1">
      <c r="A188" s="531" t="str">
        <f>'EIA23 EQ Cost'!B149</f>
        <v>RWHNGIV120</v>
      </c>
      <c r="B188" s="531" t="str">
        <f>'EIA23 EQ Cost'!C149</f>
        <v>Natural Gas Instant Ver1.RWH.NGA.20</v>
      </c>
      <c r="C188" s="530" t="s">
        <v>32</v>
      </c>
      <c r="D188" s="531" t="s">
        <v>125</v>
      </c>
      <c r="E188" s="531" t="s">
        <v>150</v>
      </c>
      <c r="F188" s="547">
        <f>'EIA23 EQ Cost'!G149</f>
        <v>2020</v>
      </c>
      <c r="G188" s="587">
        <f>'EIA23 EQ Cost'!H149</f>
        <v>19</v>
      </c>
      <c r="H188" s="548">
        <f>'EIA23 EQ Cost'!J149</f>
        <v>24.774162303111872</v>
      </c>
      <c r="I188" s="548">
        <f>'EIA23 EQ Cost'!K149</f>
        <v>0.89</v>
      </c>
      <c r="J188" s="531">
        <v>1</v>
      </c>
      <c r="K188" s="531">
        <v>0.15</v>
      </c>
      <c r="L188" s="531">
        <v>0.15</v>
      </c>
      <c r="M188" s="531">
        <v>0.15</v>
      </c>
      <c r="N188" s="531">
        <v>0.15</v>
      </c>
      <c r="O188" s="531">
        <v>0.15</v>
      </c>
      <c r="P188" s="531"/>
      <c r="Q188" s="531">
        <v>0.18</v>
      </c>
      <c r="R188" s="546"/>
      <c r="S188" s="546"/>
      <c r="T188" s="546"/>
      <c r="U188" s="546">
        <v>0</v>
      </c>
      <c r="V188" s="546">
        <v>0</v>
      </c>
      <c r="W188" s="546">
        <v>0</v>
      </c>
      <c r="X188" s="546">
        <v>0</v>
      </c>
      <c r="Y188" s="546">
        <v>0</v>
      </c>
      <c r="Z188" s="546">
        <v>0</v>
      </c>
      <c r="AA188" s="546">
        <v>0</v>
      </c>
      <c r="AD188" s="546"/>
      <c r="AE188" s="531"/>
      <c r="AF188" s="531"/>
      <c r="AG188" s="531"/>
      <c r="AH188" s="531"/>
      <c r="AI188" s="531"/>
      <c r="AJ188" s="531"/>
      <c r="AK188" s="531"/>
      <c r="AL188" s="531"/>
      <c r="AM188" s="531"/>
      <c r="AO188" s="549"/>
      <c r="AP188" s="549"/>
      <c r="AQ188" s="549"/>
      <c r="AR188" s="549"/>
      <c r="AS188" s="549"/>
      <c r="AT188" s="549"/>
      <c r="AU188" s="549"/>
      <c r="AV188" s="549"/>
      <c r="AW188" s="549"/>
      <c r="AX188" s="549"/>
      <c r="AY188" s="549"/>
      <c r="AZ188" s="549"/>
      <c r="BA188" s="549"/>
      <c r="BB188" s="549"/>
      <c r="BC188" s="549"/>
      <c r="BF188" s="531" t="s">
        <v>37</v>
      </c>
    </row>
    <row r="189" spans="1:58" ht="15" customHeight="1">
      <c r="A189" s="531" t="str">
        <f>'EIA23 EQ Cost'!B150</f>
        <v>RWHNGIV122</v>
      </c>
      <c r="B189" s="531" t="str">
        <f>'EIA23 EQ Cost'!C150</f>
        <v>Natural Gas Instant Ver1.RWH.NGA.22</v>
      </c>
      <c r="C189" s="530" t="s">
        <v>32</v>
      </c>
      <c r="D189" s="531" t="s">
        <v>125</v>
      </c>
      <c r="E189" s="531" t="s">
        <v>150</v>
      </c>
      <c r="F189" s="547">
        <f>'EIA23 EQ Cost'!G150</f>
        <v>2020</v>
      </c>
      <c r="G189" s="587">
        <f>'EIA23 EQ Cost'!H150</f>
        <v>20</v>
      </c>
      <c r="H189" s="548">
        <f>'EIA23 EQ Cost'!J150</f>
        <v>18.326092662575906</v>
      </c>
      <c r="I189" s="548">
        <f>'EIA23 EQ Cost'!K150</f>
        <v>0.81</v>
      </c>
      <c r="J189" s="531">
        <v>1</v>
      </c>
      <c r="K189" s="531">
        <v>0.15</v>
      </c>
      <c r="L189" s="531">
        <v>0.15</v>
      </c>
      <c r="M189" s="531">
        <v>0.15</v>
      </c>
      <c r="N189" s="531">
        <v>0.15</v>
      </c>
      <c r="O189" s="531">
        <v>0.15</v>
      </c>
      <c r="P189" s="531"/>
      <c r="Q189" s="531">
        <v>0.18</v>
      </c>
      <c r="R189" s="546"/>
      <c r="S189" s="546"/>
      <c r="T189" s="546"/>
      <c r="U189" s="546">
        <v>0</v>
      </c>
      <c r="V189" s="546">
        <v>0</v>
      </c>
      <c r="W189" s="546">
        <v>0</v>
      </c>
      <c r="X189" s="546">
        <v>0</v>
      </c>
      <c r="Y189" s="546">
        <v>0</v>
      </c>
      <c r="Z189" s="546">
        <v>0</v>
      </c>
      <c r="AA189" s="546">
        <v>0</v>
      </c>
      <c r="AD189" s="546"/>
      <c r="AE189" s="531"/>
      <c r="AF189" s="531"/>
      <c r="AG189" s="531"/>
      <c r="AH189" s="531"/>
      <c r="AI189" s="531"/>
      <c r="AJ189" s="531"/>
      <c r="AK189" s="531"/>
      <c r="AL189" s="531"/>
      <c r="AO189" s="549"/>
      <c r="AP189" s="549"/>
      <c r="AQ189" s="549"/>
      <c r="AR189" s="549"/>
      <c r="AS189" s="549"/>
      <c r="AT189" s="549"/>
      <c r="AU189" s="549"/>
      <c r="AV189" s="549"/>
      <c r="AW189" s="549"/>
      <c r="AX189" s="549"/>
      <c r="AY189" s="549"/>
      <c r="AZ189" s="549"/>
      <c r="BA189" s="549"/>
      <c r="BB189" s="549"/>
      <c r="BC189" s="549"/>
      <c r="BF189" s="531" t="s">
        <v>37</v>
      </c>
    </row>
    <row r="190" spans="1:58" ht="15" customHeight="1">
      <c r="A190" s="531" t="str">
        <f>'EIA23 EQ Cost'!B151</f>
        <v>RWHNGIV122</v>
      </c>
      <c r="B190" s="531" t="str">
        <f>'EIA23 EQ Cost'!C151</f>
        <v>Natural Gas Instant Ver1.RWH.NGA.22</v>
      </c>
      <c r="C190" s="530" t="s">
        <v>32</v>
      </c>
      <c r="D190" s="531" t="s">
        <v>125</v>
      </c>
      <c r="E190" s="531" t="s">
        <v>150</v>
      </c>
      <c r="F190" s="547">
        <f>'EIA23 EQ Cost'!G151</f>
        <v>2020</v>
      </c>
      <c r="G190" s="587">
        <f>'EIA23 EQ Cost'!H151</f>
        <v>20</v>
      </c>
      <c r="H190" s="548">
        <f>'EIA23 EQ Cost'!J151</f>
        <v>18.326092662575906</v>
      </c>
      <c r="I190" s="548">
        <f>'EIA23 EQ Cost'!K151</f>
        <v>0.81</v>
      </c>
      <c r="J190" s="531">
        <v>1</v>
      </c>
      <c r="K190" s="531">
        <v>0.15</v>
      </c>
      <c r="L190" s="531">
        <v>0.15</v>
      </c>
      <c r="M190" s="531">
        <v>0.15</v>
      </c>
      <c r="N190" s="531">
        <v>0.15</v>
      </c>
      <c r="O190" s="531">
        <v>0.15</v>
      </c>
      <c r="P190" s="531"/>
      <c r="Q190" s="531">
        <v>0.18</v>
      </c>
      <c r="R190" s="546"/>
      <c r="S190" s="546"/>
      <c r="T190" s="546"/>
      <c r="U190" s="546"/>
      <c r="V190" s="546">
        <v>0</v>
      </c>
      <c r="W190" s="546">
        <v>0</v>
      </c>
      <c r="X190" s="546">
        <v>0</v>
      </c>
      <c r="Y190" s="546">
        <v>0</v>
      </c>
      <c r="Z190" s="546">
        <v>0</v>
      </c>
      <c r="AA190" s="546">
        <v>0</v>
      </c>
      <c r="AD190" s="546"/>
      <c r="AE190" s="531"/>
      <c r="AF190" s="531"/>
      <c r="AG190" s="531"/>
      <c r="AH190" s="531"/>
      <c r="AI190" s="531"/>
      <c r="AJ190" s="531"/>
      <c r="AK190" s="531"/>
      <c r="AL190" s="531"/>
      <c r="AO190" s="546"/>
      <c r="AP190" s="546"/>
      <c r="AQ190" s="546"/>
      <c r="AR190" s="546"/>
      <c r="AS190" s="546"/>
      <c r="AT190" s="546"/>
      <c r="AU190" s="546"/>
      <c r="AV190" s="546"/>
      <c r="AW190" s="546"/>
      <c r="AX190" s="546"/>
      <c r="AY190" s="546"/>
      <c r="AZ190" s="546"/>
      <c r="BA190" s="546"/>
      <c r="BB190" s="546"/>
      <c r="BC190" s="546"/>
      <c r="BF190" s="531" t="s">
        <v>37</v>
      </c>
    </row>
    <row r="191" spans="1:58" ht="15" customHeight="1">
      <c r="A191" s="531" t="str">
        <f>'EIA23 EQ Cost'!B152</f>
        <v>RWHNGIV222</v>
      </c>
      <c r="B191" s="531" t="str">
        <f>'EIA23 EQ Cost'!C152</f>
        <v>Natural Gas Instant Ver2.RWH.NGA.22</v>
      </c>
      <c r="C191" s="530" t="s">
        <v>32</v>
      </c>
      <c r="D191" s="531" t="s">
        <v>125</v>
      </c>
      <c r="E191" s="531" t="s">
        <v>150</v>
      </c>
      <c r="F191" s="547">
        <f>'EIA23 EQ Cost'!G152</f>
        <v>2022</v>
      </c>
      <c r="G191" s="587">
        <f>'EIA23 EQ Cost'!H152</f>
        <v>20</v>
      </c>
      <c r="H191" s="548">
        <f>'EIA23 EQ Cost'!J152</f>
        <v>19.829026187813611</v>
      </c>
      <c r="I191" s="548">
        <f>'EIA23 EQ Cost'!K152</f>
        <v>0.87</v>
      </c>
      <c r="J191" s="531">
        <v>1</v>
      </c>
      <c r="K191" s="531">
        <v>0.15</v>
      </c>
      <c r="L191" s="531">
        <v>0.15</v>
      </c>
      <c r="M191" s="531">
        <v>0.15</v>
      </c>
      <c r="N191" s="531">
        <v>0.15</v>
      </c>
      <c r="O191" s="531">
        <v>0.15</v>
      </c>
      <c r="P191" s="531"/>
      <c r="Q191" s="531">
        <v>0.18</v>
      </c>
      <c r="R191" s="546"/>
      <c r="S191" s="546"/>
      <c r="T191" s="546"/>
      <c r="U191" s="546"/>
      <c r="V191" s="546">
        <v>0</v>
      </c>
      <c r="W191" s="546">
        <v>0</v>
      </c>
      <c r="X191" s="546">
        <v>0</v>
      </c>
      <c r="Y191" s="546">
        <v>0</v>
      </c>
      <c r="Z191" s="546">
        <v>0</v>
      </c>
      <c r="AA191" s="546">
        <v>0</v>
      </c>
      <c r="AD191" s="546"/>
      <c r="AE191" s="531"/>
      <c r="AF191" s="531"/>
      <c r="AG191" s="531"/>
      <c r="AH191" s="531"/>
      <c r="AI191" s="531"/>
      <c r="AJ191" s="531"/>
      <c r="AK191" s="531"/>
      <c r="AL191" s="531"/>
      <c r="AO191" s="546"/>
      <c r="AP191" s="546"/>
      <c r="AQ191" s="546"/>
      <c r="AR191" s="546"/>
      <c r="AS191" s="546"/>
      <c r="AT191" s="546"/>
      <c r="AU191" s="546"/>
      <c r="AV191" s="546"/>
      <c r="AW191" s="546"/>
      <c r="AX191" s="546"/>
      <c r="AY191" s="546"/>
      <c r="AZ191" s="546"/>
      <c r="BA191" s="546"/>
      <c r="BB191" s="546"/>
      <c r="BC191" s="546"/>
      <c r="BF191" s="531" t="s">
        <v>37</v>
      </c>
    </row>
    <row r="192" spans="1:58" ht="15" customHeight="1">
      <c r="A192" s="531" t="str">
        <f>'EIA23 EQ Cost'!B153</f>
        <v>RWHNGIV322</v>
      </c>
      <c r="B192" s="531" t="str">
        <f>'EIA23 EQ Cost'!C153</f>
        <v>Natural Gas Instant Ver3.RWH.NGA.22</v>
      </c>
      <c r="C192" s="530" t="s">
        <v>32</v>
      </c>
      <c r="D192" s="531" t="s">
        <v>125</v>
      </c>
      <c r="E192" s="531" t="s">
        <v>150</v>
      </c>
      <c r="F192" s="547">
        <f>'EIA23 EQ Cost'!G153</f>
        <v>2022</v>
      </c>
      <c r="G192" s="587">
        <f>'EIA23 EQ Cost'!H153</f>
        <v>20</v>
      </c>
      <c r="H192" s="548">
        <f>'EIA23 EQ Cost'!J153</f>
        <v>20.94410590008675</v>
      </c>
      <c r="I192" s="548">
        <f>'EIA23 EQ Cost'!K153</f>
        <v>0.97</v>
      </c>
      <c r="J192" s="531">
        <v>1</v>
      </c>
      <c r="K192" s="531">
        <v>0.15</v>
      </c>
      <c r="L192" s="531">
        <v>0.15</v>
      </c>
      <c r="M192" s="531">
        <v>0.15</v>
      </c>
      <c r="N192" s="531">
        <v>0.15</v>
      </c>
      <c r="O192" s="531">
        <v>0.15</v>
      </c>
      <c r="P192" s="531"/>
      <c r="Q192" s="531">
        <v>0.18</v>
      </c>
      <c r="R192" s="546"/>
      <c r="S192" s="546"/>
      <c r="T192" s="546"/>
      <c r="U192" s="546"/>
      <c r="V192" s="546">
        <v>0</v>
      </c>
      <c r="W192" s="546">
        <v>0</v>
      </c>
      <c r="X192" s="546">
        <v>0</v>
      </c>
      <c r="Y192" s="546">
        <v>0</v>
      </c>
      <c r="Z192" s="546">
        <v>0</v>
      </c>
      <c r="AA192" s="546">
        <v>0</v>
      </c>
      <c r="AD192" s="546"/>
      <c r="AE192" s="531"/>
      <c r="AF192" s="531"/>
      <c r="AG192" s="531"/>
      <c r="AH192" s="531"/>
      <c r="AI192" s="531"/>
      <c r="AJ192" s="531"/>
      <c r="AK192" s="531"/>
      <c r="AL192" s="531"/>
      <c r="AO192" s="546"/>
      <c r="AP192" s="546"/>
      <c r="AQ192" s="546"/>
      <c r="AR192" s="546"/>
      <c r="AS192" s="546"/>
      <c r="AT192" s="546"/>
      <c r="AU192" s="546"/>
      <c r="AV192" s="546"/>
      <c r="AW192" s="546"/>
      <c r="AX192" s="546"/>
      <c r="AY192" s="546"/>
      <c r="AZ192" s="546"/>
      <c r="BA192" s="546"/>
      <c r="BB192" s="546"/>
      <c r="BC192" s="546"/>
      <c r="BF192" s="531" t="s">
        <v>37</v>
      </c>
    </row>
    <row r="193" spans="1:58" ht="15" customHeight="1">
      <c r="A193" s="531" t="str">
        <f>'EIA23 EQ Cost'!B154</f>
        <v>RWHNGIV123</v>
      </c>
      <c r="B193" s="531" t="str">
        <f>'EIA23 EQ Cost'!C154</f>
        <v>Natural Gas Instant Ver1.RWH.NGI.23</v>
      </c>
      <c r="C193" s="530" t="s">
        <v>32</v>
      </c>
      <c r="D193" s="531" t="s">
        <v>125</v>
      </c>
      <c r="E193" s="531" t="s">
        <v>150</v>
      </c>
      <c r="F193" s="547">
        <f>'EIA23 EQ Cost'!G154</f>
        <v>2023</v>
      </c>
      <c r="G193" s="587">
        <f>'EIA23 EQ Cost'!H154</f>
        <v>20</v>
      </c>
      <c r="H193" s="548">
        <f>'EIA23 EQ Cost'!J154</f>
        <v>20.895624173466182</v>
      </c>
      <c r="I193" s="548">
        <f>'EIA23 EQ Cost'!K154</f>
        <v>0.95</v>
      </c>
      <c r="J193" s="531">
        <v>1</v>
      </c>
      <c r="K193" s="531">
        <v>0.15</v>
      </c>
      <c r="L193" s="531">
        <v>0.15</v>
      </c>
      <c r="M193" s="531">
        <v>0.15</v>
      </c>
      <c r="N193" s="531">
        <v>0.15</v>
      </c>
      <c r="O193" s="531">
        <v>0.15</v>
      </c>
      <c r="P193" s="531"/>
      <c r="Q193" s="531">
        <v>0.18</v>
      </c>
      <c r="R193" s="546"/>
      <c r="S193" s="546"/>
      <c r="T193" s="546"/>
      <c r="U193" s="546"/>
      <c r="V193" s="546">
        <v>0</v>
      </c>
      <c r="W193" s="546">
        <v>0</v>
      </c>
      <c r="X193" s="546">
        <v>0</v>
      </c>
      <c r="Y193" s="546">
        <v>0</v>
      </c>
      <c r="Z193" s="546">
        <v>0</v>
      </c>
      <c r="AA193" s="546">
        <v>0</v>
      </c>
      <c r="AD193" s="546"/>
      <c r="AE193" s="531"/>
      <c r="AF193" s="531"/>
      <c r="AG193" s="531"/>
      <c r="AH193" s="531"/>
      <c r="AI193" s="531"/>
      <c r="AJ193" s="531"/>
      <c r="AK193" s="531"/>
      <c r="AL193" s="531"/>
      <c r="AO193" s="546"/>
      <c r="AP193" s="546"/>
      <c r="AQ193" s="546"/>
      <c r="AR193" s="546"/>
      <c r="AS193" s="546"/>
      <c r="AT193" s="546"/>
      <c r="AU193" s="546"/>
      <c r="AV193" s="546"/>
      <c r="AW193" s="546"/>
      <c r="AX193" s="546"/>
      <c r="AY193" s="546"/>
      <c r="AZ193" s="546"/>
      <c r="BA193" s="546"/>
      <c r="BB193" s="546"/>
      <c r="BC193" s="546"/>
      <c r="BF193" s="531" t="s">
        <v>37</v>
      </c>
    </row>
    <row r="194" spans="1:58" ht="15" customHeight="1">
      <c r="A194" s="531" t="str">
        <f>'EIA23 EQ Cost'!B155</f>
        <v>RWHNGIV130</v>
      </c>
      <c r="B194" s="531" t="str">
        <f>'EIA23 EQ Cost'!C155</f>
        <v>Natural Gas Instant Ver1.RWH.NGA.30</v>
      </c>
      <c r="C194" s="530" t="s">
        <v>32</v>
      </c>
      <c r="D194" s="531" t="s">
        <v>125</v>
      </c>
      <c r="E194" s="531" t="s">
        <v>150</v>
      </c>
      <c r="F194" s="547">
        <f>'EIA23 EQ Cost'!G155</f>
        <v>2030</v>
      </c>
      <c r="G194" s="587">
        <f>'EIA23 EQ Cost'!H155</f>
        <v>20</v>
      </c>
      <c r="H194" s="548">
        <f>'EIA23 EQ Cost'!J155</f>
        <v>20.507770360501606</v>
      </c>
      <c r="I194" s="548">
        <f>'EIA23 EQ Cost'!K155</f>
        <v>0.92</v>
      </c>
      <c r="J194" s="531">
        <v>1</v>
      </c>
      <c r="K194" s="531">
        <v>0.15</v>
      </c>
      <c r="L194" s="531">
        <v>0.15</v>
      </c>
      <c r="M194" s="531">
        <v>0.15</v>
      </c>
      <c r="N194" s="531">
        <v>0.15</v>
      </c>
      <c r="O194" s="531">
        <v>0.15</v>
      </c>
      <c r="P194" s="531"/>
      <c r="Q194" s="531">
        <v>0.18</v>
      </c>
      <c r="R194" s="546"/>
      <c r="S194" s="546"/>
      <c r="T194" s="546"/>
      <c r="U194" s="546"/>
      <c r="V194" s="546"/>
      <c r="W194" s="546"/>
      <c r="X194" s="546"/>
      <c r="Y194" s="546"/>
      <c r="Z194" s="546"/>
      <c r="AA194" s="546"/>
      <c r="AD194" s="546"/>
      <c r="AE194" s="531"/>
      <c r="AF194" s="531"/>
      <c r="AG194" s="531"/>
      <c r="AH194" s="531"/>
      <c r="AI194" s="531"/>
      <c r="AJ194" s="531"/>
      <c r="AK194" s="531"/>
      <c r="AL194" s="531"/>
      <c r="AO194" s="546"/>
      <c r="AP194" s="546"/>
      <c r="AQ194" s="546"/>
      <c r="AR194" s="546"/>
      <c r="AS194" s="546"/>
      <c r="AT194" s="546"/>
      <c r="AU194" s="546"/>
      <c r="AV194" s="546"/>
      <c r="AW194" s="546"/>
      <c r="AX194" s="546"/>
      <c r="AY194" s="546"/>
      <c r="AZ194" s="546"/>
      <c r="BA194" s="546"/>
      <c r="BB194" s="546"/>
      <c r="BC194" s="546"/>
      <c r="BF194" s="531" t="s">
        <v>37</v>
      </c>
    </row>
    <row r="195" spans="1:58" ht="15" customHeight="1">
      <c r="A195" s="531" t="str">
        <f>'EIA23 EQ Cost'!B156</f>
        <v>RWHNGIV230</v>
      </c>
      <c r="B195" s="531" t="str">
        <f>'EIA23 EQ Cost'!C156</f>
        <v>Natural Gas Instant Ver2.RWH.NGA.30</v>
      </c>
      <c r="C195" s="530" t="s">
        <v>32</v>
      </c>
      <c r="D195" s="531" t="s">
        <v>125</v>
      </c>
      <c r="E195" s="531" t="s">
        <v>150</v>
      </c>
      <c r="F195" s="547">
        <f>'EIA23 EQ Cost'!G156</f>
        <v>2030</v>
      </c>
      <c r="G195" s="587">
        <f>'EIA23 EQ Cost'!H156</f>
        <v>20</v>
      </c>
      <c r="H195" s="548">
        <f>'EIA23 EQ Cost'!J156</f>
        <v>20.94410590008675</v>
      </c>
      <c r="I195" s="548">
        <f>'EIA23 EQ Cost'!K156</f>
        <v>0.97</v>
      </c>
      <c r="J195" s="531">
        <v>1</v>
      </c>
      <c r="K195" s="531">
        <v>0.15</v>
      </c>
      <c r="L195" s="531">
        <v>0.15</v>
      </c>
      <c r="M195" s="531">
        <v>0.15</v>
      </c>
      <c r="N195" s="531">
        <v>0.15</v>
      </c>
      <c r="O195" s="531">
        <v>0.15</v>
      </c>
      <c r="P195" s="531"/>
      <c r="Q195" s="531">
        <v>0.18</v>
      </c>
      <c r="R195" s="546"/>
      <c r="S195" s="546"/>
      <c r="T195" s="546"/>
      <c r="U195" s="546"/>
      <c r="V195" s="546"/>
      <c r="W195" s="546"/>
      <c r="X195" s="546"/>
      <c r="Y195" s="546"/>
      <c r="Z195" s="546"/>
      <c r="AA195" s="546"/>
      <c r="AD195" s="546"/>
      <c r="AE195" s="531"/>
      <c r="AF195" s="531"/>
      <c r="AG195" s="531"/>
      <c r="AH195" s="531"/>
      <c r="AI195" s="531"/>
      <c r="AJ195" s="531"/>
      <c r="AK195" s="531"/>
      <c r="AL195" s="531"/>
      <c r="AO195" s="546"/>
      <c r="AP195" s="546"/>
      <c r="AQ195" s="546"/>
      <c r="AR195" s="546"/>
      <c r="AS195" s="546"/>
      <c r="AT195" s="546"/>
      <c r="AU195" s="546"/>
      <c r="AV195" s="546"/>
      <c r="AW195" s="546"/>
      <c r="AX195" s="546"/>
      <c r="AY195" s="546"/>
      <c r="AZ195" s="546"/>
      <c r="BA195" s="546"/>
      <c r="BB195" s="546"/>
      <c r="BC195" s="546"/>
      <c r="BF195" s="531" t="s">
        <v>37</v>
      </c>
    </row>
    <row r="196" spans="1:58" ht="15" customHeight="1">
      <c r="A196" s="533" t="str">
        <f>'EIA23 EQ Cost'!B157</f>
        <v>*Solar (EIA EQ: Residentail Solar Water Heaters)</v>
      </c>
      <c r="B196" s="532"/>
      <c r="C196" s="533"/>
      <c r="D196" s="532"/>
      <c r="E196" s="532"/>
      <c r="F196" s="586"/>
      <c r="G196" s="588"/>
      <c r="H196" s="598"/>
      <c r="I196" s="598"/>
      <c r="J196" s="532"/>
      <c r="K196" s="532"/>
      <c r="L196" s="532"/>
      <c r="M196" s="532"/>
      <c r="N196" s="532"/>
      <c r="O196" s="532"/>
      <c r="P196" s="532"/>
      <c r="Q196" s="532"/>
      <c r="R196" s="558"/>
      <c r="S196" s="558"/>
      <c r="T196" s="558"/>
      <c r="U196" s="558"/>
      <c r="V196" s="558"/>
      <c r="W196" s="558"/>
      <c r="X196" s="558"/>
      <c r="Y196" s="558"/>
      <c r="Z196" s="558"/>
      <c r="AA196" s="558"/>
      <c r="AD196" s="558"/>
      <c r="AE196" s="532"/>
      <c r="AF196" s="532"/>
      <c r="AG196" s="532"/>
      <c r="AH196" s="532"/>
      <c r="AI196" s="532"/>
      <c r="AJ196" s="532"/>
      <c r="AK196" s="532"/>
      <c r="AL196" s="532"/>
      <c r="AM196" s="532"/>
      <c r="AO196" s="558"/>
      <c r="AP196" s="558"/>
      <c r="AQ196" s="558"/>
      <c r="AR196" s="558"/>
      <c r="AS196" s="558"/>
      <c r="AT196" s="558"/>
      <c r="AU196" s="558"/>
      <c r="AV196" s="558"/>
      <c r="AW196" s="558"/>
      <c r="AX196" s="558"/>
      <c r="AY196" s="558"/>
      <c r="AZ196" s="558"/>
      <c r="BA196" s="558"/>
      <c r="BB196" s="558"/>
      <c r="BC196" s="558"/>
      <c r="BF196" s="533" t="str">
        <f>A196</f>
        <v>*Solar (EIA EQ: Residentail Solar Water Heaters)</v>
      </c>
    </row>
    <row r="197" spans="1:58" ht="15" customHeight="1">
      <c r="A197" s="531" t="str">
        <f>'EIA23 EQ Cost'!B158</f>
        <v>RWHSWHV110</v>
      </c>
      <c r="B197" s="531" t="str">
        <f>'EIA23 EQ Cost'!C158</f>
        <v>Solar Ver1.RWH.ELC.10</v>
      </c>
      <c r="C197" s="530" t="s">
        <v>32</v>
      </c>
      <c r="D197" s="531" t="s">
        <v>122</v>
      </c>
      <c r="E197" s="531"/>
      <c r="F197" s="547" t="str">
        <f>'EIA23 EQ Cost'!G158</f>
        <v>2010</v>
      </c>
      <c r="G197" s="587">
        <f>'EIA23 EQ Cost'!H158</f>
        <v>15</v>
      </c>
      <c r="H197" s="548">
        <f>'EIA23 EQ Cost'!J158</f>
        <v>61.791109582146873</v>
      </c>
      <c r="I197" s="548">
        <v>1</v>
      </c>
      <c r="J197" s="548">
        <v>0.5</v>
      </c>
      <c r="K197" s="531">
        <v>0.1</v>
      </c>
      <c r="L197" s="531">
        <v>0.1</v>
      </c>
      <c r="M197" s="531">
        <v>0.1</v>
      </c>
      <c r="N197" s="531">
        <v>0.1</v>
      </c>
      <c r="O197" s="531">
        <v>0.1</v>
      </c>
      <c r="P197" s="531"/>
      <c r="Q197" s="531">
        <v>0.45</v>
      </c>
      <c r="R197" s="546"/>
      <c r="S197" s="546">
        <v>0</v>
      </c>
      <c r="T197" s="546">
        <v>0</v>
      </c>
      <c r="U197" s="546">
        <v>0</v>
      </c>
      <c r="V197" s="546">
        <v>0</v>
      </c>
      <c r="W197" s="546">
        <v>0</v>
      </c>
      <c r="X197" s="546">
        <v>0</v>
      </c>
      <c r="Y197" s="546">
        <v>0</v>
      </c>
      <c r="Z197" s="546">
        <v>0</v>
      </c>
      <c r="AA197" s="546">
        <v>0</v>
      </c>
      <c r="AD197" s="546"/>
      <c r="AE197" s="531"/>
      <c r="AF197" s="531"/>
      <c r="AG197" s="531"/>
      <c r="AH197" s="531"/>
      <c r="AI197" s="531"/>
      <c r="AJ197" s="531"/>
      <c r="AK197" s="531"/>
      <c r="AL197" s="531"/>
      <c r="AM197" s="531"/>
      <c r="AO197" s="546"/>
      <c r="AP197" s="546"/>
      <c r="AQ197" s="546"/>
      <c r="AR197" s="546"/>
      <c r="AS197" s="546"/>
      <c r="AT197" s="546"/>
      <c r="AU197" s="546"/>
      <c r="AV197" s="546"/>
      <c r="AW197" s="546"/>
      <c r="AX197" s="546"/>
      <c r="AY197" s="546"/>
      <c r="AZ197" s="546"/>
      <c r="BA197" s="546"/>
      <c r="BB197" s="546"/>
      <c r="BC197" s="546"/>
      <c r="BF197" s="531" t="s">
        <v>37</v>
      </c>
    </row>
    <row r="198" spans="1:58" ht="15" customHeight="1">
      <c r="A198" s="531"/>
      <c r="B198" s="531"/>
      <c r="C198" s="530"/>
      <c r="D198" s="531" t="s">
        <v>151</v>
      </c>
      <c r="E198" s="531"/>
      <c r="F198" s="547"/>
      <c r="G198" s="587"/>
      <c r="H198" s="548"/>
      <c r="I198" s="548"/>
      <c r="J198" s="548">
        <v>0.5</v>
      </c>
      <c r="K198" s="531"/>
      <c r="L198" s="531"/>
      <c r="M198" s="531"/>
      <c r="N198" s="531"/>
      <c r="O198" s="531"/>
      <c r="P198" s="531"/>
      <c r="Q198" s="531"/>
      <c r="R198" s="546"/>
      <c r="S198" s="546"/>
      <c r="T198" s="546"/>
      <c r="U198" s="546"/>
      <c r="V198" s="546"/>
      <c r="W198" s="546"/>
      <c r="X198" s="546"/>
      <c r="Y198" s="546"/>
      <c r="Z198" s="546"/>
      <c r="AA198" s="546"/>
      <c r="AD198" s="546"/>
      <c r="AE198" s="531"/>
      <c r="AF198" s="531"/>
      <c r="AG198" s="531"/>
      <c r="AH198" s="531"/>
      <c r="AI198" s="531"/>
      <c r="AJ198" s="531"/>
      <c r="AK198" s="531"/>
      <c r="AL198" s="531"/>
      <c r="AM198" s="531"/>
      <c r="AO198" s="546"/>
      <c r="AP198" s="546"/>
      <c r="AQ198" s="546"/>
      <c r="AR198" s="546"/>
      <c r="AS198" s="546"/>
      <c r="AT198" s="546"/>
      <c r="AU198" s="546"/>
      <c r="AV198" s="546"/>
      <c r="AW198" s="546"/>
      <c r="AX198" s="546"/>
      <c r="AY198" s="546"/>
      <c r="AZ198" s="546"/>
      <c r="BA198" s="546"/>
      <c r="BB198" s="546"/>
      <c r="BC198" s="546"/>
      <c r="BF198" s="531"/>
    </row>
    <row r="199" spans="1:58" ht="15" customHeight="1">
      <c r="A199" s="531"/>
      <c r="B199" s="531"/>
      <c r="C199" s="530" t="s">
        <v>32</v>
      </c>
      <c r="D199" s="531"/>
      <c r="E199" s="531" t="s">
        <v>150</v>
      </c>
      <c r="F199" s="547"/>
      <c r="G199" s="587"/>
      <c r="H199" s="548"/>
      <c r="I199" s="548"/>
      <c r="J199" s="548"/>
      <c r="K199" s="531"/>
      <c r="L199" s="531"/>
      <c r="M199" s="531"/>
      <c r="N199" s="531"/>
      <c r="O199" s="531"/>
      <c r="P199" s="531"/>
      <c r="Q199" s="531"/>
      <c r="R199" s="546"/>
      <c r="S199" s="546"/>
      <c r="T199" s="546"/>
      <c r="U199" s="546"/>
      <c r="V199" s="546"/>
      <c r="W199" s="546"/>
      <c r="X199" s="546"/>
      <c r="Y199" s="546"/>
      <c r="Z199" s="546"/>
      <c r="AA199" s="546"/>
      <c r="AD199" s="546"/>
      <c r="AE199" s="531"/>
      <c r="AF199" s="531"/>
      <c r="AG199" s="531"/>
      <c r="AH199" s="531"/>
      <c r="AI199" s="531"/>
      <c r="AJ199" s="531"/>
      <c r="AK199" s="531"/>
      <c r="AL199" s="531"/>
      <c r="AM199" s="531"/>
      <c r="AO199" s="546"/>
      <c r="AP199" s="546"/>
      <c r="AQ199" s="546"/>
      <c r="AR199" s="546"/>
      <c r="AS199" s="546"/>
      <c r="AT199" s="546"/>
      <c r="AU199" s="546"/>
      <c r="AV199" s="546"/>
      <c r="AW199" s="546"/>
      <c r="AX199" s="546"/>
      <c r="AY199" s="546"/>
      <c r="AZ199" s="546"/>
      <c r="BA199" s="546"/>
      <c r="BB199" s="546"/>
      <c r="BC199" s="546"/>
      <c r="BF199" s="531"/>
    </row>
    <row r="200" spans="1:58" ht="15" customHeight="1">
      <c r="A200" s="531" t="str">
        <f>'EIA23 EQ Cost'!B160</f>
        <v>RWHSWHV115</v>
      </c>
      <c r="B200" s="531" t="str">
        <f>'EIA23 EQ Cost'!C160</f>
        <v>Solar Ver1.RWH.ELC.15</v>
      </c>
      <c r="C200" s="530" t="s">
        <v>32</v>
      </c>
      <c r="D200" s="531" t="s">
        <v>122</v>
      </c>
      <c r="E200" s="531"/>
      <c r="F200" s="547">
        <f>'EIA23 EQ Cost'!G160</f>
        <v>2015</v>
      </c>
      <c r="G200" s="587">
        <f>'EIA23 EQ Cost'!H160</f>
        <v>22.5</v>
      </c>
      <c r="H200" s="548">
        <f>'EIA23 EQ Cost'!J160</f>
        <v>58.027362709115557</v>
      </c>
      <c r="I200" s="548">
        <v>1</v>
      </c>
      <c r="J200" s="548">
        <v>0.44</v>
      </c>
      <c r="K200" s="531">
        <v>0.1</v>
      </c>
      <c r="L200" s="531">
        <v>0.1</v>
      </c>
      <c r="M200" s="531">
        <v>0.1</v>
      </c>
      <c r="N200" s="531">
        <v>0.1</v>
      </c>
      <c r="O200" s="531">
        <v>0.1</v>
      </c>
      <c r="P200" s="531"/>
      <c r="Q200" s="531">
        <v>0.45</v>
      </c>
      <c r="R200" s="546"/>
      <c r="S200" s="546"/>
      <c r="T200" s="546">
        <v>0</v>
      </c>
      <c r="U200" s="546">
        <v>0</v>
      </c>
      <c r="V200" s="546">
        <v>0</v>
      </c>
      <c r="W200" s="546">
        <v>0</v>
      </c>
      <c r="X200" s="546">
        <v>0</v>
      </c>
      <c r="Y200" s="546">
        <v>0</v>
      </c>
      <c r="Z200" s="546">
        <v>0</v>
      </c>
      <c r="AA200" s="546">
        <v>0</v>
      </c>
      <c r="AD200" s="546"/>
      <c r="AE200" s="531"/>
      <c r="AF200" s="531"/>
      <c r="AG200" s="531"/>
      <c r="AH200" s="531"/>
      <c r="AI200" s="531"/>
      <c r="AJ200" s="531"/>
      <c r="AK200" s="531"/>
      <c r="AL200" s="531"/>
      <c r="AM200" s="531"/>
      <c r="AO200" s="546"/>
      <c r="AP200" s="546"/>
      <c r="AQ200" s="546"/>
      <c r="AR200" s="546"/>
      <c r="AS200" s="546"/>
      <c r="AT200" s="546"/>
      <c r="AU200" s="546"/>
      <c r="AV200" s="546"/>
      <c r="AW200" s="546"/>
      <c r="AX200" s="546"/>
      <c r="AY200" s="546"/>
      <c r="AZ200" s="546"/>
      <c r="BA200" s="546"/>
      <c r="BB200" s="546"/>
      <c r="BC200" s="546"/>
      <c r="BF200" s="531" t="s">
        <v>37</v>
      </c>
    </row>
    <row r="201" spans="1:58" ht="15" customHeight="1">
      <c r="A201" s="531"/>
      <c r="B201" s="531"/>
      <c r="C201" s="530"/>
      <c r="D201" s="531" t="s">
        <v>151</v>
      </c>
      <c r="E201" s="531"/>
      <c r="F201" s="547"/>
      <c r="G201" s="587"/>
      <c r="H201" s="548"/>
      <c r="I201" s="548"/>
      <c r="J201" s="548">
        <v>0.56000000000000005</v>
      </c>
      <c r="K201" s="531"/>
      <c r="L201" s="531"/>
      <c r="M201" s="531"/>
      <c r="N201" s="531"/>
      <c r="O201" s="531"/>
      <c r="P201" s="531"/>
      <c r="Q201" s="531"/>
      <c r="R201" s="546"/>
      <c r="S201" s="546"/>
      <c r="T201" s="546"/>
      <c r="U201" s="546"/>
      <c r="V201" s="546"/>
      <c r="W201" s="546"/>
      <c r="X201" s="546"/>
      <c r="Y201" s="546"/>
      <c r="Z201" s="546"/>
      <c r="AA201" s="546"/>
      <c r="AD201" s="546"/>
      <c r="AE201" s="531"/>
      <c r="AF201" s="531"/>
      <c r="AG201" s="531"/>
      <c r="AH201" s="531"/>
      <c r="AI201" s="531"/>
      <c r="AJ201" s="531"/>
      <c r="AK201" s="531"/>
      <c r="AL201" s="531"/>
      <c r="AM201" s="531"/>
      <c r="AO201" s="546"/>
      <c r="AP201" s="546"/>
      <c r="AQ201" s="546"/>
      <c r="AR201" s="546"/>
      <c r="AS201" s="546"/>
      <c r="AT201" s="546"/>
      <c r="AU201" s="546"/>
      <c r="AV201" s="546"/>
      <c r="AW201" s="546"/>
      <c r="AX201" s="546"/>
      <c r="AY201" s="546"/>
      <c r="AZ201" s="546"/>
      <c r="BA201" s="546"/>
      <c r="BB201" s="546"/>
      <c r="BC201" s="546"/>
      <c r="BF201" s="531"/>
    </row>
    <row r="202" spans="1:58" ht="15" customHeight="1">
      <c r="A202" s="531"/>
      <c r="B202" s="531"/>
      <c r="C202" s="530" t="s">
        <v>32</v>
      </c>
      <c r="D202" s="531"/>
      <c r="E202" s="531" t="s">
        <v>150</v>
      </c>
      <c r="F202" s="547"/>
      <c r="G202" s="587"/>
      <c r="H202" s="548"/>
      <c r="I202" s="548"/>
      <c r="J202" s="548"/>
      <c r="K202" s="531"/>
      <c r="L202" s="531"/>
      <c r="M202" s="531"/>
      <c r="N202" s="531"/>
      <c r="O202" s="531"/>
      <c r="P202" s="531"/>
      <c r="Q202" s="531"/>
      <c r="R202" s="546"/>
      <c r="S202" s="546"/>
      <c r="T202" s="546"/>
      <c r="U202" s="546"/>
      <c r="V202" s="546"/>
      <c r="W202" s="546"/>
      <c r="X202" s="546"/>
      <c r="Y202" s="546"/>
      <c r="Z202" s="546"/>
      <c r="AA202" s="546"/>
      <c r="AD202" s="546"/>
      <c r="AE202" s="531"/>
      <c r="AF202" s="531"/>
      <c r="AG202" s="531"/>
      <c r="AH202" s="531"/>
      <c r="AI202" s="531"/>
      <c r="AJ202" s="531"/>
      <c r="AK202" s="531"/>
      <c r="AL202" s="531"/>
      <c r="AM202" s="531"/>
      <c r="AO202" s="546"/>
      <c r="AP202" s="546"/>
      <c r="AQ202" s="546"/>
      <c r="AR202" s="546"/>
      <c r="AS202" s="546"/>
      <c r="AT202" s="546"/>
      <c r="AU202" s="546"/>
      <c r="AV202" s="546"/>
      <c r="AW202" s="546"/>
      <c r="AX202" s="546"/>
      <c r="AY202" s="546"/>
      <c r="AZ202" s="546"/>
      <c r="BA202" s="546"/>
      <c r="BB202" s="546"/>
      <c r="BC202" s="546"/>
      <c r="BF202" s="531"/>
    </row>
    <row r="203" spans="1:58" ht="15" customHeight="1">
      <c r="A203" s="531" t="str">
        <f>'EIA23 EQ Cost'!B162</f>
        <v>RWHSWHV120</v>
      </c>
      <c r="B203" s="531" t="str">
        <f>'EIA23 EQ Cost'!C162</f>
        <v>Solar Ver1.RWH.ELC.20</v>
      </c>
      <c r="C203" s="530" t="s">
        <v>32</v>
      </c>
      <c r="D203" s="531" t="s">
        <v>122</v>
      </c>
      <c r="E203" s="531"/>
      <c r="F203" s="547">
        <f>'EIA23 EQ Cost'!G162</f>
        <v>2020</v>
      </c>
      <c r="G203" s="587">
        <f>'EIA23 EQ Cost'!H162</f>
        <v>22.5</v>
      </c>
      <c r="H203" s="548">
        <f>'EIA23 EQ Cost'!J162</f>
        <v>58.027362709115557</v>
      </c>
      <c r="I203" s="548">
        <v>1</v>
      </c>
      <c r="J203" s="548">
        <v>0.44</v>
      </c>
      <c r="K203" s="531">
        <v>0.1</v>
      </c>
      <c r="L203" s="531">
        <v>0.1</v>
      </c>
      <c r="M203" s="531">
        <v>0.1</v>
      </c>
      <c r="N203" s="531">
        <v>0.1</v>
      </c>
      <c r="O203" s="531">
        <v>0.1</v>
      </c>
      <c r="P203" s="531"/>
      <c r="Q203" s="531">
        <v>0.45</v>
      </c>
      <c r="R203" s="546"/>
      <c r="S203" s="546"/>
      <c r="T203" s="546"/>
      <c r="U203" s="546">
        <v>0</v>
      </c>
      <c r="V203" s="546">
        <v>0</v>
      </c>
      <c r="W203" s="546">
        <v>0</v>
      </c>
      <c r="X203" s="546">
        <v>0</v>
      </c>
      <c r="Y203" s="546">
        <v>0</v>
      </c>
      <c r="Z203" s="546">
        <v>0</v>
      </c>
      <c r="AA203" s="546">
        <v>0</v>
      </c>
      <c r="AD203" s="546"/>
      <c r="AE203" s="531"/>
      <c r="AF203" s="531"/>
      <c r="AG203" s="531"/>
      <c r="AH203" s="531"/>
      <c r="AI203" s="531"/>
      <c r="AJ203" s="531"/>
      <c r="AK203" s="531"/>
      <c r="AL203" s="531"/>
      <c r="AM203" s="531"/>
      <c r="AO203" s="546"/>
      <c r="AP203" s="546"/>
      <c r="AQ203" s="546"/>
      <c r="AR203" s="546"/>
      <c r="AS203" s="546"/>
      <c r="AT203" s="546"/>
      <c r="AU203" s="546"/>
      <c r="AV203" s="546"/>
      <c r="AW203" s="546"/>
      <c r="AX203" s="546"/>
      <c r="AY203" s="546"/>
      <c r="AZ203" s="546"/>
      <c r="BA203" s="546"/>
      <c r="BB203" s="546"/>
      <c r="BC203" s="546"/>
      <c r="BF203" s="531" t="s">
        <v>37</v>
      </c>
    </row>
    <row r="204" spans="1:58" ht="15" customHeight="1">
      <c r="A204" s="531"/>
      <c r="B204" s="531"/>
      <c r="C204" s="530"/>
      <c r="D204" s="531" t="s">
        <v>151</v>
      </c>
      <c r="E204" s="531"/>
      <c r="F204" s="547"/>
      <c r="G204" s="587"/>
      <c r="H204" s="548"/>
      <c r="I204" s="548"/>
      <c r="J204" s="548">
        <v>0.56000000000000005</v>
      </c>
      <c r="K204" s="531"/>
      <c r="L204" s="531"/>
      <c r="M204" s="531"/>
      <c r="N204" s="531"/>
      <c r="O204" s="531"/>
      <c r="P204" s="531"/>
      <c r="Q204" s="531"/>
      <c r="R204" s="546"/>
      <c r="S204" s="546"/>
      <c r="T204" s="546"/>
      <c r="U204" s="546"/>
      <c r="V204" s="546"/>
      <c r="W204" s="546"/>
      <c r="X204" s="546"/>
      <c r="Y204" s="546"/>
      <c r="Z204" s="546"/>
      <c r="AA204" s="546"/>
      <c r="AD204" s="546"/>
      <c r="AE204" s="531"/>
      <c r="AF204" s="531"/>
      <c r="AG204" s="531"/>
      <c r="AH204" s="531"/>
      <c r="AI204" s="531"/>
      <c r="AJ204" s="531"/>
      <c r="AK204" s="531"/>
      <c r="AL204" s="531"/>
      <c r="AM204" s="531"/>
      <c r="AO204" s="546"/>
      <c r="AP204" s="546"/>
      <c r="AQ204" s="546"/>
      <c r="AR204" s="546"/>
      <c r="AS204" s="546"/>
      <c r="AT204" s="546"/>
      <c r="AU204" s="546"/>
      <c r="AV204" s="546"/>
      <c r="AW204" s="546"/>
      <c r="AX204" s="546"/>
      <c r="AY204" s="546"/>
      <c r="AZ204" s="546"/>
      <c r="BA204" s="546"/>
      <c r="BB204" s="546"/>
      <c r="BC204" s="546"/>
      <c r="BF204" s="531"/>
    </row>
    <row r="205" spans="1:58" ht="15" customHeight="1">
      <c r="A205" s="531"/>
      <c r="B205" s="531"/>
      <c r="C205" s="530" t="s">
        <v>32</v>
      </c>
      <c r="D205" s="531"/>
      <c r="E205" s="531" t="s">
        <v>150</v>
      </c>
      <c r="F205" s="547"/>
      <c r="G205" s="587"/>
      <c r="H205" s="548"/>
      <c r="I205" s="548"/>
      <c r="J205" s="548"/>
      <c r="K205" s="531"/>
      <c r="L205" s="531"/>
      <c r="M205" s="531"/>
      <c r="N205" s="531"/>
      <c r="O205" s="531"/>
      <c r="P205" s="531"/>
      <c r="Q205" s="531"/>
      <c r="R205" s="546"/>
      <c r="S205" s="546"/>
      <c r="T205" s="546"/>
      <c r="U205" s="546"/>
      <c r="V205" s="546"/>
      <c r="W205" s="546"/>
      <c r="X205" s="546">
        <v>0</v>
      </c>
      <c r="Y205" s="546">
        <v>0</v>
      </c>
      <c r="Z205" s="546">
        <v>0</v>
      </c>
      <c r="AA205" s="546">
        <v>0</v>
      </c>
      <c r="AD205" s="546"/>
      <c r="AE205" s="531"/>
      <c r="AF205" s="531"/>
      <c r="AG205" s="531"/>
      <c r="AH205" s="531"/>
      <c r="AI205" s="531"/>
      <c r="AJ205" s="531"/>
      <c r="AK205" s="531"/>
      <c r="AL205" s="531"/>
      <c r="AM205" s="531"/>
      <c r="AO205" s="546"/>
      <c r="AP205" s="546"/>
      <c r="AQ205" s="546"/>
      <c r="AR205" s="546"/>
      <c r="AS205" s="546"/>
      <c r="AT205" s="546"/>
      <c r="AU205" s="546"/>
      <c r="AV205" s="546"/>
      <c r="AW205" s="546"/>
      <c r="AX205" s="546"/>
      <c r="AY205" s="546"/>
      <c r="AZ205" s="546"/>
      <c r="BA205" s="546"/>
      <c r="BB205" s="546"/>
      <c r="BC205" s="546"/>
      <c r="BF205" s="531"/>
    </row>
    <row r="206" spans="1:58" ht="15" customHeight="1">
      <c r="A206" s="531" t="str">
        <f>'EIA23 EQ Cost'!B164</f>
        <v>RWHSWHV122</v>
      </c>
      <c r="B206" s="531" t="str">
        <f>'EIA23 EQ Cost'!C164</f>
        <v>Solar Ver1.RWH.ELC.22</v>
      </c>
      <c r="C206" s="530" t="s">
        <v>32</v>
      </c>
      <c r="D206" s="531" t="s">
        <v>122</v>
      </c>
      <c r="E206" s="531"/>
      <c r="F206" s="547">
        <f>'EIA23 EQ Cost'!G164</f>
        <v>2030</v>
      </c>
      <c r="G206" s="587">
        <f>'EIA23 EQ Cost'!H164</f>
        <v>22.5</v>
      </c>
      <c r="H206" s="548">
        <f>'EIA23 EQ Cost'!J164</f>
        <v>43.915543984551306</v>
      </c>
      <c r="I206" s="548">
        <v>1</v>
      </c>
      <c r="J206" s="548">
        <v>0.44</v>
      </c>
      <c r="K206" s="531">
        <v>0.1</v>
      </c>
      <c r="L206" s="531">
        <v>0.1</v>
      </c>
      <c r="M206" s="531">
        <v>0.1</v>
      </c>
      <c r="N206" s="531">
        <v>0.1</v>
      </c>
      <c r="O206" s="531">
        <v>0.1</v>
      </c>
      <c r="P206" s="531"/>
      <c r="Q206" s="531">
        <v>0.45</v>
      </c>
      <c r="R206" s="546"/>
      <c r="S206" s="546"/>
      <c r="T206" s="546"/>
      <c r="U206" s="546"/>
      <c r="V206" s="546">
        <v>0</v>
      </c>
      <c r="W206" s="546">
        <v>0</v>
      </c>
      <c r="X206" s="546"/>
      <c r="Y206" s="546"/>
      <c r="Z206" s="546"/>
      <c r="AA206" s="546"/>
      <c r="AD206" s="546"/>
      <c r="AE206" s="531"/>
      <c r="AF206" s="531"/>
      <c r="AG206" s="531"/>
      <c r="AH206" s="531"/>
      <c r="AI206" s="531"/>
      <c r="AJ206" s="531"/>
      <c r="AK206" s="531"/>
      <c r="AL206" s="531"/>
      <c r="AM206" s="531"/>
      <c r="AO206" s="546"/>
      <c r="AP206" s="546"/>
      <c r="AQ206" s="546"/>
      <c r="AR206" s="546"/>
      <c r="AS206" s="546"/>
      <c r="AT206" s="546"/>
      <c r="AU206" s="546"/>
      <c r="AV206" s="546"/>
      <c r="AW206" s="546"/>
      <c r="AX206" s="546"/>
      <c r="AY206" s="546"/>
      <c r="AZ206" s="546"/>
      <c r="BA206" s="546"/>
      <c r="BB206" s="546"/>
      <c r="BC206" s="546"/>
      <c r="BF206" s="531" t="s">
        <v>37</v>
      </c>
    </row>
    <row r="207" spans="1:58" ht="15" customHeight="1">
      <c r="A207" s="531"/>
      <c r="B207" s="531"/>
      <c r="C207" s="530"/>
      <c r="D207" s="531" t="s">
        <v>151</v>
      </c>
      <c r="E207" s="531"/>
      <c r="F207" s="547"/>
      <c r="G207" s="587"/>
      <c r="H207" s="548"/>
      <c r="I207" s="548"/>
      <c r="J207" s="548">
        <v>0.56000000000000005</v>
      </c>
      <c r="K207" s="531"/>
      <c r="L207" s="531"/>
      <c r="M207" s="531"/>
      <c r="N207" s="531"/>
      <c r="O207" s="531"/>
      <c r="P207" s="531"/>
      <c r="Q207" s="531"/>
      <c r="R207" s="546"/>
      <c r="S207" s="546"/>
      <c r="T207" s="546"/>
      <c r="U207" s="546"/>
      <c r="V207" s="546"/>
      <c r="W207" s="546"/>
      <c r="X207" s="546"/>
      <c r="Y207" s="546"/>
      <c r="Z207" s="546"/>
      <c r="AA207" s="546"/>
      <c r="AD207" s="546"/>
      <c r="AE207" s="531"/>
      <c r="AF207" s="531"/>
      <c r="AG207" s="531"/>
      <c r="AH207" s="531"/>
      <c r="AI207" s="531"/>
      <c r="AJ207" s="531"/>
      <c r="AK207" s="531"/>
      <c r="AL207" s="531"/>
      <c r="AM207" s="531"/>
      <c r="AO207" s="546"/>
      <c r="AP207" s="546"/>
      <c r="AQ207" s="546"/>
      <c r="AR207" s="546"/>
      <c r="AS207" s="546"/>
      <c r="AT207" s="546"/>
      <c r="AU207" s="546"/>
      <c r="AV207" s="546"/>
      <c r="AW207" s="546"/>
      <c r="AX207" s="546"/>
      <c r="AY207" s="546"/>
      <c r="AZ207" s="546"/>
      <c r="BA207" s="546"/>
      <c r="BB207" s="546"/>
      <c r="BC207" s="546"/>
      <c r="BF207" s="531"/>
    </row>
    <row r="208" spans="1:58" ht="15" customHeight="1">
      <c r="A208" s="531"/>
      <c r="B208" s="531"/>
      <c r="C208" s="530" t="s">
        <v>32</v>
      </c>
      <c r="D208" s="531"/>
      <c r="E208" s="531" t="s">
        <v>150</v>
      </c>
      <c r="F208" s="547"/>
      <c r="G208" s="587"/>
      <c r="H208" s="548"/>
      <c r="I208" s="548"/>
      <c r="J208" s="548"/>
      <c r="K208" s="531"/>
      <c r="L208" s="531"/>
      <c r="M208" s="531"/>
      <c r="N208" s="531"/>
      <c r="O208" s="531"/>
      <c r="P208" s="531"/>
      <c r="Q208" s="531"/>
      <c r="R208" s="546"/>
      <c r="S208" s="546"/>
      <c r="T208" s="546"/>
      <c r="U208" s="546"/>
      <c r="V208" s="546"/>
      <c r="W208" s="546"/>
      <c r="X208" s="546"/>
      <c r="Y208" s="546"/>
      <c r="Z208" s="546"/>
      <c r="AA208" s="546"/>
      <c r="AD208" s="546"/>
      <c r="AE208" s="531"/>
      <c r="AF208" s="531"/>
      <c r="AG208" s="531"/>
      <c r="AH208" s="531"/>
      <c r="AI208" s="531"/>
      <c r="AJ208" s="531"/>
      <c r="AK208" s="531"/>
      <c r="AL208" s="531"/>
      <c r="AM208" s="531"/>
      <c r="AO208" s="546"/>
      <c r="AP208" s="546"/>
      <c r="AQ208" s="546"/>
      <c r="AR208" s="546"/>
      <c r="AS208" s="546"/>
      <c r="AT208" s="546"/>
      <c r="AU208" s="546"/>
      <c r="AV208" s="546"/>
      <c r="AW208" s="546"/>
      <c r="AX208" s="546"/>
      <c r="AY208" s="546"/>
      <c r="AZ208" s="546"/>
      <c r="BA208" s="546"/>
      <c r="BB208" s="546"/>
      <c r="BC208" s="546"/>
      <c r="BF208" s="531"/>
    </row>
    <row r="209" spans="1:58" ht="15" customHeight="1">
      <c r="A209" s="531" t="str">
        <f>'EIA23 EQ Cost'!B166</f>
        <v>RWHSWHV130</v>
      </c>
      <c r="B209" s="531" t="str">
        <f>'EIA23 EQ Cost'!C166</f>
        <v>Solar Ver1.RWH.ELC.30</v>
      </c>
      <c r="C209" s="530" t="s">
        <v>32</v>
      </c>
      <c r="D209" s="531" t="s">
        <v>122</v>
      </c>
      <c r="E209" s="531"/>
      <c r="F209" s="547">
        <f>'EIA23 EQ Cost'!G166</f>
        <v>2030</v>
      </c>
      <c r="G209" s="587">
        <f>'EIA23 EQ Cost'!H166</f>
        <v>22.5</v>
      </c>
      <c r="H209" s="548">
        <f>'EIA23 EQ Cost'!J166</f>
        <v>43.915543984551306</v>
      </c>
      <c r="I209" s="548">
        <v>1</v>
      </c>
      <c r="J209" s="548">
        <v>0.44</v>
      </c>
      <c r="K209" s="531">
        <v>0.1</v>
      </c>
      <c r="L209" s="531">
        <v>0.1</v>
      </c>
      <c r="M209" s="531">
        <v>0.1</v>
      </c>
      <c r="N209" s="531">
        <v>0.1</v>
      </c>
      <c r="O209" s="531">
        <v>0.1</v>
      </c>
      <c r="P209" s="531"/>
      <c r="Q209" s="531">
        <v>0.45</v>
      </c>
      <c r="R209" s="546"/>
      <c r="S209" s="546"/>
      <c r="T209" s="546"/>
      <c r="U209" s="546"/>
      <c r="V209" s="546"/>
      <c r="W209" s="546">
        <v>0</v>
      </c>
      <c r="X209" s="546">
        <v>0</v>
      </c>
      <c r="Y209" s="546">
        <v>0</v>
      </c>
      <c r="Z209" s="546">
        <v>0</v>
      </c>
      <c r="AA209" s="546">
        <v>0</v>
      </c>
      <c r="AD209" s="546"/>
      <c r="AE209" s="531"/>
      <c r="AF209" s="531"/>
      <c r="AG209" s="531"/>
      <c r="AH209" s="531"/>
      <c r="AI209" s="531"/>
      <c r="AJ209" s="531"/>
      <c r="AK209" s="531"/>
      <c r="AL209" s="531"/>
      <c r="AM209" s="531"/>
      <c r="AO209" s="546"/>
      <c r="AP209" s="546"/>
      <c r="AQ209" s="546"/>
      <c r="AR209" s="546"/>
      <c r="AS209" s="546"/>
      <c r="AT209" s="546"/>
      <c r="AU209" s="546"/>
      <c r="AV209" s="546"/>
      <c r="AW209" s="546"/>
      <c r="AX209" s="546"/>
      <c r="AY209" s="546"/>
      <c r="AZ209" s="546"/>
      <c r="BA209" s="546"/>
      <c r="BB209" s="546"/>
      <c r="BC209" s="546"/>
      <c r="BF209" s="531" t="s">
        <v>37</v>
      </c>
    </row>
    <row r="210" spans="1:58" ht="15" customHeight="1">
      <c r="A210" s="531"/>
      <c r="B210" s="531"/>
      <c r="C210" s="530"/>
      <c r="D210" s="531" t="s">
        <v>151</v>
      </c>
      <c r="E210" s="531"/>
      <c r="F210" s="547"/>
      <c r="G210" s="587"/>
      <c r="H210" s="548"/>
      <c r="I210" s="548"/>
      <c r="J210" s="548">
        <v>0.56000000000000005</v>
      </c>
      <c r="K210" s="531"/>
      <c r="L210" s="531"/>
      <c r="M210" s="531"/>
      <c r="N210" s="531"/>
      <c r="O210" s="531"/>
      <c r="P210" s="531"/>
      <c r="Q210" s="531"/>
      <c r="R210" s="546"/>
      <c r="S210" s="546"/>
      <c r="T210" s="546"/>
      <c r="U210" s="546"/>
      <c r="V210" s="546"/>
      <c r="W210" s="546"/>
      <c r="X210" s="546"/>
      <c r="Y210" s="546"/>
      <c r="Z210" s="546"/>
      <c r="AA210" s="546"/>
      <c r="AD210" s="546"/>
      <c r="AE210" s="531"/>
      <c r="AF210" s="531"/>
      <c r="AG210" s="531"/>
      <c r="AH210" s="531"/>
      <c r="AI210" s="531"/>
      <c r="AJ210" s="531"/>
      <c r="AK210" s="531"/>
      <c r="AL210" s="531"/>
      <c r="AM210" s="531"/>
      <c r="AO210" s="546"/>
      <c r="AP210" s="546"/>
      <c r="AQ210" s="546"/>
      <c r="AR210" s="546"/>
      <c r="AS210" s="546"/>
      <c r="AT210" s="546"/>
      <c r="AU210" s="546"/>
      <c r="AV210" s="546"/>
      <c r="AW210" s="546"/>
      <c r="AX210" s="546"/>
      <c r="AY210" s="546"/>
      <c r="AZ210" s="546"/>
      <c r="BA210" s="546"/>
      <c r="BB210" s="546"/>
      <c r="BC210" s="546"/>
      <c r="BF210" s="531"/>
    </row>
    <row r="211" spans="1:58" ht="15" customHeight="1">
      <c r="A211" s="531"/>
      <c r="B211" s="531"/>
      <c r="C211" s="530" t="s">
        <v>32</v>
      </c>
      <c r="D211" s="531"/>
      <c r="E211" s="531" t="s">
        <v>150</v>
      </c>
      <c r="F211" s="547"/>
      <c r="G211" s="587"/>
      <c r="H211" s="548"/>
      <c r="I211" s="548"/>
      <c r="J211" s="548"/>
      <c r="K211" s="531"/>
      <c r="L211" s="531"/>
      <c r="M211" s="531"/>
      <c r="N211" s="531"/>
      <c r="O211" s="531"/>
      <c r="P211" s="531"/>
      <c r="Q211" s="531"/>
      <c r="R211" s="546"/>
      <c r="S211" s="546"/>
      <c r="T211" s="546"/>
      <c r="U211" s="546"/>
      <c r="V211" s="546"/>
      <c r="W211" s="546"/>
      <c r="X211" s="546"/>
      <c r="Y211" s="546"/>
      <c r="Z211" s="546"/>
      <c r="AA211" s="546"/>
      <c r="AD211" s="546"/>
      <c r="AE211" s="531"/>
      <c r="AF211" s="531"/>
      <c r="AG211" s="531"/>
      <c r="AH211" s="531"/>
      <c r="AI211" s="531"/>
      <c r="AJ211" s="531"/>
      <c r="AK211" s="531"/>
      <c r="AL211" s="531"/>
      <c r="AM211" s="531"/>
      <c r="AO211" s="546"/>
      <c r="AP211" s="546"/>
      <c r="AQ211" s="546"/>
      <c r="AR211" s="546"/>
      <c r="AS211" s="546"/>
      <c r="AT211" s="546"/>
      <c r="AU211" s="546"/>
      <c r="AV211" s="546"/>
      <c r="AW211" s="546"/>
      <c r="AX211" s="546"/>
      <c r="AY211" s="546"/>
      <c r="AZ211" s="546"/>
      <c r="BA211" s="546"/>
      <c r="BB211" s="546"/>
      <c r="BC211" s="546"/>
      <c r="BF211" s="531"/>
    </row>
    <row r="212" spans="1:58" ht="15" customHeight="1">
      <c r="A212" s="531" t="str">
        <f>'EIA23 EQ Cost'!B168</f>
        <v>RWHSWHV140</v>
      </c>
      <c r="B212" s="531" t="str">
        <f>'EIA23 EQ Cost'!C168</f>
        <v>Solar Ver1.RWH.ELC.40</v>
      </c>
      <c r="C212" s="530" t="s">
        <v>32</v>
      </c>
      <c r="D212" s="531" t="s">
        <v>122</v>
      </c>
      <c r="E212" s="531"/>
      <c r="F212" s="547">
        <f>'EIA23 EQ Cost'!G168</f>
        <v>2040</v>
      </c>
      <c r="G212" s="587">
        <f>'EIA23 EQ Cost'!H168</f>
        <v>22.5</v>
      </c>
      <c r="H212" s="548">
        <f>'EIA23 EQ Cost'!J168</f>
        <v>43.915543984551306</v>
      </c>
      <c r="I212" s="548">
        <v>1</v>
      </c>
      <c r="J212" s="548">
        <v>0.44</v>
      </c>
      <c r="K212" s="531">
        <v>0.1</v>
      </c>
      <c r="L212" s="531">
        <v>0.1</v>
      </c>
      <c r="M212" s="531">
        <v>0.1</v>
      </c>
      <c r="N212" s="531">
        <v>0.1</v>
      </c>
      <c r="O212" s="531">
        <v>0.1</v>
      </c>
      <c r="P212" s="531"/>
      <c r="Q212" s="531">
        <v>0.45</v>
      </c>
      <c r="R212" s="546"/>
      <c r="S212" s="546"/>
      <c r="T212" s="546"/>
      <c r="U212" s="546"/>
      <c r="V212" s="546"/>
      <c r="W212" s="546"/>
      <c r="X212" s="546"/>
      <c r="Y212" s="546">
        <v>0</v>
      </c>
      <c r="Z212" s="546">
        <v>0</v>
      </c>
      <c r="AA212" s="546">
        <v>0</v>
      </c>
      <c r="AD212" s="546"/>
      <c r="AE212" s="531"/>
      <c r="AF212" s="531"/>
      <c r="AG212" s="531"/>
      <c r="AH212" s="531"/>
      <c r="AI212" s="531"/>
      <c r="AJ212" s="531"/>
      <c r="AK212" s="531"/>
      <c r="AL212" s="531"/>
      <c r="AM212" s="531"/>
      <c r="AO212" s="546"/>
      <c r="AP212" s="546"/>
      <c r="AQ212" s="546"/>
      <c r="AR212" s="546"/>
      <c r="AS212" s="546"/>
      <c r="AT212" s="546"/>
      <c r="AU212" s="546"/>
      <c r="AV212" s="546"/>
      <c r="AW212" s="546"/>
      <c r="AX212" s="546"/>
      <c r="AY212" s="546"/>
      <c r="AZ212" s="546"/>
      <c r="BA212" s="546"/>
      <c r="BB212" s="546"/>
      <c r="BC212" s="546"/>
      <c r="BF212" s="531" t="s">
        <v>37</v>
      </c>
    </row>
    <row r="213" spans="1:58" ht="15" customHeight="1">
      <c r="A213" s="531"/>
      <c r="B213" s="531"/>
      <c r="C213" s="530"/>
      <c r="D213" s="531" t="s">
        <v>151</v>
      </c>
      <c r="E213" s="531"/>
      <c r="F213" s="547"/>
      <c r="G213" s="587"/>
      <c r="H213" s="548"/>
      <c r="I213" s="548"/>
      <c r="J213" s="548">
        <v>0.56000000000000005</v>
      </c>
      <c r="K213" s="531"/>
      <c r="L213" s="531"/>
      <c r="M213" s="531"/>
      <c r="N213" s="531"/>
      <c r="O213" s="531"/>
      <c r="P213" s="531"/>
      <c r="Q213" s="531"/>
      <c r="R213" s="546"/>
      <c r="S213" s="546"/>
      <c r="T213" s="546"/>
      <c r="U213" s="546"/>
      <c r="V213" s="546"/>
      <c r="W213" s="546"/>
      <c r="X213" s="546"/>
      <c r="Y213" s="546"/>
      <c r="Z213" s="546"/>
      <c r="AA213" s="546"/>
      <c r="AD213" s="546"/>
      <c r="AE213" s="531"/>
      <c r="AF213" s="531"/>
      <c r="AG213" s="531"/>
      <c r="AH213" s="531"/>
      <c r="AI213" s="531"/>
      <c r="AJ213" s="531"/>
      <c r="AK213" s="531"/>
      <c r="AL213" s="531"/>
      <c r="AM213" s="531"/>
      <c r="AO213" s="546"/>
      <c r="AP213" s="546"/>
      <c r="AQ213" s="546"/>
      <c r="AR213" s="546"/>
      <c r="AS213" s="546"/>
      <c r="AT213" s="546"/>
      <c r="AU213" s="546"/>
      <c r="AV213" s="546"/>
      <c r="AW213" s="546"/>
      <c r="AX213" s="546"/>
      <c r="AY213" s="546"/>
      <c r="AZ213" s="546"/>
      <c r="BA213" s="546"/>
      <c r="BB213" s="546"/>
      <c r="BC213" s="546"/>
      <c r="BF213" s="531"/>
    </row>
    <row r="214" spans="1:58" ht="15" customHeight="1">
      <c r="A214" s="531"/>
      <c r="B214" s="531"/>
      <c r="C214" s="530" t="s">
        <v>32</v>
      </c>
      <c r="D214" s="531"/>
      <c r="E214" s="531" t="s">
        <v>150</v>
      </c>
      <c r="F214" s="547"/>
      <c r="G214" s="587"/>
      <c r="H214" s="548"/>
      <c r="I214" s="548"/>
      <c r="J214" s="548"/>
      <c r="K214" s="531"/>
      <c r="L214" s="531"/>
      <c r="M214" s="531"/>
      <c r="N214" s="531"/>
      <c r="O214" s="531"/>
      <c r="P214" s="531"/>
      <c r="Q214" s="531"/>
      <c r="R214" s="546"/>
      <c r="S214" s="546"/>
      <c r="T214" s="546"/>
      <c r="U214" s="546"/>
      <c r="V214" s="546"/>
      <c r="W214" s="546"/>
      <c r="X214" s="546"/>
      <c r="Y214" s="546"/>
      <c r="Z214" s="546"/>
      <c r="AA214" s="546"/>
      <c r="AD214" s="546"/>
      <c r="AE214" s="531"/>
      <c r="AF214" s="531"/>
      <c r="AG214" s="531"/>
      <c r="AH214" s="531"/>
      <c r="AI214" s="531"/>
      <c r="AJ214" s="531"/>
      <c r="AK214" s="531"/>
      <c r="AL214" s="531"/>
      <c r="AM214" s="531"/>
      <c r="AO214" s="546"/>
      <c r="AP214" s="546"/>
      <c r="AQ214" s="546"/>
      <c r="AR214" s="546"/>
      <c r="AS214" s="546"/>
      <c r="AT214" s="546"/>
      <c r="AU214" s="546"/>
      <c r="AV214" s="546"/>
      <c r="AW214" s="546"/>
      <c r="AX214" s="546"/>
      <c r="AY214" s="546"/>
      <c r="AZ214" s="546"/>
      <c r="BA214" s="546"/>
      <c r="BB214" s="546"/>
      <c r="BC214" s="546"/>
      <c r="BF214" s="531"/>
    </row>
    <row r="215" spans="1:58" ht="15" customHeight="1">
      <c r="A215" s="531" t="str">
        <f>'EIA23 EQ Cost'!B170</f>
        <v>RWHSWHV150</v>
      </c>
      <c r="B215" s="531" t="str">
        <f>'EIA23 EQ Cost'!C170</f>
        <v>Solar Ver1.RWH.ELC.50</v>
      </c>
      <c r="C215" s="530" t="s">
        <v>32</v>
      </c>
      <c r="D215" s="531" t="s">
        <v>122</v>
      </c>
      <c r="E215" s="531"/>
      <c r="F215" s="547">
        <f>'EIA23 EQ Cost'!G170</f>
        <v>2040</v>
      </c>
      <c r="G215" s="587">
        <f>'EIA23 EQ Cost'!H170</f>
        <v>22.5</v>
      </c>
      <c r="H215" s="548">
        <f>'EIA23 EQ Cost'!J170</f>
        <v>43.915543984551306</v>
      </c>
      <c r="I215" s="548">
        <v>1</v>
      </c>
      <c r="J215" s="548">
        <v>0.44</v>
      </c>
      <c r="K215" s="531">
        <v>0.1</v>
      </c>
      <c r="L215" s="531">
        <v>0.1</v>
      </c>
      <c r="M215" s="531">
        <v>0.1</v>
      </c>
      <c r="N215" s="531">
        <v>0.1</v>
      </c>
      <c r="O215" s="531">
        <v>0.1</v>
      </c>
      <c r="P215" s="531"/>
      <c r="Q215" s="531">
        <v>0.45</v>
      </c>
      <c r="R215" s="546"/>
      <c r="S215" s="597"/>
      <c r="T215" s="597"/>
      <c r="U215" s="597"/>
      <c r="V215" s="597"/>
      <c r="W215" s="597"/>
      <c r="X215" s="597"/>
      <c r="Y215" s="597"/>
      <c r="Z215" s="597"/>
      <c r="AA215" s="546"/>
      <c r="AD215" s="546"/>
      <c r="AE215" s="531"/>
      <c r="AF215" s="531"/>
      <c r="AG215" s="531"/>
      <c r="AH215" s="531"/>
      <c r="AI215" s="531"/>
      <c r="AJ215" s="531"/>
      <c r="AK215" s="531"/>
      <c r="AL215" s="531"/>
      <c r="AM215" s="531"/>
      <c r="AO215" s="597"/>
      <c r="AP215" s="597"/>
      <c r="AQ215" s="597"/>
      <c r="AR215" s="597"/>
      <c r="AS215" s="597"/>
      <c r="AT215" s="597"/>
      <c r="AU215" s="597"/>
      <c r="AV215" s="597"/>
      <c r="AW215" s="597"/>
      <c r="AX215" s="597"/>
      <c r="AY215" s="597"/>
      <c r="AZ215" s="597"/>
      <c r="BA215" s="597"/>
      <c r="BB215" s="597"/>
      <c r="BC215" s="597"/>
      <c r="BF215" s="531" t="s">
        <v>37</v>
      </c>
    </row>
    <row r="216" spans="1:58" ht="15" customHeight="1">
      <c r="A216" s="531"/>
      <c r="B216" s="531"/>
      <c r="C216" s="530"/>
      <c r="D216" s="531" t="s">
        <v>151</v>
      </c>
      <c r="E216" s="531"/>
      <c r="F216" s="547"/>
      <c r="G216" s="587"/>
      <c r="H216" s="548"/>
      <c r="I216" s="548"/>
      <c r="J216" s="548">
        <v>0.56000000000000005</v>
      </c>
      <c r="K216" s="531"/>
      <c r="L216" s="531"/>
      <c r="M216" s="531"/>
      <c r="N216" s="531"/>
      <c r="O216" s="531"/>
      <c r="P216" s="531"/>
      <c r="Q216" s="531"/>
      <c r="R216" s="546"/>
      <c r="S216" s="546"/>
      <c r="T216" s="546"/>
      <c r="U216" s="546"/>
      <c r="V216" s="546"/>
      <c r="W216" s="546"/>
      <c r="X216" s="546"/>
      <c r="Y216" s="546"/>
      <c r="Z216" s="546"/>
      <c r="AA216" s="546"/>
      <c r="AD216" s="546"/>
      <c r="AE216" s="531"/>
      <c r="AF216" s="531"/>
      <c r="AG216" s="531"/>
      <c r="AH216" s="531"/>
      <c r="AI216" s="531"/>
      <c r="AJ216" s="531"/>
      <c r="AK216" s="531"/>
      <c r="AL216" s="531"/>
      <c r="AM216" s="531"/>
      <c r="AO216" s="546"/>
      <c r="AP216" s="546"/>
      <c r="AQ216" s="546"/>
      <c r="AR216" s="546"/>
      <c r="AS216" s="546"/>
      <c r="AT216" s="546"/>
      <c r="AU216" s="546"/>
      <c r="AV216" s="546"/>
      <c r="AW216" s="546"/>
      <c r="AX216" s="546"/>
      <c r="AY216" s="546"/>
      <c r="AZ216" s="546"/>
      <c r="BA216" s="546"/>
      <c r="BB216" s="546"/>
      <c r="BC216" s="546"/>
      <c r="BF216" s="531"/>
    </row>
    <row r="217" spans="1:58" ht="15" customHeight="1">
      <c r="A217" s="531"/>
      <c r="B217" s="531"/>
      <c r="C217" s="530"/>
      <c r="D217" s="531"/>
      <c r="E217" s="531" t="s">
        <v>150</v>
      </c>
      <c r="F217" s="547"/>
      <c r="G217" s="587"/>
      <c r="H217" s="548"/>
      <c r="I217" s="548"/>
      <c r="J217" s="548"/>
      <c r="K217" s="531"/>
      <c r="L217" s="531"/>
      <c r="M217" s="531"/>
      <c r="N217" s="531"/>
      <c r="O217" s="531"/>
      <c r="P217" s="531"/>
      <c r="Q217" s="531"/>
      <c r="R217" s="546"/>
      <c r="S217" s="546"/>
      <c r="T217" s="546"/>
      <c r="U217" s="546"/>
      <c r="V217" s="546"/>
      <c r="W217" s="546"/>
      <c r="X217" s="546"/>
      <c r="Y217" s="546"/>
      <c r="Z217" s="546"/>
      <c r="AA217" s="546"/>
      <c r="AD217" s="546"/>
      <c r="AE217" s="531"/>
      <c r="AF217" s="531"/>
      <c r="AG217" s="531"/>
      <c r="AH217" s="531"/>
      <c r="AI217" s="531"/>
      <c r="AJ217" s="531"/>
      <c r="AK217" s="531"/>
      <c r="AL217" s="531"/>
      <c r="AM217" s="531"/>
      <c r="AO217" s="546"/>
      <c r="AP217" s="546"/>
      <c r="AQ217" s="546"/>
      <c r="AR217" s="546"/>
      <c r="AS217" s="546"/>
      <c r="AT217" s="546"/>
      <c r="AU217" s="546"/>
      <c r="AV217" s="546"/>
      <c r="AW217" s="546"/>
      <c r="AX217" s="546"/>
      <c r="AY217" s="546"/>
      <c r="AZ217" s="546"/>
      <c r="BA217" s="546"/>
      <c r="BB217" s="546"/>
      <c r="BC217" s="546"/>
      <c r="BF217" s="531"/>
    </row>
    <row r="218" spans="1:58" s="626" customFormat="1" ht="23.5" customHeight="1">
      <c r="A218" s="621" t="s">
        <v>152</v>
      </c>
      <c r="B218" s="622"/>
      <c r="C218" s="622"/>
      <c r="D218" s="622"/>
      <c r="E218" s="622"/>
      <c r="F218" s="622"/>
      <c r="G218" s="623"/>
      <c r="H218" s="623"/>
      <c r="I218" s="624"/>
      <c r="J218" s="624"/>
      <c r="K218" s="625"/>
      <c r="L218" s="625" t="str">
        <f t="shared" ref="L218" si="47">IF(K218="","",K218)</f>
        <v/>
      </c>
      <c r="M218" s="624"/>
      <c r="N218" s="623"/>
      <c r="O218" s="623"/>
      <c r="P218" s="623"/>
      <c r="Q218" s="623"/>
      <c r="R218" s="623"/>
      <c r="S218" s="623"/>
      <c r="T218" s="622"/>
      <c r="U218" s="622"/>
      <c r="V218" s="622"/>
      <c r="W218" s="622"/>
      <c r="X218" s="622"/>
      <c r="Y218" s="623"/>
      <c r="Z218" s="623"/>
      <c r="AA218" s="623"/>
      <c r="AB218" s="541"/>
      <c r="AC218" s="541"/>
      <c r="AD218" s="622"/>
      <c r="AE218" s="622"/>
      <c r="AF218" s="622"/>
      <c r="AG218" s="622"/>
      <c r="AH218" s="622"/>
      <c r="AI218" s="622"/>
      <c r="AJ218" s="622"/>
      <c r="AK218" s="622"/>
      <c r="AL218" s="622"/>
      <c r="AM218" s="12"/>
      <c r="AN218" s="12"/>
      <c r="AO218" s="622"/>
      <c r="AP218" s="622"/>
      <c r="AQ218" s="622"/>
      <c r="AR218" s="622"/>
      <c r="AS218" s="622"/>
      <c r="AT218" s="622"/>
      <c r="AU218" s="622"/>
      <c r="AV218" s="622"/>
      <c r="AW218" s="622"/>
      <c r="AX218" s="622"/>
      <c r="AY218" s="622"/>
      <c r="AZ218" s="622"/>
      <c r="BA218" s="622"/>
      <c r="BB218" s="622"/>
      <c r="BC218" s="622"/>
      <c r="BF218" s="533" t="str">
        <f>A218</f>
        <v>*UTILITY SCALE CHP - WH</v>
      </c>
    </row>
    <row r="219" spans="1:58" s="626" customFormat="1" ht="14.25" customHeight="1">
      <c r="A219" s="627" t="s">
        <v>153</v>
      </c>
      <c r="B219" s="627" t="s">
        <v>154</v>
      </c>
      <c r="C219" s="530" t="s">
        <v>32</v>
      </c>
      <c r="D219" s="627" t="s">
        <v>131</v>
      </c>
      <c r="E219" s="531" t="s">
        <v>150</v>
      </c>
      <c r="F219" s="628">
        <v>2015</v>
      </c>
      <c r="G219" s="629">
        <v>30</v>
      </c>
      <c r="H219" s="630">
        <v>2.5215837627460433</v>
      </c>
      <c r="I219" s="630">
        <f>0.78*1.1</f>
        <v>0.8580000000000001</v>
      </c>
      <c r="J219" s="631"/>
      <c r="K219" s="531">
        <v>0.15</v>
      </c>
      <c r="L219" s="531">
        <v>0.15</v>
      </c>
      <c r="M219" s="531">
        <v>0.15</v>
      </c>
      <c r="N219" s="531">
        <v>0.15</v>
      </c>
      <c r="O219" s="531">
        <v>0.15</v>
      </c>
      <c r="P219" s="630">
        <v>7.0919543327232479E-2</v>
      </c>
      <c r="Q219" s="629">
        <v>0.18</v>
      </c>
      <c r="R219" s="630"/>
      <c r="S219" s="630"/>
      <c r="T219" s="630"/>
      <c r="U219" s="630"/>
      <c r="V219" s="630"/>
      <c r="W219" s="549"/>
      <c r="X219" s="549"/>
      <c r="Y219" s="549"/>
      <c r="Z219" s="549"/>
      <c r="AA219" s="549"/>
      <c r="AB219" s="541"/>
      <c r="AC219" s="541"/>
      <c r="AD219" s="546"/>
      <c r="AE219" s="531"/>
      <c r="AF219" s="531"/>
      <c r="AG219" s="531"/>
      <c r="AH219" s="531"/>
      <c r="AI219" s="531"/>
      <c r="AJ219" s="531"/>
      <c r="AK219" s="531"/>
      <c r="AL219" s="531"/>
      <c r="AM219" s="12"/>
      <c r="AN219" s="12"/>
      <c r="AO219" s="546"/>
      <c r="AP219" s="546"/>
      <c r="AQ219" s="546"/>
      <c r="AR219" s="546"/>
      <c r="AS219" s="546"/>
      <c r="AT219" s="546"/>
      <c r="AU219" s="546"/>
      <c r="AV219" s="546"/>
      <c r="AW219" s="546"/>
      <c r="AX219" s="546"/>
      <c r="AY219" s="546"/>
      <c r="AZ219" s="546"/>
      <c r="BA219" s="546"/>
      <c r="BB219" s="546"/>
      <c r="BC219" s="546"/>
      <c r="BF219" s="531" t="s">
        <v>37</v>
      </c>
    </row>
    <row r="220" spans="1:58" s="626" customFormat="1" ht="13.9" customHeight="1">
      <c r="A220" s="627" t="s">
        <v>155</v>
      </c>
      <c r="B220" s="627" t="s">
        <v>156</v>
      </c>
      <c r="C220" s="530" t="s">
        <v>32</v>
      </c>
      <c r="D220" s="627" t="s">
        <v>134</v>
      </c>
      <c r="E220" s="531" t="s">
        <v>150</v>
      </c>
      <c r="F220" s="628">
        <v>2015</v>
      </c>
      <c r="G220" s="629">
        <v>30</v>
      </c>
      <c r="H220" s="630">
        <v>2.5215837627460433</v>
      </c>
      <c r="I220" s="630">
        <f t="shared" ref="I220:I221" si="48">0.78*1.1</f>
        <v>0.8580000000000001</v>
      </c>
      <c r="J220" s="631"/>
      <c r="K220" s="531">
        <v>0.15</v>
      </c>
      <c r="L220" s="531">
        <v>0.15</v>
      </c>
      <c r="M220" s="531">
        <v>0.15</v>
      </c>
      <c r="N220" s="531">
        <v>0.15</v>
      </c>
      <c r="O220" s="531">
        <v>0.15</v>
      </c>
      <c r="P220" s="630">
        <v>7.0919543327232479E-2</v>
      </c>
      <c r="Q220" s="630">
        <v>0.18</v>
      </c>
      <c r="R220" s="630"/>
      <c r="S220" s="630"/>
      <c r="T220" s="630"/>
      <c r="U220" s="630"/>
      <c r="V220" s="630"/>
      <c r="W220" s="549"/>
      <c r="X220" s="549"/>
      <c r="Y220" s="549"/>
      <c r="Z220" s="549"/>
      <c r="AA220" s="549"/>
      <c r="AB220" s="541"/>
      <c r="AC220" s="541"/>
      <c r="AD220" s="546"/>
      <c r="AE220" s="531"/>
      <c r="AF220" s="531"/>
      <c r="AG220" s="531"/>
      <c r="AH220" s="531"/>
      <c r="AI220" s="531"/>
      <c r="AJ220" s="531"/>
      <c r="AK220" s="531"/>
      <c r="AL220" s="531"/>
      <c r="AM220" s="12"/>
      <c r="AN220" s="12"/>
      <c r="AO220" s="546"/>
      <c r="AP220" s="546"/>
      <c r="AQ220" s="546"/>
      <c r="AR220" s="546"/>
      <c r="AS220" s="546"/>
      <c r="AT220" s="546"/>
      <c r="AU220" s="546"/>
      <c r="AV220" s="546"/>
      <c r="AW220" s="546"/>
      <c r="AX220" s="546"/>
      <c r="AY220" s="546"/>
      <c r="AZ220" s="546"/>
      <c r="BA220" s="546"/>
      <c r="BB220" s="546"/>
      <c r="BC220" s="546"/>
      <c r="BF220" s="531" t="s">
        <v>37</v>
      </c>
    </row>
    <row r="221" spans="1:58" s="626" customFormat="1" ht="14.25" customHeight="1">
      <c r="A221" s="627" t="s">
        <v>157</v>
      </c>
      <c r="B221" s="627" t="s">
        <v>158</v>
      </c>
      <c r="C221" s="530" t="s">
        <v>32</v>
      </c>
      <c r="D221" s="627" t="s">
        <v>137</v>
      </c>
      <c r="E221" s="531" t="s">
        <v>150</v>
      </c>
      <c r="F221" s="628">
        <v>2015</v>
      </c>
      <c r="G221" s="629">
        <v>30</v>
      </c>
      <c r="H221" s="630">
        <v>2.5215837627460433</v>
      </c>
      <c r="I221" s="630">
        <f t="shared" si="48"/>
        <v>0.8580000000000001</v>
      </c>
      <c r="J221" s="631"/>
      <c r="K221" s="531">
        <v>0.15</v>
      </c>
      <c r="L221" s="531">
        <v>0.15</v>
      </c>
      <c r="M221" s="531">
        <v>0.15</v>
      </c>
      <c r="N221" s="531">
        <v>0.15</v>
      </c>
      <c r="O221" s="531">
        <v>0.15</v>
      </c>
      <c r="P221" s="630">
        <v>7.0919543327232479E-2</v>
      </c>
      <c r="Q221" s="630">
        <v>0.18</v>
      </c>
      <c r="R221" s="630"/>
      <c r="S221" s="630"/>
      <c r="T221" s="630"/>
      <c r="U221" s="630"/>
      <c r="V221" s="630"/>
      <c r="W221" s="549"/>
      <c r="X221" s="549"/>
      <c r="Y221" s="549"/>
      <c r="Z221" s="549"/>
      <c r="AA221" s="549"/>
      <c r="AB221" s="541"/>
      <c r="AC221" s="541"/>
      <c r="AD221" s="546"/>
      <c r="AE221" s="531"/>
      <c r="AF221" s="531"/>
      <c r="AG221" s="531"/>
      <c r="AH221" s="531"/>
      <c r="AI221" s="531"/>
      <c r="AJ221" s="531"/>
      <c r="AK221" s="531"/>
      <c r="AL221" s="531"/>
      <c r="AM221" s="12"/>
      <c r="AN221" s="12"/>
      <c r="AO221" s="546"/>
      <c r="AP221" s="546"/>
      <c r="AQ221" s="546"/>
      <c r="AR221" s="546"/>
      <c r="AS221" s="546"/>
      <c r="AT221" s="546"/>
      <c r="AU221" s="546"/>
      <c r="AV221" s="546"/>
      <c r="AW221" s="546"/>
      <c r="AX221" s="546"/>
      <c r="AY221" s="546"/>
      <c r="AZ221" s="546"/>
      <c r="BA221" s="546"/>
      <c r="BB221" s="546"/>
      <c r="BC221" s="546"/>
      <c r="BF221" s="531" t="s">
        <v>37</v>
      </c>
    </row>
    <row r="222" spans="1:58" ht="15" customHeight="1">
      <c r="A222" s="533" t="s">
        <v>55</v>
      </c>
      <c r="B222" s="532"/>
      <c r="C222" s="532"/>
      <c r="D222" s="533"/>
      <c r="E222" s="533"/>
      <c r="F222" s="554"/>
      <c r="G222" s="532"/>
      <c r="H222" s="555"/>
      <c r="I222" s="556"/>
      <c r="J222" s="555"/>
      <c r="K222" s="555"/>
      <c r="L222" s="555"/>
      <c r="M222" s="555"/>
      <c r="N222" s="555"/>
      <c r="O222" s="555"/>
      <c r="P222" s="555"/>
      <c r="Q222" s="556"/>
      <c r="R222" s="557"/>
      <c r="S222" s="557"/>
      <c r="T222" s="557"/>
      <c r="U222" s="557"/>
      <c r="V222" s="557"/>
      <c r="W222" s="557"/>
      <c r="X222" s="557"/>
      <c r="Y222" s="557"/>
      <c r="Z222" s="557"/>
      <c r="AA222" s="558"/>
      <c r="AD222" s="558"/>
      <c r="AE222" s="532"/>
      <c r="AF222" s="532"/>
      <c r="AG222" s="532"/>
      <c r="AH222" s="532"/>
      <c r="AI222" s="532"/>
      <c r="AJ222" s="532"/>
      <c r="AK222" s="532"/>
      <c r="AL222" s="532"/>
      <c r="AO222" s="557"/>
      <c r="AP222" s="557"/>
      <c r="AQ222" s="557"/>
      <c r="AR222" s="557"/>
      <c r="AS222" s="557"/>
      <c r="AT222" s="557"/>
      <c r="AU222" s="557"/>
      <c r="AV222" s="557"/>
      <c r="AW222" s="557"/>
      <c r="AX222" s="557"/>
      <c r="AY222" s="557"/>
      <c r="AZ222" s="557"/>
      <c r="BA222" s="557"/>
      <c r="BB222" s="557"/>
      <c r="BC222" s="557"/>
      <c r="BF222" s="533" t="s">
        <v>55</v>
      </c>
    </row>
    <row r="223" spans="1:58" ht="15" customHeight="1">
      <c r="A223" s="531" t="s">
        <v>159</v>
      </c>
      <c r="B223" s="531" t="s">
        <v>160</v>
      </c>
      <c r="C223" s="530" t="s">
        <v>32</v>
      </c>
      <c r="D223" s="531" t="s">
        <v>122</v>
      </c>
      <c r="E223" s="531" t="s">
        <v>161</v>
      </c>
      <c r="F223" s="547">
        <v>2011</v>
      </c>
      <c r="G223" s="531">
        <v>15</v>
      </c>
      <c r="H223" s="548"/>
      <c r="I223" s="548">
        <f>'RTEKTY Conv'!H149</f>
        <v>0.41274057243344064</v>
      </c>
      <c r="J223" s="531">
        <v>1</v>
      </c>
      <c r="K223" s="548">
        <v>0</v>
      </c>
      <c r="L223" s="548">
        <v>0</v>
      </c>
      <c r="M223" s="548">
        <v>0</v>
      </c>
      <c r="N223" s="548">
        <v>0</v>
      </c>
      <c r="O223" s="548">
        <v>0</v>
      </c>
      <c r="P223" s="531"/>
      <c r="Q223" s="531">
        <v>0.18</v>
      </c>
      <c r="R223" s="546"/>
      <c r="S223" s="546">
        <v>0</v>
      </c>
      <c r="T223" s="546">
        <v>0</v>
      </c>
      <c r="U223" s="546">
        <v>0</v>
      </c>
      <c r="V223" s="546">
        <v>0</v>
      </c>
      <c r="W223" s="546">
        <v>0</v>
      </c>
      <c r="X223" s="546">
        <v>0</v>
      </c>
      <c r="Y223" s="546">
        <v>0</v>
      </c>
      <c r="Z223" s="546">
        <v>0</v>
      </c>
      <c r="AA223" s="546">
        <v>0</v>
      </c>
      <c r="AD223" s="546"/>
      <c r="AE223" s="531"/>
      <c r="AF223" s="531"/>
      <c r="AG223" s="531"/>
      <c r="AH223" s="531"/>
      <c r="AI223" s="531"/>
      <c r="AJ223" s="531"/>
      <c r="AK223" s="531"/>
      <c r="AL223" s="531"/>
      <c r="AO223" s="550">
        <v>14.709046623791854</v>
      </c>
      <c r="AP223" s="550">
        <v>7.9805438383817879</v>
      </c>
      <c r="AQ223" s="550">
        <v>9.1372867665236512</v>
      </c>
      <c r="AR223" s="550">
        <v>2.7006704988814558</v>
      </c>
      <c r="AS223" s="550">
        <v>12.963783038901443</v>
      </c>
      <c r="AT223" s="550"/>
      <c r="AU223" s="550"/>
      <c r="AV223" s="550"/>
      <c r="AW223" s="550"/>
      <c r="AX223" s="550"/>
      <c r="AY223" s="550"/>
      <c r="AZ223" s="550"/>
      <c r="BA223" s="550"/>
      <c r="BB223" s="550"/>
      <c r="BC223" s="550"/>
      <c r="BF223" s="531" t="s">
        <v>162</v>
      </c>
    </row>
    <row r="224" spans="1:58" ht="15" customHeight="1">
      <c r="A224" s="531" t="s">
        <v>163</v>
      </c>
      <c r="B224" s="531" t="s">
        <v>164</v>
      </c>
      <c r="C224" s="530" t="s">
        <v>32</v>
      </c>
      <c r="D224" s="531" t="s">
        <v>122</v>
      </c>
      <c r="E224" s="531" t="s">
        <v>161</v>
      </c>
      <c r="F224" s="547" t="s">
        <v>165</v>
      </c>
      <c r="G224" s="531">
        <v>15</v>
      </c>
      <c r="H224" s="548" t="e">
        <f>'RTEKTY Conv'!K150</f>
        <v>#REF!</v>
      </c>
      <c r="I224" s="548" t="e">
        <f>'RTEKTY Conv'!H150</f>
        <v>#REF!</v>
      </c>
      <c r="J224" s="531">
        <v>1</v>
      </c>
      <c r="K224" s="548">
        <v>0</v>
      </c>
      <c r="L224" s="548">
        <v>0</v>
      </c>
      <c r="M224" s="548">
        <v>0</v>
      </c>
      <c r="N224" s="548">
        <v>0</v>
      </c>
      <c r="O224" s="548">
        <v>0</v>
      </c>
      <c r="P224" s="531"/>
      <c r="Q224" s="531">
        <v>0.18</v>
      </c>
      <c r="R224" s="546"/>
      <c r="S224" s="546"/>
      <c r="T224" s="546">
        <v>0</v>
      </c>
      <c r="U224" s="546">
        <v>0</v>
      </c>
      <c r="V224" s="546">
        <v>0</v>
      </c>
      <c r="W224" s="546">
        <v>0</v>
      </c>
      <c r="X224" s="546">
        <v>0</v>
      </c>
      <c r="Y224" s="546">
        <v>0</v>
      </c>
      <c r="Z224" s="546">
        <v>0</v>
      </c>
      <c r="AA224" s="546">
        <v>0</v>
      </c>
      <c r="AD224" s="546"/>
      <c r="AE224" s="531"/>
      <c r="AF224" s="531"/>
      <c r="AG224" s="531"/>
      <c r="AH224" s="531"/>
      <c r="AI224" s="531"/>
      <c r="AJ224" s="531"/>
      <c r="AK224" s="531"/>
      <c r="AL224" s="531"/>
      <c r="AO224" s="546"/>
      <c r="AP224" s="546"/>
      <c r="AQ224" s="546"/>
      <c r="AR224" s="546"/>
      <c r="AS224" s="546"/>
      <c r="AT224" s="546"/>
      <c r="AU224" s="546"/>
      <c r="AV224" s="546"/>
      <c r="AW224" s="546"/>
      <c r="AX224" s="546"/>
      <c r="AY224" s="546"/>
      <c r="AZ224" s="546"/>
      <c r="BA224" s="546"/>
      <c r="BB224" s="546"/>
      <c r="BC224" s="546"/>
      <c r="BF224" s="531" t="s">
        <v>162</v>
      </c>
    </row>
    <row r="225" spans="1:58" ht="15" customHeight="1">
      <c r="A225" s="531" t="s">
        <v>166</v>
      </c>
      <c r="B225" s="531" t="s">
        <v>167</v>
      </c>
      <c r="C225" s="530" t="s">
        <v>32</v>
      </c>
      <c r="D225" s="531" t="s">
        <v>122</v>
      </c>
      <c r="E225" s="531" t="s">
        <v>161</v>
      </c>
      <c r="F225" s="547" t="s">
        <v>168</v>
      </c>
      <c r="G225" s="531">
        <v>15</v>
      </c>
      <c r="H225" s="548" t="e">
        <f>'RTEKTY Conv'!K151</f>
        <v>#REF!</v>
      </c>
      <c r="I225" s="548" t="e">
        <f>'RTEKTY Conv'!H151</f>
        <v>#REF!</v>
      </c>
      <c r="J225" s="531">
        <v>1</v>
      </c>
      <c r="K225" s="548">
        <v>0</v>
      </c>
      <c r="L225" s="548">
        <v>0</v>
      </c>
      <c r="M225" s="548">
        <v>0</v>
      </c>
      <c r="N225" s="548">
        <v>0</v>
      </c>
      <c r="O225" s="548">
        <v>0</v>
      </c>
      <c r="P225" s="531"/>
      <c r="Q225" s="531">
        <v>0.18</v>
      </c>
      <c r="R225" s="546"/>
      <c r="S225" s="546"/>
      <c r="T225" s="546"/>
      <c r="U225" s="546"/>
      <c r="V225" s="546"/>
      <c r="W225" s="546"/>
      <c r="X225" s="546"/>
      <c r="Y225" s="546"/>
      <c r="Z225" s="546"/>
      <c r="AA225" s="546"/>
      <c r="AD225" s="546"/>
      <c r="AE225" s="531"/>
      <c r="AF225" s="531"/>
      <c r="AG225" s="531"/>
      <c r="AH225" s="531"/>
      <c r="AI225" s="531"/>
      <c r="AJ225" s="531"/>
      <c r="AK225" s="531"/>
      <c r="AL225" s="531"/>
      <c r="AO225" s="546"/>
      <c r="AP225" s="546"/>
      <c r="AQ225" s="546"/>
      <c r="AR225" s="546"/>
      <c r="AS225" s="546"/>
      <c r="AT225" s="546"/>
      <c r="AU225" s="546"/>
      <c r="AV225" s="546"/>
      <c r="AW225" s="546"/>
      <c r="AX225" s="546"/>
      <c r="AY225" s="546"/>
      <c r="AZ225" s="546"/>
      <c r="BA225" s="546"/>
      <c r="BB225" s="546"/>
      <c r="BC225" s="546"/>
      <c r="BF225" s="531" t="s">
        <v>162</v>
      </c>
    </row>
    <row r="226" spans="1:58" ht="15" customHeight="1">
      <c r="A226" s="531" t="s">
        <v>169</v>
      </c>
      <c r="B226" s="531" t="s">
        <v>170</v>
      </c>
      <c r="C226" s="530" t="s">
        <v>32</v>
      </c>
      <c r="D226" s="531" t="s">
        <v>122</v>
      </c>
      <c r="E226" s="531" t="s">
        <v>161</v>
      </c>
      <c r="F226" s="547" t="s">
        <v>165</v>
      </c>
      <c r="G226" s="531">
        <v>15</v>
      </c>
      <c r="H226" s="548" t="e">
        <f>'RTEKTY Conv'!K152</f>
        <v>#REF!</v>
      </c>
      <c r="I226" s="548" t="e">
        <f>'RTEKTY Conv'!H152</f>
        <v>#REF!</v>
      </c>
      <c r="J226" s="531">
        <v>1</v>
      </c>
      <c r="K226" s="548">
        <v>0</v>
      </c>
      <c r="L226" s="548">
        <v>0</v>
      </c>
      <c r="M226" s="548">
        <v>0</v>
      </c>
      <c r="N226" s="548">
        <v>0</v>
      </c>
      <c r="O226" s="548">
        <v>0</v>
      </c>
      <c r="P226" s="531"/>
      <c r="Q226" s="531">
        <v>0.18</v>
      </c>
      <c r="R226" s="546"/>
      <c r="S226" s="546"/>
      <c r="T226" s="546">
        <v>0</v>
      </c>
      <c r="U226" s="546">
        <v>0</v>
      </c>
      <c r="V226" s="546">
        <v>0</v>
      </c>
      <c r="W226" s="546">
        <v>0</v>
      </c>
      <c r="X226" s="546">
        <v>0</v>
      </c>
      <c r="Y226" s="546">
        <v>0</v>
      </c>
      <c r="Z226" s="546">
        <v>0</v>
      </c>
      <c r="AA226" s="546">
        <v>0</v>
      </c>
      <c r="AD226" s="546"/>
      <c r="AE226" s="531"/>
      <c r="AF226" s="531"/>
      <c r="AG226" s="531"/>
      <c r="AH226" s="531"/>
      <c r="AI226" s="531"/>
      <c r="AJ226" s="531"/>
      <c r="AK226" s="531"/>
      <c r="AL226" s="531"/>
      <c r="AO226" s="546"/>
      <c r="AP226" s="546"/>
      <c r="AQ226" s="546"/>
      <c r="AR226" s="546"/>
      <c r="AS226" s="546"/>
      <c r="AT226" s="546"/>
      <c r="AU226" s="546"/>
      <c r="AV226" s="546"/>
      <c r="AW226" s="546"/>
      <c r="AX226" s="546"/>
      <c r="AY226" s="546"/>
      <c r="AZ226" s="546"/>
      <c r="BA226" s="546"/>
      <c r="BB226" s="546"/>
      <c r="BC226" s="546"/>
      <c r="BF226" s="531" t="s">
        <v>162</v>
      </c>
    </row>
    <row r="227" spans="1:58" ht="15" customHeight="1">
      <c r="A227" s="531" t="s">
        <v>171</v>
      </c>
      <c r="B227" s="531" t="s">
        <v>172</v>
      </c>
      <c r="C227" s="530" t="s">
        <v>32</v>
      </c>
      <c r="D227" s="531" t="s">
        <v>122</v>
      </c>
      <c r="E227" s="531" t="s">
        <v>161</v>
      </c>
      <c r="F227" s="547" t="s">
        <v>168</v>
      </c>
      <c r="G227" s="531">
        <v>15</v>
      </c>
      <c r="H227" s="548" t="e">
        <f>'RTEKTY Conv'!K153</f>
        <v>#REF!</v>
      </c>
      <c r="I227" s="548" t="e">
        <f>'RTEKTY Conv'!H153</f>
        <v>#REF!</v>
      </c>
      <c r="J227" s="531">
        <v>1</v>
      </c>
      <c r="K227" s="548">
        <v>0</v>
      </c>
      <c r="L227" s="548">
        <v>0</v>
      </c>
      <c r="M227" s="548">
        <v>0</v>
      </c>
      <c r="N227" s="548">
        <v>0</v>
      </c>
      <c r="O227" s="548">
        <v>0</v>
      </c>
      <c r="P227" s="531"/>
      <c r="Q227" s="531">
        <v>0.18</v>
      </c>
      <c r="R227" s="546"/>
      <c r="S227" s="546"/>
      <c r="T227" s="546"/>
      <c r="U227" s="546"/>
      <c r="V227" s="546"/>
      <c r="W227" s="546"/>
      <c r="X227" s="546"/>
      <c r="Y227" s="546"/>
      <c r="Z227" s="546"/>
      <c r="AA227" s="546"/>
      <c r="AD227" s="546"/>
      <c r="AE227" s="531"/>
      <c r="AF227" s="531"/>
      <c r="AG227" s="531"/>
      <c r="AH227" s="531"/>
      <c r="AI227" s="531"/>
      <c r="AJ227" s="531"/>
      <c r="AK227" s="531"/>
      <c r="AL227" s="531"/>
      <c r="AO227" s="546"/>
      <c r="AP227" s="546"/>
      <c r="AQ227" s="546"/>
      <c r="AR227" s="546"/>
      <c r="AS227" s="546"/>
      <c r="AT227" s="546"/>
      <c r="AU227" s="546"/>
      <c r="AV227" s="546"/>
      <c r="AW227" s="546"/>
      <c r="AX227" s="546"/>
      <c r="AY227" s="546"/>
      <c r="AZ227" s="546"/>
      <c r="BA227" s="546"/>
      <c r="BB227" s="546"/>
      <c r="BC227" s="546"/>
      <c r="BF227" s="531" t="s">
        <v>162</v>
      </c>
    </row>
    <row r="228" spans="1:58" ht="15" customHeight="1">
      <c r="A228" s="531" t="s">
        <v>173</v>
      </c>
      <c r="B228" s="531" t="s">
        <v>174</v>
      </c>
      <c r="C228" s="530" t="s">
        <v>32</v>
      </c>
      <c r="D228" s="531" t="s">
        <v>122</v>
      </c>
      <c r="E228" s="531" t="s">
        <v>161</v>
      </c>
      <c r="F228" s="547" t="s">
        <v>165</v>
      </c>
      <c r="G228" s="531">
        <v>15</v>
      </c>
      <c r="H228" s="548" t="e">
        <f>'RTEKTY Conv'!K154</f>
        <v>#REF!</v>
      </c>
      <c r="I228" s="548" t="e">
        <f>'RTEKTY Conv'!H154</f>
        <v>#REF!</v>
      </c>
      <c r="J228" s="531">
        <v>1</v>
      </c>
      <c r="K228" s="548">
        <v>0</v>
      </c>
      <c r="L228" s="548">
        <v>0</v>
      </c>
      <c r="M228" s="548">
        <v>0</v>
      </c>
      <c r="N228" s="548">
        <v>0</v>
      </c>
      <c r="O228" s="548">
        <v>0</v>
      </c>
      <c r="P228" s="531"/>
      <c r="Q228" s="531">
        <v>0.18</v>
      </c>
      <c r="R228" s="546"/>
      <c r="S228" s="546"/>
      <c r="T228" s="546">
        <v>0</v>
      </c>
      <c r="U228" s="546">
        <v>0</v>
      </c>
      <c r="V228" s="546">
        <v>0</v>
      </c>
      <c r="W228" s="546">
        <v>0</v>
      </c>
      <c r="X228" s="546">
        <v>0</v>
      </c>
      <c r="Y228" s="546">
        <v>0</v>
      </c>
      <c r="Z228" s="546">
        <v>0</v>
      </c>
      <c r="AA228" s="546">
        <v>0</v>
      </c>
      <c r="AD228" s="546"/>
      <c r="AE228" s="531"/>
      <c r="AF228" s="531"/>
      <c r="AG228" s="531"/>
      <c r="AH228" s="531"/>
      <c r="AI228" s="531"/>
      <c r="AJ228" s="531"/>
      <c r="AK228" s="531"/>
      <c r="AL228" s="531"/>
      <c r="AO228" s="546"/>
      <c r="AP228" s="546"/>
      <c r="AQ228" s="546"/>
      <c r="AR228" s="546"/>
      <c r="AS228" s="546"/>
      <c r="AT228" s="546"/>
      <c r="AU228" s="546"/>
      <c r="AV228" s="546"/>
      <c r="AW228" s="546"/>
      <c r="AX228" s="546"/>
      <c r="AY228" s="546"/>
      <c r="AZ228" s="546"/>
      <c r="BA228" s="546"/>
      <c r="BB228" s="546"/>
      <c r="BC228" s="546"/>
      <c r="BF228" s="531" t="s">
        <v>162</v>
      </c>
    </row>
    <row r="229" spans="1:58" ht="15" customHeight="1">
      <c r="A229" s="531" t="s">
        <v>175</v>
      </c>
      <c r="B229" s="531" t="s">
        <v>176</v>
      </c>
      <c r="C229" s="530" t="s">
        <v>32</v>
      </c>
      <c r="D229" s="531" t="s">
        <v>122</v>
      </c>
      <c r="E229" s="531" t="s">
        <v>161</v>
      </c>
      <c r="F229" s="547" t="s">
        <v>168</v>
      </c>
      <c r="G229" s="531">
        <v>15</v>
      </c>
      <c r="H229" s="548" t="e">
        <f>'RTEKTY Conv'!K155</f>
        <v>#REF!</v>
      </c>
      <c r="I229" s="548" t="e">
        <f>'RTEKTY Conv'!H155</f>
        <v>#REF!</v>
      </c>
      <c r="J229" s="531">
        <v>1</v>
      </c>
      <c r="K229" s="548">
        <v>0</v>
      </c>
      <c r="L229" s="548">
        <v>0</v>
      </c>
      <c r="M229" s="548">
        <v>0</v>
      </c>
      <c r="N229" s="548">
        <v>0</v>
      </c>
      <c r="O229" s="548">
        <v>0</v>
      </c>
      <c r="P229" s="531"/>
      <c r="Q229" s="531">
        <v>0.18</v>
      </c>
      <c r="R229" s="546"/>
      <c r="S229" s="546"/>
      <c r="T229" s="546"/>
      <c r="U229" s="546"/>
      <c r="V229" s="546"/>
      <c r="W229" s="546"/>
      <c r="X229" s="546"/>
      <c r="Y229" s="546"/>
      <c r="Z229" s="546"/>
      <c r="AA229" s="546"/>
      <c r="AD229" s="546"/>
      <c r="AE229" s="531"/>
      <c r="AF229" s="531"/>
      <c r="AG229" s="531"/>
      <c r="AH229" s="531"/>
      <c r="AI229" s="531"/>
      <c r="AJ229" s="531"/>
      <c r="AK229" s="531"/>
      <c r="AL229" s="531"/>
      <c r="AO229" s="546"/>
      <c r="AP229" s="546"/>
      <c r="AQ229" s="546"/>
      <c r="AR229" s="546"/>
      <c r="AS229" s="546"/>
      <c r="AT229" s="546"/>
      <c r="AU229" s="546"/>
      <c r="AV229" s="546"/>
      <c r="AW229" s="546"/>
      <c r="AX229" s="546"/>
      <c r="AY229" s="546"/>
      <c r="AZ229" s="546"/>
      <c r="BA229" s="546"/>
      <c r="BB229" s="546"/>
      <c r="BC229" s="546"/>
      <c r="BF229" s="531" t="s">
        <v>162</v>
      </c>
    </row>
    <row r="230" spans="1:58" ht="15" customHeight="1">
      <c r="A230" s="531" t="s">
        <v>177</v>
      </c>
      <c r="B230" s="531" t="s">
        <v>178</v>
      </c>
      <c r="C230" s="530" t="s">
        <v>32</v>
      </c>
      <c r="D230" s="531" t="s">
        <v>122</v>
      </c>
      <c r="E230" s="531" t="s">
        <v>161</v>
      </c>
      <c r="F230" s="547" t="s">
        <v>165</v>
      </c>
      <c r="G230" s="531">
        <v>15</v>
      </c>
      <c r="H230" s="548" t="e">
        <f>'RTEKTY Conv'!K156</f>
        <v>#REF!</v>
      </c>
      <c r="I230" s="548" t="e">
        <f>'RTEKTY Conv'!H156</f>
        <v>#REF!</v>
      </c>
      <c r="J230" s="531">
        <v>1</v>
      </c>
      <c r="K230" s="548">
        <v>0</v>
      </c>
      <c r="L230" s="548">
        <v>0</v>
      </c>
      <c r="M230" s="548">
        <v>0</v>
      </c>
      <c r="N230" s="548">
        <v>0</v>
      </c>
      <c r="O230" s="548">
        <v>0</v>
      </c>
      <c r="P230" s="531"/>
      <c r="Q230" s="531">
        <v>0.18</v>
      </c>
      <c r="R230" s="546"/>
      <c r="S230" s="546"/>
      <c r="T230" s="546"/>
      <c r="U230" s="546"/>
      <c r="V230" s="546"/>
      <c r="W230" s="546"/>
      <c r="X230" s="546"/>
      <c r="Y230" s="546"/>
      <c r="Z230" s="546"/>
      <c r="AA230" s="546"/>
      <c r="AD230" s="546"/>
      <c r="AE230" s="531"/>
      <c r="AF230" s="531"/>
      <c r="AG230" s="531"/>
      <c r="AH230" s="531"/>
      <c r="AI230" s="531"/>
      <c r="AJ230" s="531"/>
      <c r="AK230" s="531"/>
      <c r="AL230" s="531"/>
      <c r="AO230" s="546"/>
      <c r="AP230" s="546"/>
      <c r="AQ230" s="546"/>
      <c r="AR230" s="546"/>
      <c r="AS230" s="546"/>
      <c r="AT230" s="546"/>
      <c r="AU230" s="546"/>
      <c r="AV230" s="546"/>
      <c r="AW230" s="546"/>
      <c r="AX230" s="546"/>
      <c r="AY230" s="546"/>
      <c r="AZ230" s="546"/>
      <c r="BA230" s="546"/>
      <c r="BB230" s="546"/>
      <c r="BC230" s="546"/>
      <c r="BF230" s="531" t="s">
        <v>162</v>
      </c>
    </row>
    <row r="231" spans="1:58" ht="15" customHeight="1">
      <c r="A231" s="531" t="s">
        <v>179</v>
      </c>
      <c r="B231" s="531" t="s">
        <v>180</v>
      </c>
      <c r="C231" s="530" t="s">
        <v>32</v>
      </c>
      <c r="D231" s="531" t="s">
        <v>122</v>
      </c>
      <c r="E231" s="531" t="s">
        <v>161</v>
      </c>
      <c r="F231" s="547" t="s">
        <v>165</v>
      </c>
      <c r="G231" s="531">
        <v>15</v>
      </c>
      <c r="H231" s="548" t="e">
        <f>'RTEKTY Conv'!K157</f>
        <v>#REF!</v>
      </c>
      <c r="I231" s="548" t="e">
        <f>'RTEKTY Conv'!H157</f>
        <v>#REF!</v>
      </c>
      <c r="J231" s="531">
        <v>1</v>
      </c>
      <c r="K231" s="548">
        <v>0</v>
      </c>
      <c r="L231" s="548">
        <v>0</v>
      </c>
      <c r="M231" s="548">
        <v>0</v>
      </c>
      <c r="N231" s="548">
        <v>0</v>
      </c>
      <c r="O231" s="548">
        <v>0</v>
      </c>
      <c r="P231" s="531"/>
      <c r="Q231" s="531">
        <v>0.18</v>
      </c>
      <c r="R231" s="546"/>
      <c r="S231" s="546"/>
      <c r="T231" s="546">
        <v>0</v>
      </c>
      <c r="U231" s="546">
        <v>0</v>
      </c>
      <c r="V231" s="546">
        <v>0</v>
      </c>
      <c r="W231" s="546">
        <v>0</v>
      </c>
      <c r="X231" s="546">
        <v>0</v>
      </c>
      <c r="Y231" s="546">
        <v>0</v>
      </c>
      <c r="Z231" s="546">
        <v>0</v>
      </c>
      <c r="AA231" s="546">
        <v>0</v>
      </c>
      <c r="AD231" s="546"/>
      <c r="AE231" s="531"/>
      <c r="AF231" s="531"/>
      <c r="AG231" s="531"/>
      <c r="AH231" s="531"/>
      <c r="AI231" s="531"/>
      <c r="AJ231" s="531"/>
      <c r="AK231" s="531"/>
      <c r="AL231" s="531"/>
      <c r="AO231" s="546"/>
      <c r="AP231" s="546"/>
      <c r="AQ231" s="546"/>
      <c r="AR231" s="546"/>
      <c r="AS231" s="546"/>
      <c r="AT231" s="546"/>
      <c r="AU231" s="546"/>
      <c r="AV231" s="546"/>
      <c r="AW231" s="546"/>
      <c r="AX231" s="546"/>
      <c r="AY231" s="546"/>
      <c r="AZ231" s="546"/>
      <c r="BA231" s="546"/>
      <c r="BB231" s="546"/>
      <c r="BC231" s="546"/>
      <c r="BF231" s="531" t="s">
        <v>162</v>
      </c>
    </row>
    <row r="232" spans="1:58" ht="15" customHeight="1">
      <c r="A232" s="531" t="s">
        <v>181</v>
      </c>
      <c r="B232" s="531" t="s">
        <v>182</v>
      </c>
      <c r="C232" s="530" t="s">
        <v>32</v>
      </c>
      <c r="D232" s="531" t="s">
        <v>122</v>
      </c>
      <c r="E232" s="531" t="s">
        <v>161</v>
      </c>
      <c r="F232" s="547" t="s">
        <v>168</v>
      </c>
      <c r="G232" s="531">
        <v>15</v>
      </c>
      <c r="H232" s="548" t="e">
        <f>'RTEKTY Conv'!K158</f>
        <v>#REF!</v>
      </c>
      <c r="I232" s="548" t="e">
        <f>'RTEKTY Conv'!H158</f>
        <v>#REF!</v>
      </c>
      <c r="J232" s="531">
        <v>1</v>
      </c>
      <c r="K232" s="548">
        <v>0</v>
      </c>
      <c r="L232" s="548">
        <v>0</v>
      </c>
      <c r="M232" s="548">
        <v>0</v>
      </c>
      <c r="N232" s="548">
        <v>0</v>
      </c>
      <c r="O232" s="548">
        <v>0</v>
      </c>
      <c r="P232" s="531"/>
      <c r="Q232" s="531">
        <v>0.18</v>
      </c>
      <c r="R232" s="546"/>
      <c r="S232" s="546"/>
      <c r="T232" s="546"/>
      <c r="U232" s="546"/>
      <c r="V232" s="546"/>
      <c r="W232" s="546"/>
      <c r="X232" s="546"/>
      <c r="Y232" s="546"/>
      <c r="Z232" s="546"/>
      <c r="AA232" s="546"/>
      <c r="AD232" s="546"/>
      <c r="AE232" s="531"/>
      <c r="AF232" s="531"/>
      <c r="AG232" s="531"/>
      <c r="AH232" s="531"/>
      <c r="AI232" s="531"/>
      <c r="AJ232" s="531"/>
      <c r="AK232" s="531"/>
      <c r="AL232" s="531"/>
      <c r="AO232" s="546"/>
      <c r="AP232" s="546"/>
      <c r="AQ232" s="546"/>
      <c r="AR232" s="546"/>
      <c r="AS232" s="546"/>
      <c r="AT232" s="546"/>
      <c r="AU232" s="546"/>
      <c r="AV232" s="546"/>
      <c r="AW232" s="546"/>
      <c r="AX232" s="546"/>
      <c r="AY232" s="546"/>
      <c r="AZ232" s="546"/>
      <c r="BA232" s="546"/>
      <c r="BB232" s="546"/>
      <c r="BC232" s="546"/>
      <c r="BF232" s="531" t="s">
        <v>162</v>
      </c>
    </row>
    <row r="233" spans="1:58" ht="15" customHeight="1">
      <c r="A233" s="531" t="s">
        <v>183</v>
      </c>
      <c r="B233" s="531" t="s">
        <v>184</v>
      </c>
      <c r="C233" s="530" t="s">
        <v>32</v>
      </c>
      <c r="D233" s="531" t="s">
        <v>122</v>
      </c>
      <c r="E233" s="531" t="s">
        <v>161</v>
      </c>
      <c r="F233" s="547" t="s">
        <v>165</v>
      </c>
      <c r="G233" s="531">
        <v>15</v>
      </c>
      <c r="H233" s="548" t="e">
        <f>'RTEKTY Conv'!K159</f>
        <v>#REF!</v>
      </c>
      <c r="I233" s="548" t="e">
        <f>'RTEKTY Conv'!H159</f>
        <v>#REF!</v>
      </c>
      <c r="J233" s="531">
        <v>1</v>
      </c>
      <c r="K233" s="548">
        <v>0</v>
      </c>
      <c r="L233" s="548">
        <v>0</v>
      </c>
      <c r="M233" s="548">
        <v>0</v>
      </c>
      <c r="N233" s="548">
        <v>0</v>
      </c>
      <c r="O233" s="548">
        <v>0</v>
      </c>
      <c r="P233" s="531"/>
      <c r="Q233" s="531">
        <v>0.18</v>
      </c>
      <c r="R233" s="546"/>
      <c r="S233" s="546"/>
      <c r="T233" s="546"/>
      <c r="U233" s="546"/>
      <c r="V233" s="546"/>
      <c r="W233" s="546"/>
      <c r="X233" s="546"/>
      <c r="Y233" s="546"/>
      <c r="Z233" s="546"/>
      <c r="AA233" s="546"/>
      <c r="AD233" s="546"/>
      <c r="AE233" s="531"/>
      <c r="AF233" s="531"/>
      <c r="AG233" s="531"/>
      <c r="AH233" s="531"/>
      <c r="AI233" s="531"/>
      <c r="AJ233" s="531"/>
      <c r="AK233" s="531"/>
      <c r="AL233" s="531"/>
      <c r="AO233" s="546"/>
      <c r="AP233" s="546"/>
      <c r="AQ233" s="546"/>
      <c r="AR233" s="546"/>
      <c r="AS233" s="546"/>
      <c r="AT233" s="546"/>
      <c r="AU233" s="546"/>
      <c r="AV233" s="546"/>
      <c r="AW233" s="546"/>
      <c r="AX233" s="546"/>
      <c r="AY233" s="546"/>
      <c r="AZ233" s="546"/>
      <c r="BA233" s="546"/>
      <c r="BB233" s="546"/>
      <c r="BC233" s="546"/>
      <c r="BF233" s="531" t="s">
        <v>162</v>
      </c>
    </row>
    <row r="234" spans="1:58" ht="15" customHeight="1">
      <c r="A234" s="531" t="s">
        <v>185</v>
      </c>
      <c r="B234" s="531" t="s">
        <v>186</v>
      </c>
      <c r="C234" s="530" t="s">
        <v>32</v>
      </c>
      <c r="D234" s="531" t="s">
        <v>122</v>
      </c>
      <c r="E234" s="531" t="s">
        <v>161</v>
      </c>
      <c r="F234" s="547" t="s">
        <v>165</v>
      </c>
      <c r="G234" s="531">
        <v>15</v>
      </c>
      <c r="H234" s="548" t="e">
        <f>'RTEKTY Conv'!K160</f>
        <v>#REF!</v>
      </c>
      <c r="I234" s="548" t="e">
        <f>'RTEKTY Conv'!H160</f>
        <v>#REF!</v>
      </c>
      <c r="J234" s="531">
        <v>1</v>
      </c>
      <c r="K234" s="548">
        <v>0</v>
      </c>
      <c r="L234" s="548">
        <v>0</v>
      </c>
      <c r="M234" s="548">
        <v>0</v>
      </c>
      <c r="N234" s="548">
        <v>0</v>
      </c>
      <c r="O234" s="548">
        <v>0</v>
      </c>
      <c r="P234" s="531"/>
      <c r="Q234" s="531">
        <v>0.18</v>
      </c>
      <c r="R234" s="546"/>
      <c r="S234" s="546"/>
      <c r="T234" s="546">
        <v>0</v>
      </c>
      <c r="U234" s="546">
        <v>0</v>
      </c>
      <c r="V234" s="546">
        <v>0</v>
      </c>
      <c r="W234" s="546">
        <v>0</v>
      </c>
      <c r="X234" s="546">
        <v>0</v>
      </c>
      <c r="Y234" s="546">
        <v>0</v>
      </c>
      <c r="Z234" s="546">
        <v>0</v>
      </c>
      <c r="AA234" s="546">
        <v>0</v>
      </c>
      <c r="AD234" s="546"/>
      <c r="AE234" s="531"/>
      <c r="AF234" s="531"/>
      <c r="AG234" s="531"/>
      <c r="AH234" s="531"/>
      <c r="AI234" s="531"/>
      <c r="AJ234" s="531"/>
      <c r="AK234" s="531"/>
      <c r="AL234" s="531"/>
      <c r="AO234" s="546"/>
      <c r="AP234" s="546"/>
      <c r="AQ234" s="546"/>
      <c r="AR234" s="546"/>
      <c r="AS234" s="546"/>
      <c r="AT234" s="546"/>
      <c r="AU234" s="546"/>
      <c r="AV234" s="546"/>
      <c r="AW234" s="546"/>
      <c r="AX234" s="546"/>
      <c r="AY234" s="546"/>
      <c r="AZ234" s="546"/>
      <c r="BA234" s="546"/>
      <c r="BB234" s="546"/>
      <c r="BC234" s="546"/>
      <c r="BF234" s="531" t="s">
        <v>162</v>
      </c>
    </row>
    <row r="235" spans="1:58" ht="15" customHeight="1">
      <c r="A235" s="531" t="s">
        <v>187</v>
      </c>
      <c r="B235" s="531" t="s">
        <v>188</v>
      </c>
      <c r="C235" s="530" t="s">
        <v>32</v>
      </c>
      <c r="D235" s="531" t="s">
        <v>122</v>
      </c>
      <c r="E235" s="531" t="s">
        <v>161</v>
      </c>
      <c r="F235" s="547" t="s">
        <v>168</v>
      </c>
      <c r="G235" s="531">
        <v>15</v>
      </c>
      <c r="H235" s="548" t="e">
        <f>'RTEKTY Conv'!K161</f>
        <v>#REF!</v>
      </c>
      <c r="I235" s="548" t="e">
        <f>'RTEKTY Conv'!H161</f>
        <v>#REF!</v>
      </c>
      <c r="J235" s="531">
        <v>1</v>
      </c>
      <c r="K235" s="548">
        <f>'RTEKTY Conv'!M161</f>
        <v>1</v>
      </c>
      <c r="L235" s="548"/>
      <c r="M235" s="548"/>
      <c r="N235" s="548"/>
      <c r="O235" s="548"/>
      <c r="P235" s="531"/>
      <c r="Q235" s="531">
        <v>0.18</v>
      </c>
      <c r="R235" s="546"/>
      <c r="S235" s="546"/>
      <c r="T235" s="546"/>
      <c r="U235" s="546"/>
      <c r="V235" s="546"/>
      <c r="W235" s="546"/>
      <c r="X235" s="546"/>
      <c r="Y235" s="546"/>
      <c r="Z235" s="546"/>
      <c r="AA235" s="546"/>
      <c r="AD235" s="546"/>
      <c r="AE235" s="531"/>
      <c r="AF235" s="531"/>
      <c r="AG235" s="531"/>
      <c r="AH235" s="531"/>
      <c r="AI235" s="531"/>
      <c r="AJ235" s="531"/>
      <c r="AK235" s="531"/>
      <c r="AL235" s="531"/>
      <c r="AO235" s="546"/>
      <c r="AP235" s="546"/>
      <c r="AQ235" s="546"/>
      <c r="AR235" s="546"/>
      <c r="AS235" s="546"/>
      <c r="AT235" s="546"/>
      <c r="AU235" s="546"/>
      <c r="AV235" s="546"/>
      <c r="AW235" s="546"/>
      <c r="AX235" s="546"/>
      <c r="AY235" s="546"/>
      <c r="AZ235" s="546"/>
      <c r="BA235" s="546"/>
      <c r="BB235" s="546"/>
      <c r="BC235" s="546"/>
      <c r="BF235" s="531" t="s">
        <v>162</v>
      </c>
    </row>
    <row r="236" spans="1:58" ht="15" customHeight="1">
      <c r="A236" s="533" t="s">
        <v>56</v>
      </c>
      <c r="B236" s="532"/>
      <c r="C236" s="532"/>
      <c r="D236" s="533"/>
      <c r="E236" s="533"/>
      <c r="F236" s="554"/>
      <c r="G236" s="532"/>
      <c r="H236" s="555"/>
      <c r="I236" s="556"/>
      <c r="J236" s="555"/>
      <c r="K236" s="555"/>
      <c r="L236" s="555"/>
      <c r="M236" s="555"/>
      <c r="N236" s="555"/>
      <c r="O236" s="555"/>
      <c r="P236" s="555"/>
      <c r="Q236" s="556"/>
      <c r="R236" s="557"/>
      <c r="S236" s="557"/>
      <c r="T236" s="557"/>
      <c r="U236" s="557"/>
      <c r="V236" s="557"/>
      <c r="W236" s="557"/>
      <c r="X236" s="557"/>
      <c r="Y236" s="557"/>
      <c r="Z236" s="557"/>
      <c r="AA236" s="558"/>
      <c r="AD236" s="558"/>
      <c r="AE236" s="532"/>
      <c r="AF236" s="532"/>
      <c r="AG236" s="532"/>
      <c r="AH236" s="532"/>
      <c r="AI236" s="532"/>
      <c r="AJ236" s="532"/>
      <c r="AK236" s="532"/>
      <c r="AL236" s="532"/>
      <c r="AO236" s="557"/>
      <c r="AP236" s="557"/>
      <c r="AQ236" s="557"/>
      <c r="AR236" s="557"/>
      <c r="AS236" s="557"/>
      <c r="AT236" s="557"/>
      <c r="AU236" s="557"/>
      <c r="AV236" s="557"/>
      <c r="AW236" s="557"/>
      <c r="AX236" s="557"/>
      <c r="AY236" s="557"/>
      <c r="AZ236" s="557"/>
      <c r="BA236" s="557"/>
      <c r="BB236" s="557"/>
      <c r="BC236" s="557"/>
      <c r="BF236" s="533" t="s">
        <v>56</v>
      </c>
    </row>
    <row r="237" spans="1:58" ht="15" customHeight="1">
      <c r="A237" s="531" t="s">
        <v>189</v>
      </c>
      <c r="B237" s="531" t="s">
        <v>190</v>
      </c>
      <c r="C237" s="530" t="s">
        <v>32</v>
      </c>
      <c r="D237" s="531" t="s">
        <v>122</v>
      </c>
      <c r="E237" s="531" t="s">
        <v>191</v>
      </c>
      <c r="F237" s="547">
        <v>2011</v>
      </c>
      <c r="G237" s="531">
        <v>15</v>
      </c>
      <c r="H237" s="531"/>
      <c r="I237" s="548">
        <f>'RTEKTY Conv'!H163</f>
        <v>0.57705489683795952</v>
      </c>
      <c r="J237" s="531">
        <v>1</v>
      </c>
      <c r="K237" s="548">
        <v>0</v>
      </c>
      <c r="L237" s="548">
        <v>0</v>
      </c>
      <c r="M237" s="548">
        <v>0</v>
      </c>
      <c r="N237" s="548">
        <v>0</v>
      </c>
      <c r="O237" s="548">
        <v>0</v>
      </c>
      <c r="P237" s="531"/>
      <c r="Q237" s="531">
        <v>0.18</v>
      </c>
      <c r="R237" s="546"/>
      <c r="S237" s="546">
        <v>0</v>
      </c>
      <c r="T237" s="546">
        <v>0</v>
      </c>
      <c r="U237" s="546">
        <v>0</v>
      </c>
      <c r="V237" s="546">
        <v>0</v>
      </c>
      <c r="W237" s="546">
        <v>0</v>
      </c>
      <c r="X237" s="546">
        <v>0</v>
      </c>
      <c r="Y237" s="546">
        <v>0</v>
      </c>
      <c r="Z237" s="546">
        <v>0</v>
      </c>
      <c r="AA237" s="546">
        <v>0</v>
      </c>
      <c r="AD237" s="546"/>
      <c r="AE237" s="531"/>
      <c r="AF237" s="531"/>
      <c r="AG237" s="531"/>
      <c r="AH237" s="531"/>
      <c r="AI237" s="531"/>
      <c r="AJ237" s="531"/>
      <c r="AK237" s="531"/>
      <c r="AL237" s="531"/>
      <c r="AO237" s="550">
        <v>0</v>
      </c>
      <c r="AP237" s="550">
        <v>0</v>
      </c>
      <c r="AQ237" s="550">
        <v>0</v>
      </c>
      <c r="AR237" s="550">
        <v>0</v>
      </c>
      <c r="AS237" s="550">
        <v>0</v>
      </c>
      <c r="AT237" s="550"/>
      <c r="AU237" s="550"/>
      <c r="AV237" s="550"/>
      <c r="AW237" s="550"/>
      <c r="AX237" s="550"/>
      <c r="AY237" s="550"/>
      <c r="AZ237" s="550"/>
      <c r="BA237" s="550"/>
      <c r="BB237" s="550"/>
      <c r="BC237" s="550"/>
      <c r="BF237" s="531" t="s">
        <v>162</v>
      </c>
    </row>
    <row r="238" spans="1:58" ht="15" customHeight="1">
      <c r="A238" s="531" t="s">
        <v>192</v>
      </c>
      <c r="B238" s="531" t="s">
        <v>193</v>
      </c>
      <c r="C238" s="530" t="s">
        <v>32</v>
      </c>
      <c r="D238" s="531" t="s">
        <v>122</v>
      </c>
      <c r="E238" s="531" t="s">
        <v>191</v>
      </c>
      <c r="F238" s="547" t="s">
        <v>165</v>
      </c>
      <c r="G238" s="531">
        <v>15</v>
      </c>
      <c r="H238" s="548" t="e">
        <f>'RTEKTY Conv'!K164</f>
        <v>#REF!</v>
      </c>
      <c r="I238" s="548" t="e">
        <f>'RTEKTY Conv'!H164</f>
        <v>#REF!</v>
      </c>
      <c r="J238" s="531">
        <v>1</v>
      </c>
      <c r="K238" s="548">
        <v>0</v>
      </c>
      <c r="L238" s="548">
        <v>0</v>
      </c>
      <c r="M238" s="548">
        <v>0</v>
      </c>
      <c r="N238" s="548">
        <v>0</v>
      </c>
      <c r="O238" s="548">
        <v>0</v>
      </c>
      <c r="P238" s="531"/>
      <c r="Q238" s="531">
        <v>0.18</v>
      </c>
      <c r="R238" s="546"/>
      <c r="S238" s="546"/>
      <c r="T238" s="546"/>
      <c r="U238" s="546"/>
      <c r="V238" s="546"/>
      <c r="W238" s="546"/>
      <c r="X238" s="546"/>
      <c r="Y238" s="546"/>
      <c r="Z238" s="546"/>
      <c r="AA238" s="546"/>
      <c r="AD238" s="546"/>
      <c r="AE238" s="531"/>
      <c r="AF238" s="531"/>
      <c r="AG238" s="531"/>
      <c r="AH238" s="531"/>
      <c r="AI238" s="531"/>
      <c r="AJ238" s="531"/>
      <c r="AK238" s="531"/>
      <c r="AL238" s="531"/>
      <c r="AO238" s="546"/>
      <c r="AP238" s="546"/>
      <c r="AQ238" s="546"/>
      <c r="AR238" s="546"/>
      <c r="AS238" s="546"/>
      <c r="AT238" s="546"/>
      <c r="AU238" s="546"/>
      <c r="AV238" s="546"/>
      <c r="AW238" s="546"/>
      <c r="AX238" s="546"/>
      <c r="AY238" s="546"/>
      <c r="AZ238" s="546"/>
      <c r="BA238" s="546"/>
      <c r="BB238" s="546"/>
      <c r="BC238" s="546"/>
      <c r="BF238" s="531" t="s">
        <v>162</v>
      </c>
    </row>
    <row r="239" spans="1:58" ht="15" customHeight="1">
      <c r="A239" s="531" t="s">
        <v>194</v>
      </c>
      <c r="B239" s="531" t="s">
        <v>195</v>
      </c>
      <c r="C239" s="530" t="s">
        <v>32</v>
      </c>
      <c r="D239" s="531" t="s">
        <v>122</v>
      </c>
      <c r="E239" s="531" t="s">
        <v>191</v>
      </c>
      <c r="F239" s="547" t="s">
        <v>165</v>
      </c>
      <c r="G239" s="531">
        <v>15</v>
      </c>
      <c r="H239" s="548" t="e">
        <f>'RTEKTY Conv'!K165</f>
        <v>#REF!</v>
      </c>
      <c r="I239" s="548" t="e">
        <f>'RTEKTY Conv'!H165</f>
        <v>#REF!</v>
      </c>
      <c r="J239" s="531">
        <v>1</v>
      </c>
      <c r="K239" s="548">
        <v>0</v>
      </c>
      <c r="L239" s="548">
        <v>0</v>
      </c>
      <c r="M239" s="548">
        <v>0</v>
      </c>
      <c r="N239" s="548">
        <v>0</v>
      </c>
      <c r="O239" s="548">
        <v>0</v>
      </c>
      <c r="P239" s="531"/>
      <c r="Q239" s="531">
        <v>0.18</v>
      </c>
      <c r="R239" s="546"/>
      <c r="S239" s="546"/>
      <c r="T239" s="546">
        <v>0</v>
      </c>
      <c r="U239" s="546">
        <v>0</v>
      </c>
      <c r="V239" s="546">
        <v>0</v>
      </c>
      <c r="W239" s="546">
        <v>0</v>
      </c>
      <c r="X239" s="546">
        <v>0</v>
      </c>
      <c r="Y239" s="546">
        <v>0</v>
      </c>
      <c r="Z239" s="546">
        <v>0</v>
      </c>
      <c r="AA239" s="546">
        <v>0</v>
      </c>
      <c r="AD239" s="546"/>
      <c r="AE239" s="531"/>
      <c r="AF239" s="531"/>
      <c r="AG239" s="531"/>
      <c r="AH239" s="531"/>
      <c r="AI239" s="531"/>
      <c r="AJ239" s="531"/>
      <c r="AK239" s="531"/>
      <c r="AL239" s="531"/>
      <c r="AO239" s="546"/>
      <c r="AP239" s="546"/>
      <c r="AQ239" s="546"/>
      <c r="AR239" s="546"/>
      <c r="AS239" s="546"/>
      <c r="AT239" s="546"/>
      <c r="AU239" s="546"/>
      <c r="AV239" s="546"/>
      <c r="AW239" s="546"/>
      <c r="AX239" s="546"/>
      <c r="AY239" s="546"/>
      <c r="AZ239" s="546"/>
      <c r="BA239" s="546"/>
      <c r="BB239" s="546"/>
      <c r="BC239" s="546"/>
      <c r="BF239" s="531" t="s">
        <v>162</v>
      </c>
    </row>
    <row r="240" spans="1:58" ht="15" customHeight="1">
      <c r="A240" s="531" t="s">
        <v>196</v>
      </c>
      <c r="B240" s="531" t="s">
        <v>197</v>
      </c>
      <c r="C240" s="530" t="s">
        <v>32</v>
      </c>
      <c r="D240" s="531" t="s">
        <v>122</v>
      </c>
      <c r="E240" s="531" t="s">
        <v>191</v>
      </c>
      <c r="F240" s="547" t="s">
        <v>168</v>
      </c>
      <c r="G240" s="531">
        <v>15</v>
      </c>
      <c r="H240" s="548" t="e">
        <f>'RTEKTY Conv'!K166</f>
        <v>#REF!</v>
      </c>
      <c r="I240" s="548" t="e">
        <f>'RTEKTY Conv'!H166</f>
        <v>#REF!</v>
      </c>
      <c r="J240" s="531">
        <v>1</v>
      </c>
      <c r="K240" s="548">
        <v>0</v>
      </c>
      <c r="L240" s="548">
        <v>0</v>
      </c>
      <c r="M240" s="548">
        <v>0</v>
      </c>
      <c r="N240" s="548">
        <v>0</v>
      </c>
      <c r="O240" s="548">
        <v>0</v>
      </c>
      <c r="P240" s="531"/>
      <c r="Q240" s="531">
        <v>0.18</v>
      </c>
      <c r="R240" s="546"/>
      <c r="S240" s="546"/>
      <c r="T240" s="546"/>
      <c r="U240" s="546"/>
      <c r="V240" s="546"/>
      <c r="W240" s="546"/>
      <c r="X240" s="546"/>
      <c r="Y240" s="546"/>
      <c r="Z240" s="546"/>
      <c r="AA240" s="546"/>
      <c r="AD240" s="546"/>
      <c r="AE240" s="531"/>
      <c r="AF240" s="531"/>
      <c r="AG240" s="531"/>
      <c r="AH240" s="531"/>
      <c r="AI240" s="531"/>
      <c r="AJ240" s="531"/>
      <c r="AK240" s="531"/>
      <c r="AL240" s="531"/>
      <c r="AO240" s="546"/>
      <c r="AP240" s="546"/>
      <c r="AQ240" s="546"/>
      <c r="AR240" s="546"/>
      <c r="AS240" s="546"/>
      <c r="AT240" s="546"/>
      <c r="AU240" s="546"/>
      <c r="AV240" s="546"/>
      <c r="AW240" s="546"/>
      <c r="AX240" s="546"/>
      <c r="AY240" s="546"/>
      <c r="AZ240" s="546"/>
      <c r="BA240" s="546"/>
      <c r="BB240" s="546"/>
      <c r="BC240" s="546"/>
      <c r="BF240" s="531" t="s">
        <v>162</v>
      </c>
    </row>
    <row r="241" spans="1:58" ht="15" customHeight="1">
      <c r="A241" s="531" t="s">
        <v>198</v>
      </c>
      <c r="B241" s="531" t="s">
        <v>199</v>
      </c>
      <c r="C241" s="530" t="s">
        <v>32</v>
      </c>
      <c r="D241" s="531" t="s">
        <v>122</v>
      </c>
      <c r="E241" s="531" t="s">
        <v>191</v>
      </c>
      <c r="F241" s="547" t="s">
        <v>165</v>
      </c>
      <c r="G241" s="531">
        <v>15</v>
      </c>
      <c r="H241" s="548" t="e">
        <f>'RTEKTY Conv'!K167</f>
        <v>#REF!</v>
      </c>
      <c r="I241" s="548" t="e">
        <f>'RTEKTY Conv'!H167</f>
        <v>#REF!</v>
      </c>
      <c r="J241" s="531">
        <v>1</v>
      </c>
      <c r="K241" s="548">
        <v>0</v>
      </c>
      <c r="L241" s="548">
        <v>0</v>
      </c>
      <c r="M241" s="548">
        <v>0</v>
      </c>
      <c r="N241" s="548">
        <v>0</v>
      </c>
      <c r="O241" s="548">
        <v>0</v>
      </c>
      <c r="P241" s="531"/>
      <c r="Q241" s="531">
        <v>0.18</v>
      </c>
      <c r="R241" s="546"/>
      <c r="S241" s="546"/>
      <c r="T241" s="546"/>
      <c r="U241" s="546"/>
      <c r="V241" s="546"/>
      <c r="W241" s="546"/>
      <c r="X241" s="546"/>
      <c r="Y241" s="546"/>
      <c r="Z241" s="546"/>
      <c r="AA241" s="546"/>
      <c r="AD241" s="546"/>
      <c r="AE241" s="531"/>
      <c r="AF241" s="531"/>
      <c r="AG241" s="531"/>
      <c r="AH241" s="531"/>
      <c r="AI241" s="531"/>
      <c r="AJ241" s="531"/>
      <c r="AK241" s="531"/>
      <c r="AL241" s="531"/>
      <c r="AO241" s="546"/>
      <c r="AP241" s="546"/>
      <c r="AQ241" s="546"/>
      <c r="AR241" s="546"/>
      <c r="AS241" s="546"/>
      <c r="AT241" s="546"/>
      <c r="AU241" s="546"/>
      <c r="AV241" s="546"/>
      <c r="AW241" s="546"/>
      <c r="AX241" s="546"/>
      <c r="AY241" s="546"/>
      <c r="AZ241" s="546"/>
      <c r="BA241" s="546"/>
      <c r="BB241" s="546"/>
      <c r="BC241" s="546"/>
      <c r="BF241" s="531" t="s">
        <v>162</v>
      </c>
    </row>
    <row r="242" spans="1:58" ht="15" customHeight="1">
      <c r="A242" s="531" t="s">
        <v>200</v>
      </c>
      <c r="B242" s="531" t="s">
        <v>201</v>
      </c>
      <c r="C242" s="530" t="s">
        <v>32</v>
      </c>
      <c r="D242" s="531" t="s">
        <v>122</v>
      </c>
      <c r="E242" s="531" t="s">
        <v>191</v>
      </c>
      <c r="F242" s="547" t="s">
        <v>165</v>
      </c>
      <c r="G242" s="531">
        <v>15</v>
      </c>
      <c r="H242" s="548" t="e">
        <f>'RTEKTY Conv'!K168</f>
        <v>#REF!</v>
      </c>
      <c r="I242" s="548" t="e">
        <f>'RTEKTY Conv'!H168</f>
        <v>#REF!</v>
      </c>
      <c r="J242" s="531">
        <v>1</v>
      </c>
      <c r="K242" s="548">
        <v>0</v>
      </c>
      <c r="L242" s="548">
        <v>0</v>
      </c>
      <c r="M242" s="548">
        <v>0</v>
      </c>
      <c r="N242" s="548">
        <v>0</v>
      </c>
      <c r="O242" s="548">
        <v>0</v>
      </c>
      <c r="P242" s="531"/>
      <c r="Q242" s="531">
        <v>0.18</v>
      </c>
      <c r="R242" s="546"/>
      <c r="S242" s="546"/>
      <c r="T242" s="546">
        <v>0</v>
      </c>
      <c r="U242" s="546">
        <v>0</v>
      </c>
      <c r="V242" s="546">
        <v>0</v>
      </c>
      <c r="W242" s="546">
        <v>0</v>
      </c>
      <c r="X242" s="546">
        <v>0</v>
      </c>
      <c r="Y242" s="546">
        <v>0</v>
      </c>
      <c r="Z242" s="546">
        <v>0</v>
      </c>
      <c r="AA242" s="546">
        <v>0</v>
      </c>
      <c r="AD242" s="546"/>
      <c r="AE242" s="531"/>
      <c r="AF242" s="531"/>
      <c r="AG242" s="531"/>
      <c r="AH242" s="531"/>
      <c r="AI242" s="531"/>
      <c r="AJ242" s="531"/>
      <c r="AK242" s="531"/>
      <c r="AL242" s="531"/>
      <c r="AO242" s="546"/>
      <c r="AP242" s="546"/>
      <c r="AQ242" s="546"/>
      <c r="AR242" s="546"/>
      <c r="AS242" s="546"/>
      <c r="AT242" s="546"/>
      <c r="AU242" s="546"/>
      <c r="AV242" s="546"/>
      <c r="AW242" s="546"/>
      <c r="AX242" s="546"/>
      <c r="AY242" s="546"/>
      <c r="AZ242" s="546"/>
      <c r="BA242" s="546"/>
      <c r="BB242" s="546"/>
      <c r="BC242" s="546"/>
      <c r="BF242" s="531" t="s">
        <v>162</v>
      </c>
    </row>
    <row r="243" spans="1:58" ht="15" customHeight="1">
      <c r="A243" s="531" t="s">
        <v>202</v>
      </c>
      <c r="B243" s="531" t="s">
        <v>203</v>
      </c>
      <c r="C243" s="530" t="s">
        <v>32</v>
      </c>
      <c r="D243" s="531" t="s">
        <v>122</v>
      </c>
      <c r="E243" s="531" t="s">
        <v>191</v>
      </c>
      <c r="F243" s="547" t="s">
        <v>168</v>
      </c>
      <c r="G243" s="531">
        <v>15</v>
      </c>
      <c r="H243" s="548" t="e">
        <f>'RTEKTY Conv'!K169</f>
        <v>#REF!</v>
      </c>
      <c r="I243" s="548" t="e">
        <f>'RTEKTY Conv'!H169</f>
        <v>#REF!</v>
      </c>
      <c r="J243" s="531">
        <v>1</v>
      </c>
      <c r="K243" s="548">
        <v>0</v>
      </c>
      <c r="L243" s="548">
        <v>0</v>
      </c>
      <c r="M243" s="548">
        <v>0</v>
      </c>
      <c r="N243" s="548">
        <v>0</v>
      </c>
      <c r="O243" s="548">
        <v>0</v>
      </c>
      <c r="P243" s="531"/>
      <c r="Q243" s="531">
        <v>0.18</v>
      </c>
      <c r="R243" s="546"/>
      <c r="S243" s="546"/>
      <c r="T243" s="546"/>
      <c r="U243" s="546"/>
      <c r="V243" s="546"/>
      <c r="W243" s="546"/>
      <c r="X243" s="546"/>
      <c r="Y243" s="546"/>
      <c r="Z243" s="546"/>
      <c r="AA243" s="546"/>
      <c r="AD243" s="546"/>
      <c r="AE243" s="531"/>
      <c r="AF243" s="531"/>
      <c r="AG243" s="531"/>
      <c r="AH243" s="531"/>
      <c r="AI243" s="531"/>
      <c r="AJ243" s="531"/>
      <c r="AK243" s="531"/>
      <c r="AL243" s="531"/>
      <c r="AO243" s="546"/>
      <c r="AP243" s="546"/>
      <c r="AQ243" s="546"/>
      <c r="AR243" s="546"/>
      <c r="AS243" s="546"/>
      <c r="AT243" s="546"/>
      <c r="AU243" s="546"/>
      <c r="AV243" s="546"/>
      <c r="AW243" s="546"/>
      <c r="AX243" s="546"/>
      <c r="AY243" s="546"/>
      <c r="AZ243" s="546"/>
      <c r="BA243" s="546"/>
      <c r="BB243" s="546"/>
      <c r="BC243" s="546"/>
      <c r="BF243" s="531" t="s">
        <v>162</v>
      </c>
    </row>
    <row r="244" spans="1:58" ht="15" customHeight="1">
      <c r="A244" s="533" t="s">
        <v>57</v>
      </c>
      <c r="B244" s="532"/>
      <c r="C244" s="532"/>
      <c r="D244" s="533"/>
      <c r="E244" s="533"/>
      <c r="F244" s="554"/>
      <c r="G244" s="532"/>
      <c r="H244" s="555"/>
      <c r="I244" s="556"/>
      <c r="J244" s="555"/>
      <c r="K244" s="555"/>
      <c r="L244" s="555"/>
      <c r="M244" s="555"/>
      <c r="N244" s="555"/>
      <c r="O244" s="555"/>
      <c r="P244" s="555"/>
      <c r="Q244" s="556"/>
      <c r="R244" s="557"/>
      <c r="S244" s="557"/>
      <c r="T244" s="557"/>
      <c r="U244" s="557"/>
      <c r="V244" s="557"/>
      <c r="W244" s="557"/>
      <c r="X244" s="557"/>
      <c r="Y244" s="557"/>
      <c r="Z244" s="557"/>
      <c r="AA244" s="558"/>
      <c r="AD244" s="558"/>
      <c r="AE244" s="532"/>
      <c r="AF244" s="532"/>
      <c r="AG244" s="532"/>
      <c r="AH244" s="532"/>
      <c r="AI244" s="532"/>
      <c r="AJ244" s="532"/>
      <c r="AK244" s="532"/>
      <c r="AL244" s="532"/>
      <c r="AO244" s="557"/>
      <c r="AP244" s="557"/>
      <c r="AQ244" s="557"/>
      <c r="AR244" s="557"/>
      <c r="AS244" s="557"/>
      <c r="AT244" s="557"/>
      <c r="AU244" s="557"/>
      <c r="AV244" s="557"/>
      <c r="AW244" s="557"/>
      <c r="AX244" s="557"/>
      <c r="AY244" s="557"/>
      <c r="AZ244" s="557"/>
      <c r="BA244" s="557"/>
      <c r="BB244" s="557"/>
      <c r="BC244" s="557"/>
      <c r="BF244" s="533" t="s">
        <v>57</v>
      </c>
    </row>
    <row r="245" spans="1:58" ht="15" customHeight="1">
      <c r="A245" s="531" t="s">
        <v>204</v>
      </c>
      <c r="B245" s="531" t="s">
        <v>205</v>
      </c>
      <c r="C245" s="530" t="s">
        <v>58</v>
      </c>
      <c r="D245" s="531" t="s">
        <v>122</v>
      </c>
      <c r="E245" s="531" t="s">
        <v>206</v>
      </c>
      <c r="F245" s="547">
        <v>2011</v>
      </c>
      <c r="G245" s="548">
        <f>'RTEKTY Conv'!K176</f>
        <v>1.1643835616438356</v>
      </c>
      <c r="H245" s="548">
        <f>'RTEKTY Conv'!I176</f>
        <v>0</v>
      </c>
      <c r="I245" s="548">
        <f>'RTEKTY Conv'!G176</f>
        <v>0.45061478552228867</v>
      </c>
      <c r="J245" s="531">
        <v>1</v>
      </c>
      <c r="K245" s="531">
        <v>1</v>
      </c>
      <c r="L245" s="531">
        <v>1</v>
      </c>
      <c r="M245" s="531">
        <v>1</v>
      </c>
      <c r="N245" s="531">
        <v>1</v>
      </c>
      <c r="O245" s="531">
        <v>1</v>
      </c>
      <c r="P245" s="531"/>
      <c r="Q245" s="531">
        <v>0.18</v>
      </c>
      <c r="R245" s="546"/>
      <c r="S245" s="546">
        <v>0</v>
      </c>
      <c r="T245" s="546">
        <v>0</v>
      </c>
      <c r="U245" s="546">
        <v>0</v>
      </c>
      <c r="V245" s="546">
        <v>0</v>
      </c>
      <c r="W245" s="546">
        <v>0</v>
      </c>
      <c r="X245" s="546">
        <v>0</v>
      </c>
      <c r="Y245" s="546">
        <v>0</v>
      </c>
      <c r="Z245" s="546">
        <v>0</v>
      </c>
      <c r="AA245" s="546">
        <v>0</v>
      </c>
      <c r="AD245" s="546"/>
      <c r="AE245" s="531"/>
      <c r="AF245" s="531"/>
      <c r="AG245" s="531"/>
      <c r="AH245" s="531"/>
      <c r="AI245" s="531"/>
      <c r="AJ245" s="531"/>
      <c r="AK245" s="531"/>
      <c r="AL245" s="531"/>
      <c r="AO245" s="549"/>
      <c r="AP245" s="549"/>
      <c r="AQ245" s="549"/>
      <c r="AR245" s="549"/>
      <c r="AS245" s="549"/>
      <c r="AT245" s="549"/>
      <c r="AU245" s="549"/>
      <c r="AV245" s="549"/>
      <c r="AW245" s="549"/>
      <c r="AX245" s="549"/>
      <c r="AY245" s="549"/>
      <c r="AZ245" s="549"/>
      <c r="BA245" s="549"/>
      <c r="BB245" s="549"/>
      <c r="BC245" s="549"/>
      <c r="BF245" s="531" t="s">
        <v>37</v>
      </c>
    </row>
    <row r="246" spans="1:58" ht="15" customHeight="1">
      <c r="A246" s="531" t="s">
        <v>207</v>
      </c>
      <c r="B246" s="531" t="s">
        <v>208</v>
      </c>
      <c r="C246" s="530" t="s">
        <v>58</v>
      </c>
      <c r="D246" s="531" t="s">
        <v>122</v>
      </c>
      <c r="E246" s="531" t="s">
        <v>206</v>
      </c>
      <c r="F246" s="547" t="s">
        <v>165</v>
      </c>
      <c r="G246" s="548">
        <f>'RTEKTY Conv'!K177</f>
        <v>1.1643835616438356</v>
      </c>
      <c r="H246" s="548">
        <f>'RTEKTY Conv'!I177</f>
        <v>0.29993805021193348</v>
      </c>
      <c r="I246" s="548">
        <f>'RTEKTY Conv'!G177</f>
        <v>0.45981100563498845</v>
      </c>
      <c r="J246" s="531">
        <v>1</v>
      </c>
      <c r="K246" s="531">
        <v>1</v>
      </c>
      <c r="L246" s="531">
        <v>1</v>
      </c>
      <c r="M246" s="531">
        <v>1</v>
      </c>
      <c r="N246" s="531">
        <v>1</v>
      </c>
      <c r="O246" s="531">
        <v>1</v>
      </c>
      <c r="P246" s="531"/>
      <c r="Q246" s="531">
        <v>0.18</v>
      </c>
      <c r="R246" s="546"/>
      <c r="S246" s="546"/>
      <c r="T246" s="546">
        <v>0</v>
      </c>
      <c r="U246" s="546">
        <v>0</v>
      </c>
      <c r="V246" s="546">
        <v>0</v>
      </c>
      <c r="W246" s="546">
        <v>0</v>
      </c>
      <c r="X246" s="546">
        <v>0</v>
      </c>
      <c r="Y246" s="546">
        <v>0</v>
      </c>
      <c r="Z246" s="546">
        <v>0</v>
      </c>
      <c r="AA246" s="546">
        <v>0</v>
      </c>
      <c r="AD246" s="546"/>
      <c r="AE246" s="531"/>
      <c r="AF246" s="531"/>
      <c r="AG246" s="531"/>
      <c r="AH246" s="531"/>
      <c r="AI246" s="531"/>
      <c r="AJ246" s="531"/>
      <c r="AK246" s="531"/>
      <c r="AL246" s="531"/>
      <c r="AO246" s="549" t="e">
        <f>Resid!V117</f>
        <v>#REF!</v>
      </c>
      <c r="AP246" s="549" t="e">
        <f>Resid!W117</f>
        <v>#REF!</v>
      </c>
      <c r="AQ246" s="549" t="e">
        <f>Resid!X117</f>
        <v>#REF!</v>
      </c>
      <c r="AR246" s="549" t="e">
        <f>Resid!Y117</f>
        <v>#REF!</v>
      </c>
      <c r="AS246" s="549" t="e">
        <f>Resid!Z117</f>
        <v>#REF!</v>
      </c>
      <c r="AT246" s="549"/>
      <c r="AU246" s="549"/>
      <c r="AV246" s="549"/>
      <c r="AW246" s="549"/>
      <c r="AX246" s="549"/>
      <c r="AY246" s="549"/>
      <c r="AZ246" s="549"/>
      <c r="BA246" s="549"/>
      <c r="BB246" s="549"/>
      <c r="BC246" s="549"/>
      <c r="BF246" s="531" t="s">
        <v>37</v>
      </c>
    </row>
    <row r="247" spans="1:58" ht="15" customHeight="1">
      <c r="A247" s="531" t="s">
        <v>209</v>
      </c>
      <c r="B247" s="531" t="s">
        <v>210</v>
      </c>
      <c r="C247" s="530" t="s">
        <v>58</v>
      </c>
      <c r="D247" s="531" t="s">
        <v>122</v>
      </c>
      <c r="E247" s="531" t="s">
        <v>206</v>
      </c>
      <c r="F247" s="547" t="s">
        <v>168</v>
      </c>
      <c r="G247" s="548">
        <f>'RTEKTY Conv'!K178</f>
        <v>1.3698630136986301</v>
      </c>
      <c r="H247" s="548">
        <f>'RTEKTY Conv'!I178</f>
        <v>1.5542244420072919</v>
      </c>
      <c r="I247" s="548">
        <f>'RTEKTY Conv'!G178</f>
        <v>0.62787985597053608</v>
      </c>
      <c r="J247" s="531">
        <v>1</v>
      </c>
      <c r="K247" s="531">
        <v>1</v>
      </c>
      <c r="L247" s="531">
        <v>1</v>
      </c>
      <c r="M247" s="531">
        <v>1</v>
      </c>
      <c r="N247" s="531">
        <v>1</v>
      </c>
      <c r="O247" s="531">
        <v>1</v>
      </c>
      <c r="P247" s="531"/>
      <c r="Q247" s="531">
        <v>0.18</v>
      </c>
      <c r="R247" s="546"/>
      <c r="S247" s="546">
        <v>0</v>
      </c>
      <c r="T247" s="546">
        <v>0</v>
      </c>
      <c r="U247" s="546">
        <v>0</v>
      </c>
      <c r="V247" s="546">
        <v>0</v>
      </c>
      <c r="W247" s="546">
        <v>0</v>
      </c>
      <c r="X247" s="546">
        <v>0</v>
      </c>
      <c r="Y247" s="546">
        <v>0</v>
      </c>
      <c r="Z247" s="546">
        <v>0</v>
      </c>
      <c r="AA247" s="546">
        <v>0</v>
      </c>
      <c r="AD247" s="546"/>
      <c r="AE247" s="531"/>
      <c r="AF247" s="531"/>
      <c r="AG247" s="531"/>
      <c r="AH247" s="531"/>
      <c r="AI247" s="531"/>
      <c r="AJ247" s="531"/>
      <c r="AK247" s="531"/>
      <c r="AL247" s="531"/>
      <c r="AO247" s="546"/>
      <c r="AP247" s="546"/>
      <c r="AQ247" s="546"/>
      <c r="AR247" s="546"/>
      <c r="AS247" s="546"/>
      <c r="AT247" s="546"/>
      <c r="AU247" s="546"/>
      <c r="AV247" s="546"/>
      <c r="AW247" s="546"/>
      <c r="AX247" s="546"/>
      <c r="AY247" s="546"/>
      <c r="AZ247" s="546"/>
      <c r="BA247" s="546"/>
      <c r="BB247" s="546"/>
      <c r="BC247" s="546"/>
      <c r="BF247" s="531" t="s">
        <v>37</v>
      </c>
    </row>
    <row r="248" spans="1:58" ht="15" customHeight="1">
      <c r="A248" s="531" t="s">
        <v>162</v>
      </c>
      <c r="B248" s="531"/>
      <c r="C248" s="530"/>
      <c r="D248" s="531"/>
      <c r="E248" s="531"/>
      <c r="F248" s="547"/>
      <c r="G248" s="548"/>
      <c r="H248" s="548"/>
      <c r="I248" s="548"/>
      <c r="J248" s="531"/>
      <c r="K248" s="531"/>
      <c r="L248" s="531" t="s">
        <v>127</v>
      </c>
      <c r="M248" s="531" t="s">
        <v>127</v>
      </c>
      <c r="N248" s="531" t="s">
        <v>127</v>
      </c>
      <c r="O248" s="531" t="s">
        <v>127</v>
      </c>
      <c r="P248" s="531"/>
      <c r="Q248" s="531"/>
      <c r="R248" s="546"/>
      <c r="S248" s="546"/>
      <c r="T248" s="546"/>
      <c r="U248" s="546"/>
      <c r="V248" s="546"/>
      <c r="W248" s="546"/>
      <c r="X248" s="546"/>
      <c r="Y248" s="546"/>
      <c r="Z248" s="546"/>
      <c r="AA248" s="546"/>
      <c r="AD248" s="546"/>
      <c r="AE248" s="531"/>
      <c r="AF248" s="531"/>
      <c r="AG248" s="531"/>
      <c r="AH248" s="531"/>
      <c r="AI248" s="531"/>
      <c r="AJ248" s="531"/>
      <c r="AK248" s="531"/>
      <c r="AL248" s="531"/>
      <c r="AO248" s="546"/>
      <c r="AP248" s="546"/>
      <c r="AQ248" s="546"/>
      <c r="AR248" s="546"/>
      <c r="AS248" s="546"/>
      <c r="AT248" s="546"/>
      <c r="AU248" s="546"/>
      <c r="AV248" s="546"/>
      <c r="AW248" s="546"/>
      <c r="AX248" s="546"/>
      <c r="AY248" s="546"/>
      <c r="AZ248" s="546"/>
      <c r="BA248" s="546"/>
      <c r="BB248" s="546"/>
      <c r="BC248" s="546"/>
      <c r="BF248" s="530" t="s">
        <v>162</v>
      </c>
    </row>
    <row r="249" spans="1:58" ht="15" customHeight="1">
      <c r="A249" s="531" t="s">
        <v>211</v>
      </c>
      <c r="B249" s="531" t="s">
        <v>212</v>
      </c>
      <c r="C249" s="530" t="s">
        <v>58</v>
      </c>
      <c r="D249" s="531" t="s">
        <v>122</v>
      </c>
      <c r="E249" s="531" t="s">
        <v>206</v>
      </c>
      <c r="F249" s="547">
        <v>2011</v>
      </c>
      <c r="G249" s="548">
        <f>'RTEKTY Conv'!K180</f>
        <v>13.698630136986301</v>
      </c>
      <c r="H249" s="548">
        <f>'RTEKTY Conv'!I180</f>
        <v>0</v>
      </c>
      <c r="I249" s="548">
        <f>'RTEKTY Conv'!G180</f>
        <v>2.0244368689474248</v>
      </c>
      <c r="J249" s="531">
        <v>1</v>
      </c>
      <c r="K249" s="531">
        <v>1</v>
      </c>
      <c r="L249" s="531">
        <v>1</v>
      </c>
      <c r="M249" s="531">
        <v>1</v>
      </c>
      <c r="N249" s="531">
        <v>1</v>
      </c>
      <c r="O249" s="531">
        <v>1</v>
      </c>
      <c r="P249" s="531"/>
      <c r="Q249" s="531">
        <v>0.28000000000000003</v>
      </c>
      <c r="R249" s="546"/>
      <c r="S249" s="546">
        <v>0</v>
      </c>
      <c r="T249" s="546">
        <v>0</v>
      </c>
      <c r="U249" s="546">
        <v>0</v>
      </c>
      <c r="V249" s="546">
        <v>0</v>
      </c>
      <c r="W249" s="546">
        <v>0</v>
      </c>
      <c r="X249" s="546">
        <v>0</v>
      </c>
      <c r="Y249" s="546">
        <v>0</v>
      </c>
      <c r="Z249" s="546">
        <v>0</v>
      </c>
      <c r="AA249" s="546">
        <v>0</v>
      </c>
      <c r="AD249" s="546"/>
      <c r="AE249" s="531">
        <v>1.1499999999999999</v>
      </c>
      <c r="AF249" s="531">
        <v>1.1499999999999999</v>
      </c>
      <c r="AG249" s="531">
        <v>1.1499999999999999</v>
      </c>
      <c r="AH249" s="531">
        <v>1.1499999999999999</v>
      </c>
      <c r="AI249" s="531">
        <v>1.1499999999999999</v>
      </c>
      <c r="AJ249" s="531">
        <v>1.1499999999999999</v>
      </c>
      <c r="AK249" s="531">
        <v>1.1499999999999999</v>
      </c>
      <c r="AL249" s="531">
        <v>1.1499999999999999</v>
      </c>
      <c r="AO249" s="549"/>
      <c r="AP249" s="549"/>
      <c r="AQ249" s="549"/>
      <c r="AR249" s="549"/>
      <c r="AS249" s="549"/>
      <c r="AT249" s="549"/>
      <c r="AU249" s="549"/>
      <c r="AV249" s="549"/>
      <c r="AW249" s="549"/>
      <c r="AX249" s="549"/>
      <c r="AY249" s="549"/>
      <c r="AZ249" s="549"/>
      <c r="BA249" s="549"/>
      <c r="BB249" s="549"/>
      <c r="BC249" s="549"/>
      <c r="BF249" s="531" t="s">
        <v>37</v>
      </c>
    </row>
    <row r="250" spans="1:58" ht="15" customHeight="1">
      <c r="A250" s="531" t="s">
        <v>213</v>
      </c>
      <c r="B250" s="531" t="s">
        <v>214</v>
      </c>
      <c r="C250" s="530" t="s">
        <v>58</v>
      </c>
      <c r="D250" s="531" t="s">
        <v>122</v>
      </c>
      <c r="E250" s="531" t="s">
        <v>206</v>
      </c>
      <c r="F250" s="547" t="s">
        <v>165</v>
      </c>
      <c r="G250" s="548">
        <f>'RTEKTY Conv'!K181</f>
        <v>13.698630136986301</v>
      </c>
      <c r="H250" s="548">
        <f>'RTEKTY Conv'!I181</f>
        <v>2.7903327701534422</v>
      </c>
      <c r="I250" s="548">
        <f>'RTEKTY Conv'!G181</f>
        <v>2.1309861778393948</v>
      </c>
      <c r="J250" s="531">
        <v>1</v>
      </c>
      <c r="K250" s="531">
        <v>1</v>
      </c>
      <c r="L250" s="531">
        <v>1</v>
      </c>
      <c r="M250" s="531">
        <v>1</v>
      </c>
      <c r="N250" s="531">
        <v>1</v>
      </c>
      <c r="O250" s="531">
        <v>1</v>
      </c>
      <c r="P250" s="531"/>
      <c r="Q250" s="531">
        <v>0.28000000000000003</v>
      </c>
      <c r="R250" s="546"/>
      <c r="S250" s="546"/>
      <c r="T250" s="546">
        <v>0</v>
      </c>
      <c r="U250" s="546">
        <v>0</v>
      </c>
      <c r="V250" s="546">
        <v>0</v>
      </c>
      <c r="W250" s="546">
        <v>0</v>
      </c>
      <c r="X250" s="546">
        <v>0</v>
      </c>
      <c r="Y250" s="546">
        <v>0</v>
      </c>
      <c r="Z250" s="546">
        <v>0</v>
      </c>
      <c r="AA250" s="546">
        <v>0</v>
      </c>
      <c r="AD250" s="546"/>
      <c r="AE250" s="531">
        <v>1.1499999999999999</v>
      </c>
      <c r="AF250" s="531">
        <v>1.1499999999999999</v>
      </c>
      <c r="AG250" s="531">
        <v>1.1499999999999999</v>
      </c>
      <c r="AH250" s="531">
        <v>1.1499999999999999</v>
      </c>
      <c r="AI250" s="531">
        <v>1.1499999999999999</v>
      </c>
      <c r="AJ250" s="531">
        <v>1.1499999999999999</v>
      </c>
      <c r="AK250" s="531">
        <v>1.1499999999999999</v>
      </c>
      <c r="AL250" s="531">
        <v>1.1499999999999999</v>
      </c>
      <c r="AO250" s="549" t="e">
        <f>Resid!V118</f>
        <v>#REF!</v>
      </c>
      <c r="AP250" s="549" t="e">
        <f>Resid!W118</f>
        <v>#REF!</v>
      </c>
      <c r="AQ250" s="549" t="e">
        <f>Resid!X118</f>
        <v>#REF!</v>
      </c>
      <c r="AR250" s="549" t="e">
        <f>Resid!Y118</f>
        <v>#REF!</v>
      </c>
      <c r="AS250" s="549" t="e">
        <f>Resid!Z118</f>
        <v>#REF!</v>
      </c>
      <c r="AT250" s="549"/>
      <c r="AU250" s="549"/>
      <c r="AV250" s="549"/>
      <c r="AW250" s="549"/>
      <c r="AX250" s="549"/>
      <c r="AY250" s="549"/>
      <c r="AZ250" s="549"/>
      <c r="BA250" s="549"/>
      <c r="BB250" s="549"/>
      <c r="BC250" s="549"/>
      <c r="BF250" s="531" t="s">
        <v>37</v>
      </c>
    </row>
    <row r="251" spans="1:58" ht="15" customHeight="1">
      <c r="A251" s="531" t="s">
        <v>215</v>
      </c>
      <c r="B251" s="531" t="s">
        <v>216</v>
      </c>
      <c r="C251" s="530" t="s">
        <v>58</v>
      </c>
      <c r="D251" s="531" t="s">
        <v>122</v>
      </c>
      <c r="E251" s="531" t="s">
        <v>206</v>
      </c>
      <c r="F251" s="547" t="s">
        <v>168</v>
      </c>
      <c r="G251" s="548">
        <f>'RTEKTY Conv'!K182</f>
        <v>13.698630136986301</v>
      </c>
      <c r="H251" s="548">
        <f>'RTEKTY Conv'!I182</f>
        <v>2.1177444151327425</v>
      </c>
      <c r="I251" s="548">
        <f>'RTEKTY Conv'!G182</f>
        <v>2.1309861778393948</v>
      </c>
      <c r="J251" s="531">
        <v>1</v>
      </c>
      <c r="K251" s="531">
        <v>1</v>
      </c>
      <c r="L251" s="531">
        <v>1</v>
      </c>
      <c r="M251" s="531">
        <v>1</v>
      </c>
      <c r="N251" s="531">
        <v>1</v>
      </c>
      <c r="O251" s="531">
        <v>1</v>
      </c>
      <c r="P251" s="531"/>
      <c r="Q251" s="531">
        <v>0.28000000000000003</v>
      </c>
      <c r="R251" s="546"/>
      <c r="S251" s="546"/>
      <c r="T251" s="546">
        <v>0</v>
      </c>
      <c r="U251" s="546">
        <v>0</v>
      </c>
      <c r="V251" s="546">
        <v>0</v>
      </c>
      <c r="W251" s="546">
        <v>0</v>
      </c>
      <c r="X251" s="546">
        <v>0</v>
      </c>
      <c r="Y251" s="546">
        <v>0</v>
      </c>
      <c r="Z251" s="546">
        <v>0</v>
      </c>
      <c r="AA251" s="546">
        <v>0</v>
      </c>
      <c r="AD251" s="546"/>
      <c r="AE251" s="531">
        <v>1.1499999999999999</v>
      </c>
      <c r="AF251" s="531">
        <v>1.1499999999999999</v>
      </c>
      <c r="AG251" s="531">
        <v>1.1499999999999999</v>
      </c>
      <c r="AH251" s="531">
        <v>1.1499999999999999</v>
      </c>
      <c r="AI251" s="531">
        <v>1.1499999999999999</v>
      </c>
      <c r="AJ251" s="531">
        <v>1.1499999999999999</v>
      </c>
      <c r="AK251" s="531">
        <v>1.1499999999999999</v>
      </c>
      <c r="AL251" s="531">
        <v>1.1499999999999999</v>
      </c>
      <c r="AO251" s="549"/>
      <c r="AP251" s="546"/>
      <c r="AQ251" s="546"/>
      <c r="AR251" s="546"/>
      <c r="AS251" s="546"/>
      <c r="AT251" s="546"/>
      <c r="AU251" s="546"/>
      <c r="AV251" s="546"/>
      <c r="AW251" s="546"/>
      <c r="AX251" s="546"/>
      <c r="AY251" s="546"/>
      <c r="AZ251" s="546"/>
      <c r="BA251" s="546"/>
      <c r="BB251" s="546"/>
      <c r="BC251" s="546"/>
      <c r="BF251" s="531" t="s">
        <v>37</v>
      </c>
    </row>
    <row r="252" spans="1:58" ht="15" customHeight="1">
      <c r="A252" s="531" t="s">
        <v>217</v>
      </c>
      <c r="B252" s="531" t="s">
        <v>218</v>
      </c>
      <c r="C252" s="530" t="s">
        <v>58</v>
      </c>
      <c r="D252" s="531" t="s">
        <v>122</v>
      </c>
      <c r="E252" s="531" t="s">
        <v>206</v>
      </c>
      <c r="F252" s="547" t="s">
        <v>219</v>
      </c>
      <c r="G252" s="548">
        <f>'RTEKTY Conv'!K183</f>
        <v>13.698630136986301</v>
      </c>
      <c r="H252" s="548">
        <f>'RTEKTY Conv'!I183</f>
        <v>2.0632102241851182</v>
      </c>
      <c r="I252" s="548">
        <f>'RTEKTY Conv'!G183</f>
        <v>2.1880661647458073</v>
      </c>
      <c r="J252" s="531">
        <v>1</v>
      </c>
      <c r="K252" s="531">
        <v>1</v>
      </c>
      <c r="L252" s="531">
        <v>1</v>
      </c>
      <c r="M252" s="531">
        <v>1</v>
      </c>
      <c r="N252" s="531">
        <v>1</v>
      </c>
      <c r="O252" s="531">
        <v>1</v>
      </c>
      <c r="P252" s="531"/>
      <c r="Q252" s="531">
        <v>0.28000000000000003</v>
      </c>
      <c r="R252" s="546"/>
      <c r="S252" s="546"/>
      <c r="T252" s="546"/>
      <c r="U252" s="546"/>
      <c r="V252" s="546">
        <v>0</v>
      </c>
      <c r="W252" s="546">
        <v>0</v>
      </c>
      <c r="X252" s="546">
        <v>0</v>
      </c>
      <c r="Y252" s="546">
        <v>0</v>
      </c>
      <c r="Z252" s="546">
        <v>0</v>
      </c>
      <c r="AA252" s="546">
        <v>0</v>
      </c>
      <c r="AD252" s="546"/>
      <c r="AE252" s="531">
        <v>1.1499999999999999</v>
      </c>
      <c r="AF252" s="531">
        <v>1.1499999999999999</v>
      </c>
      <c r="AG252" s="531">
        <v>1.1499999999999999</v>
      </c>
      <c r="AH252" s="531">
        <v>1.1499999999999999</v>
      </c>
      <c r="AI252" s="531">
        <v>1.1499999999999999</v>
      </c>
      <c r="AJ252" s="531">
        <v>1.1499999999999999</v>
      </c>
      <c r="AK252" s="531">
        <v>1.1499999999999999</v>
      </c>
      <c r="AL252" s="531">
        <v>1.1499999999999999</v>
      </c>
      <c r="AO252" s="546"/>
      <c r="AP252" s="546"/>
      <c r="AQ252" s="546"/>
      <c r="AR252" s="546"/>
      <c r="AS252" s="546"/>
      <c r="AT252" s="546"/>
      <c r="AU252" s="546"/>
      <c r="AV252" s="546"/>
      <c r="AW252" s="546"/>
      <c r="AX252" s="546"/>
      <c r="AY252" s="546"/>
      <c r="AZ252" s="546"/>
      <c r="BA252" s="546"/>
      <c r="BB252" s="546"/>
      <c r="BC252" s="546"/>
      <c r="BF252" s="531" t="s">
        <v>37</v>
      </c>
    </row>
    <row r="253" spans="1:58" ht="15" customHeight="1">
      <c r="A253" s="531" t="s">
        <v>220</v>
      </c>
      <c r="B253" s="531" t="s">
        <v>221</v>
      </c>
      <c r="C253" s="530" t="s">
        <v>58</v>
      </c>
      <c r="D253" s="531" t="s">
        <v>122</v>
      </c>
      <c r="E253" s="531" t="s">
        <v>206</v>
      </c>
      <c r="F253" s="547" t="s">
        <v>222</v>
      </c>
      <c r="G253" s="548">
        <f>'RTEKTY Conv'!K184</f>
        <v>13.698630136986301</v>
      </c>
      <c r="H253" s="548">
        <f>'RTEKTY Conv'!I184</f>
        <v>2.008676033237494</v>
      </c>
      <c r="I253" s="548">
        <f>'RTEKTY Conv'!G184</f>
        <v>2.24197504126853</v>
      </c>
      <c r="J253" s="531">
        <v>1</v>
      </c>
      <c r="K253" s="531">
        <v>1</v>
      </c>
      <c r="L253" s="531">
        <v>1</v>
      </c>
      <c r="M253" s="531">
        <v>1</v>
      </c>
      <c r="N253" s="531">
        <v>1</v>
      </c>
      <c r="O253" s="531">
        <v>1</v>
      </c>
      <c r="P253" s="531"/>
      <c r="Q253" s="531">
        <v>0.28000000000000003</v>
      </c>
      <c r="R253" s="546"/>
      <c r="S253" s="546">
        <v>0</v>
      </c>
      <c r="T253" s="546">
        <v>0</v>
      </c>
      <c r="U253" s="546">
        <v>0</v>
      </c>
      <c r="V253" s="546"/>
      <c r="W253" s="546"/>
      <c r="X253" s="546"/>
      <c r="Y253" s="546"/>
      <c r="Z253" s="546"/>
      <c r="AA253" s="546"/>
      <c r="AD253" s="546"/>
      <c r="AE253" s="531">
        <v>1.1499999999999999</v>
      </c>
      <c r="AF253" s="531">
        <v>1.1499999999999999</v>
      </c>
      <c r="AG253" s="531">
        <v>1.1499999999999999</v>
      </c>
      <c r="AH253" s="531">
        <v>1.1499999999999999</v>
      </c>
      <c r="AI253" s="531">
        <v>1.1499999999999999</v>
      </c>
      <c r="AJ253" s="531">
        <v>1.1499999999999999</v>
      </c>
      <c r="AK253" s="531">
        <v>1.1499999999999999</v>
      </c>
      <c r="AL253" s="531">
        <v>1.1499999999999999</v>
      </c>
      <c r="AO253" s="546"/>
      <c r="AP253" s="546"/>
      <c r="AQ253" s="546"/>
      <c r="AR253" s="546"/>
      <c r="AS253" s="546"/>
      <c r="AT253" s="546"/>
      <c r="AU253" s="546"/>
      <c r="AV253" s="546"/>
      <c r="AW253" s="546"/>
      <c r="AX253" s="546"/>
      <c r="AY253" s="546"/>
      <c r="AZ253" s="546"/>
      <c r="BA253" s="546"/>
      <c r="BB253" s="546"/>
      <c r="BC253" s="546"/>
      <c r="BF253" s="531" t="s">
        <v>37</v>
      </c>
    </row>
    <row r="254" spans="1:58" ht="15" customHeight="1">
      <c r="A254" s="531" t="s">
        <v>223</v>
      </c>
      <c r="B254" s="531" t="s">
        <v>224</v>
      </c>
      <c r="C254" s="530" t="s">
        <v>58</v>
      </c>
      <c r="D254" s="531" t="s">
        <v>122</v>
      </c>
      <c r="E254" s="531" t="s">
        <v>206</v>
      </c>
      <c r="F254" s="547" t="s">
        <v>225</v>
      </c>
      <c r="G254" s="548">
        <f>'RTEKTY Conv'!K185</f>
        <v>13.698630136986301</v>
      </c>
      <c r="H254" s="548">
        <f>'RTEKTY Conv'!I185</f>
        <v>1.9632308741144737</v>
      </c>
      <c r="I254" s="548">
        <f>'RTEKTY Conv'!G185</f>
        <v>2.2990550281749424</v>
      </c>
      <c r="J254" s="531">
        <v>1</v>
      </c>
      <c r="K254" s="531">
        <v>1</v>
      </c>
      <c r="L254" s="531">
        <v>1</v>
      </c>
      <c r="M254" s="531">
        <v>1</v>
      </c>
      <c r="N254" s="531">
        <v>1</v>
      </c>
      <c r="O254" s="531">
        <v>1</v>
      </c>
      <c r="P254" s="531"/>
      <c r="Q254" s="531">
        <v>0.28000000000000003</v>
      </c>
      <c r="R254" s="546"/>
      <c r="S254" s="546">
        <v>0</v>
      </c>
      <c r="T254" s="546">
        <v>0</v>
      </c>
      <c r="U254" s="546">
        <v>0</v>
      </c>
      <c r="V254" s="546">
        <v>0</v>
      </c>
      <c r="W254" s="546">
        <v>0</v>
      </c>
      <c r="X254" s="546"/>
      <c r="Y254" s="546"/>
      <c r="Z254" s="546"/>
      <c r="AA254" s="546"/>
      <c r="AD254" s="546"/>
      <c r="AE254" s="531">
        <v>1.1499999999999999</v>
      </c>
      <c r="AF254" s="531">
        <v>1.1499999999999999</v>
      </c>
      <c r="AG254" s="531">
        <v>1.1499999999999999</v>
      </c>
      <c r="AH254" s="531">
        <v>1.1499999999999999</v>
      </c>
      <c r="AI254" s="531">
        <v>1.1499999999999999</v>
      </c>
      <c r="AJ254" s="531">
        <v>1.1499999999999999</v>
      </c>
      <c r="AK254" s="531">
        <v>1.1499999999999999</v>
      </c>
      <c r="AL254" s="531">
        <v>1.1499999999999999</v>
      </c>
      <c r="AO254" s="546"/>
      <c r="AP254" s="546"/>
      <c r="AQ254" s="546"/>
      <c r="AR254" s="546"/>
      <c r="AS254" s="546"/>
      <c r="AT254" s="546"/>
      <c r="AU254" s="546"/>
      <c r="AV254" s="546"/>
      <c r="AW254" s="546"/>
      <c r="AX254" s="546"/>
      <c r="AY254" s="546"/>
      <c r="AZ254" s="546"/>
      <c r="BA254" s="546"/>
      <c r="BB254" s="546"/>
      <c r="BC254" s="546"/>
      <c r="BF254" s="531" t="s">
        <v>37</v>
      </c>
    </row>
    <row r="255" spans="1:58" ht="15" customHeight="1">
      <c r="A255" s="531" t="s">
        <v>162</v>
      </c>
      <c r="B255" s="531"/>
      <c r="C255" s="530"/>
      <c r="D255" s="531"/>
      <c r="E255" s="531"/>
      <c r="F255" s="547"/>
      <c r="G255" s="548"/>
      <c r="H255" s="548"/>
      <c r="I255" s="548"/>
      <c r="J255" s="531"/>
      <c r="K255" s="531"/>
      <c r="L255" s="531" t="s">
        <v>127</v>
      </c>
      <c r="M255" s="531" t="s">
        <v>127</v>
      </c>
      <c r="N255" s="531" t="s">
        <v>127</v>
      </c>
      <c r="O255" s="531" t="s">
        <v>127</v>
      </c>
      <c r="P255" s="531"/>
      <c r="Q255" s="531"/>
      <c r="R255" s="546"/>
      <c r="S255" s="546"/>
      <c r="T255" s="546"/>
      <c r="U255" s="546"/>
      <c r="V255" s="546"/>
      <c r="W255" s="546"/>
      <c r="X255" s="546"/>
      <c r="Y255" s="546"/>
      <c r="Z255" s="546"/>
      <c r="AA255" s="546"/>
      <c r="AD255" s="546"/>
      <c r="AE255" s="531"/>
      <c r="AF255" s="531"/>
      <c r="AG255" s="531"/>
      <c r="AH255" s="531"/>
      <c r="AI255" s="531"/>
      <c r="AJ255" s="531"/>
      <c r="AK255" s="531"/>
      <c r="AL255" s="531"/>
      <c r="AO255" s="546"/>
      <c r="AP255" s="546"/>
      <c r="AQ255" s="546"/>
      <c r="AR255" s="546"/>
      <c r="AS255" s="546"/>
      <c r="AT255" s="546"/>
      <c r="AU255" s="546"/>
      <c r="AV255" s="546"/>
      <c r="AW255" s="546"/>
      <c r="AX255" s="546"/>
      <c r="AY255" s="546"/>
      <c r="AZ255" s="546"/>
      <c r="BA255" s="546"/>
      <c r="BB255" s="546"/>
      <c r="BC255" s="546"/>
      <c r="BF255" s="530" t="s">
        <v>162</v>
      </c>
    </row>
    <row r="256" spans="1:58" ht="15" customHeight="1">
      <c r="A256" s="531" t="s">
        <v>226</v>
      </c>
      <c r="B256" s="531" t="s">
        <v>227</v>
      </c>
      <c r="C256" s="530" t="s">
        <v>58</v>
      </c>
      <c r="D256" s="531" t="s">
        <v>122</v>
      </c>
      <c r="E256" s="531" t="s">
        <v>206</v>
      </c>
      <c r="F256" s="547" t="s">
        <v>165</v>
      </c>
      <c r="G256" s="548">
        <f>'RTEKTY Conv'!K187</f>
        <v>34.246575342465754</v>
      </c>
      <c r="H256" s="548">
        <f>'RTEKTY Conv'!I187</f>
        <v>23.495147266601457</v>
      </c>
      <c r="I256" s="548">
        <f>'RTEKTY Conv'!G187</f>
        <v>1.9026662302137451</v>
      </c>
      <c r="J256" s="531">
        <v>1</v>
      </c>
      <c r="K256" s="531">
        <v>1</v>
      </c>
      <c r="L256" s="531">
        <v>1</v>
      </c>
      <c r="M256" s="531">
        <v>1</v>
      </c>
      <c r="N256" s="531">
        <v>1</v>
      </c>
      <c r="O256" s="531">
        <v>1</v>
      </c>
      <c r="P256" s="531"/>
      <c r="Q256" s="531">
        <v>0.45</v>
      </c>
      <c r="R256" s="546"/>
      <c r="S256" s="546">
        <v>0</v>
      </c>
      <c r="T256" s="546">
        <v>0</v>
      </c>
      <c r="U256" s="546">
        <v>0</v>
      </c>
      <c r="V256" s="546">
        <v>0</v>
      </c>
      <c r="W256" s="546">
        <v>0</v>
      </c>
      <c r="X256" s="546">
        <v>0</v>
      </c>
      <c r="Y256" s="546">
        <v>0</v>
      </c>
      <c r="Z256" s="546">
        <v>0</v>
      </c>
      <c r="AA256" s="546">
        <v>0</v>
      </c>
      <c r="AD256" s="546"/>
      <c r="AE256" s="531">
        <v>1.1499999999999999</v>
      </c>
      <c r="AF256" s="531">
        <v>1.1499999999999999</v>
      </c>
      <c r="AG256" s="531">
        <v>1.1499999999999999</v>
      </c>
      <c r="AH256" s="531">
        <v>1.1499999999999999</v>
      </c>
      <c r="AI256" s="531">
        <v>1.1499999999999999</v>
      </c>
      <c r="AJ256" s="531">
        <v>1.1499999999999999</v>
      </c>
      <c r="AK256" s="531">
        <v>1.1499999999999999</v>
      </c>
      <c r="AL256" s="531">
        <v>1.1499999999999999</v>
      </c>
      <c r="AO256" s="546"/>
      <c r="AP256" s="546"/>
      <c r="AQ256" s="546"/>
      <c r="AR256" s="546"/>
      <c r="AS256" s="546"/>
      <c r="AT256" s="546"/>
      <c r="AU256" s="546"/>
      <c r="AV256" s="546"/>
      <c r="AW256" s="546"/>
      <c r="AX256" s="546"/>
      <c r="AY256" s="546"/>
      <c r="AZ256" s="546"/>
      <c r="BA256" s="546"/>
      <c r="BB256" s="546"/>
      <c r="BC256" s="546"/>
      <c r="BF256" s="531" t="s">
        <v>37</v>
      </c>
    </row>
    <row r="257" spans="1:58" ht="15" customHeight="1">
      <c r="A257" s="531" t="s">
        <v>228</v>
      </c>
      <c r="B257" s="531" t="s">
        <v>229</v>
      </c>
      <c r="C257" s="530" t="s">
        <v>58</v>
      </c>
      <c r="D257" s="531" t="s">
        <v>122</v>
      </c>
      <c r="E257" s="531" t="s">
        <v>206</v>
      </c>
      <c r="F257" s="547" t="s">
        <v>168</v>
      </c>
      <c r="G257" s="548">
        <f>'RTEKTY Conv'!K188</f>
        <v>46.602739726027394</v>
      </c>
      <c r="H257" s="548">
        <f>'RTEKTY Conv'!I188</f>
        <v>6.9621983776466987</v>
      </c>
      <c r="I257" s="548">
        <f>'RTEKTY Conv'!G188</f>
        <v>2.9174215529944094</v>
      </c>
      <c r="J257" s="531">
        <v>1</v>
      </c>
      <c r="K257" s="531">
        <v>1</v>
      </c>
      <c r="L257" s="531">
        <v>1</v>
      </c>
      <c r="M257" s="531">
        <v>1</v>
      </c>
      <c r="N257" s="531">
        <v>1</v>
      </c>
      <c r="O257" s="531">
        <v>1</v>
      </c>
      <c r="P257" s="531"/>
      <c r="Q257" s="531">
        <v>0.45</v>
      </c>
      <c r="R257" s="546"/>
      <c r="S257" s="546"/>
      <c r="T257" s="546">
        <v>0</v>
      </c>
      <c r="U257" s="546">
        <v>0</v>
      </c>
      <c r="V257" s="546">
        <v>0</v>
      </c>
      <c r="W257" s="546">
        <v>0</v>
      </c>
      <c r="X257" s="546">
        <v>0</v>
      </c>
      <c r="Y257" s="546">
        <v>0</v>
      </c>
      <c r="Z257" s="546">
        <v>0</v>
      </c>
      <c r="AA257" s="546">
        <v>0</v>
      </c>
      <c r="AD257" s="546"/>
      <c r="AE257" s="531">
        <v>1.1499999999999999</v>
      </c>
      <c r="AF257" s="531">
        <v>1.1499999999999999</v>
      </c>
      <c r="AG257" s="531">
        <v>1.1499999999999999</v>
      </c>
      <c r="AH257" s="531">
        <v>1.1499999999999999</v>
      </c>
      <c r="AI257" s="531">
        <v>1.1499999999999999</v>
      </c>
      <c r="AJ257" s="531">
        <v>1.1499999999999999</v>
      </c>
      <c r="AK257" s="531">
        <v>1.1499999999999999</v>
      </c>
      <c r="AL257" s="531">
        <v>1.1499999999999999</v>
      </c>
      <c r="AO257" s="546"/>
      <c r="AP257" s="546"/>
      <c r="AQ257" s="546"/>
      <c r="AR257" s="546"/>
      <c r="AS257" s="546"/>
      <c r="AT257" s="546"/>
      <c r="AU257" s="546"/>
      <c r="AV257" s="546"/>
      <c r="AW257" s="546"/>
      <c r="AX257" s="546"/>
      <c r="AY257" s="546"/>
      <c r="AZ257" s="546"/>
      <c r="BA257" s="546"/>
      <c r="BB257" s="546"/>
      <c r="BC257" s="546"/>
      <c r="BF257" s="531" t="s">
        <v>37</v>
      </c>
    </row>
    <row r="258" spans="1:58" ht="15" customHeight="1">
      <c r="A258" s="531" t="s">
        <v>230</v>
      </c>
      <c r="B258" s="531" t="s">
        <v>231</v>
      </c>
      <c r="C258" s="530" t="s">
        <v>58</v>
      </c>
      <c r="D258" s="531" t="s">
        <v>122</v>
      </c>
      <c r="E258" s="531" t="s">
        <v>206</v>
      </c>
      <c r="F258" s="547" t="s">
        <v>219</v>
      </c>
      <c r="G258" s="548">
        <f>'RTEKTY Conv'!K189</f>
        <v>68.493150684931507</v>
      </c>
      <c r="H258" s="548">
        <f>'RTEKTY Conv'!I189</f>
        <v>3.5629004752447853</v>
      </c>
      <c r="I258" s="548">
        <f>'RTEKTY Conv'!G189</f>
        <v>4.9786433023926335</v>
      </c>
      <c r="J258" s="531">
        <v>1</v>
      </c>
      <c r="K258" s="531">
        <v>1</v>
      </c>
      <c r="L258" s="531">
        <v>1</v>
      </c>
      <c r="M258" s="531">
        <v>1</v>
      </c>
      <c r="N258" s="531">
        <v>1</v>
      </c>
      <c r="O258" s="531">
        <v>1</v>
      </c>
      <c r="P258" s="531"/>
      <c r="Q258" s="531">
        <v>0.45</v>
      </c>
      <c r="R258" s="546"/>
      <c r="S258" s="546"/>
      <c r="T258" s="546"/>
      <c r="U258" s="546">
        <v>0</v>
      </c>
      <c r="V258" s="546">
        <v>0</v>
      </c>
      <c r="W258" s="546">
        <v>0</v>
      </c>
      <c r="X258" s="546">
        <v>0</v>
      </c>
      <c r="Y258" s="546">
        <v>0</v>
      </c>
      <c r="Z258" s="546">
        <v>0</v>
      </c>
      <c r="AA258" s="546">
        <v>0</v>
      </c>
      <c r="AD258" s="546"/>
      <c r="AE258" s="531">
        <v>1.1499999999999999</v>
      </c>
      <c r="AF258" s="531">
        <v>1.1499999999999999</v>
      </c>
      <c r="AG258" s="531">
        <v>1.1499999999999999</v>
      </c>
      <c r="AH258" s="531">
        <v>1.1499999999999999</v>
      </c>
      <c r="AI258" s="531">
        <v>1.1499999999999999</v>
      </c>
      <c r="AJ258" s="531">
        <v>1.1499999999999999</v>
      </c>
      <c r="AK258" s="531">
        <v>1.1499999999999999</v>
      </c>
      <c r="AL258" s="531">
        <v>1.1499999999999999</v>
      </c>
      <c r="AO258" s="546"/>
      <c r="AP258" s="546"/>
      <c r="AQ258" s="546"/>
      <c r="AR258" s="546"/>
      <c r="AS258" s="546"/>
      <c r="AT258" s="546"/>
      <c r="AU258" s="546"/>
      <c r="AV258" s="546"/>
      <c r="AW258" s="546"/>
      <c r="AX258" s="546"/>
      <c r="AY258" s="546"/>
      <c r="AZ258" s="546"/>
      <c r="BA258" s="546"/>
      <c r="BB258" s="546"/>
      <c r="BC258" s="546"/>
      <c r="BF258" s="531" t="s">
        <v>37</v>
      </c>
    </row>
    <row r="259" spans="1:58" ht="15" customHeight="1">
      <c r="A259" s="531" t="s">
        <v>232</v>
      </c>
      <c r="B259" s="531" t="s">
        <v>233</v>
      </c>
      <c r="C259" s="530" t="s">
        <v>58</v>
      </c>
      <c r="D259" s="531" t="s">
        <v>122</v>
      </c>
      <c r="E259" s="531" t="s">
        <v>206</v>
      </c>
      <c r="F259" s="547" t="s">
        <v>234</v>
      </c>
      <c r="G259" s="548">
        <f>'RTEKTY Conv'!K190</f>
        <v>68.493150684931507</v>
      </c>
      <c r="H259" s="548">
        <f>'RTEKTY Conv'!I190</f>
        <v>2.5358398790645285</v>
      </c>
      <c r="I259" s="548">
        <f>'RTEKTY Conv'!G190</f>
        <v>5.6921431387227885</v>
      </c>
      <c r="J259" s="531">
        <v>1</v>
      </c>
      <c r="K259" s="531">
        <v>1</v>
      </c>
      <c r="L259" s="531">
        <v>1</v>
      </c>
      <c r="M259" s="531">
        <v>1</v>
      </c>
      <c r="N259" s="531">
        <v>1</v>
      </c>
      <c r="O259" s="531">
        <v>1</v>
      </c>
      <c r="P259" s="531"/>
      <c r="Q259" s="531">
        <v>0.45</v>
      </c>
      <c r="R259" s="546"/>
      <c r="S259" s="546"/>
      <c r="T259" s="546"/>
      <c r="U259" s="546"/>
      <c r="V259" s="546">
        <v>0</v>
      </c>
      <c r="W259" s="546">
        <v>0</v>
      </c>
      <c r="X259" s="546">
        <v>0</v>
      </c>
      <c r="Y259" s="546">
        <v>0</v>
      </c>
      <c r="Z259" s="546">
        <v>0</v>
      </c>
      <c r="AA259" s="546">
        <v>0</v>
      </c>
      <c r="AD259" s="546"/>
      <c r="AE259" s="531">
        <v>1.1499999999999999</v>
      </c>
      <c r="AF259" s="531">
        <v>1.1499999999999999</v>
      </c>
      <c r="AG259" s="531">
        <v>1.1499999999999999</v>
      </c>
      <c r="AH259" s="531">
        <v>1.1499999999999999</v>
      </c>
      <c r="AI259" s="531">
        <v>1.1499999999999999</v>
      </c>
      <c r="AJ259" s="531">
        <v>1.1499999999999999</v>
      </c>
      <c r="AK259" s="531">
        <v>1.1499999999999999</v>
      </c>
      <c r="AL259" s="531">
        <v>1.1499999999999999</v>
      </c>
      <c r="AO259" s="546"/>
      <c r="AP259" s="546"/>
      <c r="AQ259" s="546"/>
      <c r="AR259" s="546"/>
      <c r="AS259" s="546"/>
      <c r="AT259" s="546"/>
      <c r="AU259" s="546"/>
      <c r="AV259" s="546"/>
      <c r="AW259" s="546"/>
      <c r="AX259" s="546"/>
      <c r="AY259" s="546"/>
      <c r="AZ259" s="546"/>
      <c r="BA259" s="546"/>
      <c r="BB259" s="546"/>
      <c r="BC259" s="546"/>
      <c r="BF259" s="531" t="s">
        <v>37</v>
      </c>
    </row>
    <row r="260" spans="1:58" ht="15" customHeight="1">
      <c r="A260" s="531" t="s">
        <v>235</v>
      </c>
      <c r="B260" s="531" t="s">
        <v>236</v>
      </c>
      <c r="C260" s="530" t="s">
        <v>58</v>
      </c>
      <c r="D260" s="531" t="s">
        <v>122</v>
      </c>
      <c r="E260" s="531" t="s">
        <v>206</v>
      </c>
      <c r="F260" s="547" t="s">
        <v>222</v>
      </c>
      <c r="G260" s="548">
        <f>'RTEKTY Conv'!K191</f>
        <v>68.493150684931507</v>
      </c>
      <c r="H260" s="548">
        <f>'RTEKTY Conv'!I191</f>
        <v>2.1359224787819504</v>
      </c>
      <c r="I260" s="548">
        <f>'RTEKTY Conv'!G191</f>
        <v>6.4056429750529427</v>
      </c>
      <c r="J260" s="531">
        <v>1</v>
      </c>
      <c r="K260" s="531">
        <v>1</v>
      </c>
      <c r="L260" s="531">
        <v>1</v>
      </c>
      <c r="M260" s="531">
        <v>1</v>
      </c>
      <c r="N260" s="531">
        <v>1</v>
      </c>
      <c r="O260" s="531">
        <v>1</v>
      </c>
      <c r="P260" s="531"/>
      <c r="Q260" s="531">
        <v>0.45</v>
      </c>
      <c r="R260" s="546"/>
      <c r="S260" s="546"/>
      <c r="T260" s="546"/>
      <c r="U260" s="546"/>
      <c r="V260" s="546"/>
      <c r="W260" s="546"/>
      <c r="X260" s="546"/>
      <c r="Y260" s="546">
        <v>0</v>
      </c>
      <c r="Z260" s="546">
        <v>0</v>
      </c>
      <c r="AA260" s="546">
        <v>0</v>
      </c>
      <c r="AD260" s="546"/>
      <c r="AE260" s="531">
        <v>1.1499999999999999</v>
      </c>
      <c r="AF260" s="531">
        <v>1.1499999999999999</v>
      </c>
      <c r="AG260" s="531">
        <v>1.1499999999999999</v>
      </c>
      <c r="AH260" s="531">
        <v>1.1499999999999999</v>
      </c>
      <c r="AI260" s="531">
        <v>1.1499999999999999</v>
      </c>
      <c r="AJ260" s="531">
        <v>1.1499999999999999</v>
      </c>
      <c r="AK260" s="531">
        <v>1.1499999999999999</v>
      </c>
      <c r="AL260" s="531">
        <v>1.1499999999999999</v>
      </c>
      <c r="AO260" s="549"/>
      <c r="AP260" s="549"/>
      <c r="AQ260" s="549"/>
      <c r="AR260" s="549"/>
      <c r="AS260" s="549"/>
      <c r="AT260" s="549"/>
      <c r="AU260" s="549"/>
      <c r="AV260" s="549"/>
      <c r="AW260" s="549"/>
      <c r="AX260" s="549"/>
      <c r="AY260" s="549"/>
      <c r="AZ260" s="549"/>
      <c r="BA260" s="549"/>
      <c r="BB260" s="549"/>
      <c r="BC260" s="549"/>
      <c r="BF260" s="531" t="s">
        <v>37</v>
      </c>
    </row>
    <row r="261" spans="1:58" ht="15" customHeight="1">
      <c r="A261" s="531" t="s">
        <v>237</v>
      </c>
      <c r="B261" s="531" t="s">
        <v>238</v>
      </c>
      <c r="C261" s="530" t="s">
        <v>58</v>
      </c>
      <c r="D261" s="531" t="s">
        <v>122</v>
      </c>
      <c r="E261" s="531" t="s">
        <v>206</v>
      </c>
      <c r="F261" s="547" t="s">
        <v>225</v>
      </c>
      <c r="G261" s="548">
        <f>'RTEKTY Conv'!K192</f>
        <v>68.493150684931507</v>
      </c>
      <c r="H261" s="548">
        <f>'RTEKTY Conv'!I192</f>
        <v>2.1359224787819504</v>
      </c>
      <c r="I261" s="548">
        <f>'RTEKTY Conv'!G192</f>
        <v>6.4056429750529427</v>
      </c>
      <c r="J261" s="531">
        <v>1</v>
      </c>
      <c r="K261" s="531">
        <v>1</v>
      </c>
      <c r="L261" s="531">
        <v>1</v>
      </c>
      <c r="M261" s="531">
        <v>1</v>
      </c>
      <c r="N261" s="531">
        <v>1</v>
      </c>
      <c r="O261" s="531">
        <v>1</v>
      </c>
      <c r="P261" s="531"/>
      <c r="Q261" s="531">
        <v>0.45</v>
      </c>
      <c r="R261" s="546"/>
      <c r="S261" s="546"/>
      <c r="T261" s="546"/>
      <c r="U261" s="546"/>
      <c r="V261" s="546"/>
      <c r="W261" s="546"/>
      <c r="X261" s="546"/>
      <c r="Y261" s="546"/>
      <c r="Z261" s="546"/>
      <c r="AA261" s="546"/>
      <c r="AD261" s="546"/>
      <c r="AE261" s="531">
        <v>1.1499999999999999</v>
      </c>
      <c r="AF261" s="531">
        <v>1.1499999999999999</v>
      </c>
      <c r="AG261" s="531">
        <v>1.1499999999999999</v>
      </c>
      <c r="AH261" s="531">
        <v>1.1499999999999999</v>
      </c>
      <c r="AI261" s="531">
        <v>1.1499999999999999</v>
      </c>
      <c r="AJ261" s="531">
        <v>1.1499999999999999</v>
      </c>
      <c r="AK261" s="531">
        <v>1.1499999999999999</v>
      </c>
      <c r="AL261" s="531">
        <v>1.1499999999999999</v>
      </c>
      <c r="AO261" s="549"/>
      <c r="AP261" s="549"/>
      <c r="AQ261" s="546"/>
      <c r="AR261" s="546"/>
      <c r="AS261" s="546"/>
      <c r="AT261" s="546"/>
      <c r="AU261" s="546"/>
      <c r="AV261" s="546"/>
      <c r="AW261" s="546"/>
      <c r="AX261" s="546"/>
      <c r="AY261" s="546"/>
      <c r="AZ261" s="546"/>
      <c r="BA261" s="546"/>
      <c r="BB261" s="546"/>
      <c r="BC261" s="546"/>
      <c r="BF261" s="531" t="s">
        <v>37</v>
      </c>
    </row>
    <row r="262" spans="1:58" ht="15" customHeight="1">
      <c r="A262" s="531" t="s">
        <v>162</v>
      </c>
      <c r="B262" s="531"/>
      <c r="C262" s="530"/>
      <c r="D262" s="531"/>
      <c r="E262" s="531"/>
      <c r="F262" s="547"/>
      <c r="G262" s="548"/>
      <c r="H262" s="548"/>
      <c r="I262" s="548"/>
      <c r="J262" s="531"/>
      <c r="K262" s="531"/>
      <c r="L262" s="531" t="s">
        <v>127</v>
      </c>
      <c r="M262" s="531" t="s">
        <v>127</v>
      </c>
      <c r="N262" s="531" t="s">
        <v>127</v>
      </c>
      <c r="O262" s="531" t="s">
        <v>127</v>
      </c>
      <c r="P262" s="531"/>
      <c r="Q262" s="531"/>
      <c r="R262" s="546"/>
      <c r="S262" s="546"/>
      <c r="T262" s="546"/>
      <c r="U262" s="546"/>
      <c r="V262" s="546"/>
      <c r="W262" s="546"/>
      <c r="X262" s="546"/>
      <c r="Y262" s="546"/>
      <c r="Z262" s="546"/>
      <c r="AA262" s="546"/>
      <c r="AD262" s="546"/>
      <c r="AE262" s="531"/>
      <c r="AF262" s="531"/>
      <c r="AG262" s="531"/>
      <c r="AH262" s="531"/>
      <c r="AI262" s="531"/>
      <c r="AJ262" s="531"/>
      <c r="AK262" s="531"/>
      <c r="AL262" s="531"/>
      <c r="AO262" s="549"/>
      <c r="AP262" s="549"/>
      <c r="AQ262" s="546"/>
      <c r="AR262" s="546"/>
      <c r="AS262" s="546"/>
      <c r="AT262" s="546"/>
      <c r="AU262" s="546"/>
      <c r="AV262" s="546"/>
      <c r="AW262" s="546"/>
      <c r="AX262" s="546"/>
      <c r="AY262" s="546"/>
      <c r="AZ262" s="546"/>
      <c r="BA262" s="546"/>
      <c r="BB262" s="546"/>
      <c r="BC262" s="546"/>
      <c r="BF262" s="530" t="s">
        <v>162</v>
      </c>
    </row>
    <row r="263" spans="1:58" ht="15" customHeight="1">
      <c r="A263" s="531" t="s">
        <v>239</v>
      </c>
      <c r="B263" s="531" t="s">
        <v>240</v>
      </c>
      <c r="C263" s="530" t="s">
        <v>58</v>
      </c>
      <c r="D263" s="531" t="s">
        <v>122</v>
      </c>
      <c r="E263" s="531" t="s">
        <v>206</v>
      </c>
      <c r="F263" s="547">
        <v>2011</v>
      </c>
      <c r="G263" s="548">
        <f>'RTEKTY Conv'!G195</f>
        <v>0.76793723125015889</v>
      </c>
      <c r="H263" s="548">
        <f>'RTEKTY Conv'!I195</f>
        <v>0</v>
      </c>
      <c r="I263" s="548">
        <f>'RTEKTY Conv'!G195</f>
        <v>0.76793723125015889</v>
      </c>
      <c r="J263" s="531">
        <v>1</v>
      </c>
      <c r="K263" s="531">
        <v>1</v>
      </c>
      <c r="L263" s="531">
        <v>1</v>
      </c>
      <c r="M263" s="531">
        <v>1</v>
      </c>
      <c r="N263" s="531">
        <v>1</v>
      </c>
      <c r="O263" s="531">
        <v>1</v>
      </c>
      <c r="P263" s="531"/>
      <c r="Q263" s="531">
        <v>0.18</v>
      </c>
      <c r="R263" s="546"/>
      <c r="S263" s="546"/>
      <c r="T263" s="546">
        <v>0</v>
      </c>
      <c r="U263" s="546">
        <v>0</v>
      </c>
      <c r="V263" s="546">
        <v>0</v>
      </c>
      <c r="W263" s="546">
        <v>0</v>
      </c>
      <c r="X263" s="546">
        <v>0</v>
      </c>
      <c r="Y263" s="546">
        <v>0</v>
      </c>
      <c r="Z263" s="546">
        <v>0</v>
      </c>
      <c r="AA263" s="546">
        <v>0</v>
      </c>
      <c r="AD263" s="546"/>
      <c r="AE263" s="531"/>
      <c r="AF263" s="531"/>
      <c r="AG263" s="531"/>
      <c r="AH263" s="531"/>
      <c r="AI263" s="531"/>
      <c r="AJ263" s="531"/>
      <c r="AK263" s="531"/>
      <c r="AL263" s="531"/>
      <c r="AO263" s="549" t="e">
        <f>Resid!V119</f>
        <v>#REF!</v>
      </c>
      <c r="AP263" s="549" t="e">
        <f>Resid!W119</f>
        <v>#REF!</v>
      </c>
      <c r="AQ263" s="549" t="e">
        <f>Resid!X119</f>
        <v>#REF!</v>
      </c>
      <c r="AR263" s="549" t="e">
        <f>Resid!Y119</f>
        <v>#REF!</v>
      </c>
      <c r="AS263" s="549" t="e">
        <f>Resid!Z119</f>
        <v>#REF!</v>
      </c>
      <c r="AT263" s="549"/>
      <c r="AU263" s="549"/>
      <c r="AV263" s="549"/>
      <c r="AW263" s="549"/>
      <c r="AX263" s="549"/>
      <c r="AY263" s="549"/>
      <c r="AZ263" s="549"/>
      <c r="BA263" s="549"/>
      <c r="BB263" s="549"/>
      <c r="BC263" s="549"/>
      <c r="BF263" s="531" t="s">
        <v>37</v>
      </c>
    </row>
    <row r="264" spans="1:58" ht="15" customHeight="1">
      <c r="A264" s="531" t="s">
        <v>241</v>
      </c>
      <c r="B264" s="531" t="s">
        <v>242</v>
      </c>
      <c r="C264" s="530" t="s">
        <v>58</v>
      </c>
      <c r="D264" s="531" t="s">
        <v>122</v>
      </c>
      <c r="E264" s="531" t="s">
        <v>206</v>
      </c>
      <c r="F264" s="547" t="s">
        <v>219</v>
      </c>
      <c r="G264" s="548">
        <f>'RTEKTY Conv'!K198</f>
        <v>1.1643835616438356</v>
      </c>
      <c r="H264" s="548">
        <f>'RTEKTY Conv'!I198</f>
        <v>2.9357572793471065</v>
      </c>
      <c r="I264" s="548">
        <f>'RTEKTY Conv'!G198</f>
        <v>0.31076881760157848</v>
      </c>
      <c r="J264" s="531">
        <v>1</v>
      </c>
      <c r="K264" s="531">
        <v>1</v>
      </c>
      <c r="L264" s="531">
        <v>1</v>
      </c>
      <c r="M264" s="531">
        <v>1</v>
      </c>
      <c r="N264" s="531">
        <v>1</v>
      </c>
      <c r="O264" s="531">
        <v>1</v>
      </c>
      <c r="P264" s="531"/>
      <c r="Q264" s="531">
        <v>0.18</v>
      </c>
      <c r="R264" s="546"/>
      <c r="S264" s="546"/>
      <c r="T264" s="546"/>
      <c r="U264" s="546">
        <v>0</v>
      </c>
      <c r="V264" s="546">
        <v>0</v>
      </c>
      <c r="W264" s="546">
        <v>0</v>
      </c>
      <c r="X264" s="546">
        <v>0</v>
      </c>
      <c r="Y264" s="546">
        <v>0</v>
      </c>
      <c r="Z264" s="546">
        <v>0</v>
      </c>
      <c r="AA264" s="546">
        <v>0</v>
      </c>
      <c r="AD264" s="546"/>
      <c r="AE264" s="531"/>
      <c r="AF264" s="531"/>
      <c r="AG264" s="531"/>
      <c r="AH264" s="531"/>
      <c r="AI264" s="531"/>
      <c r="AJ264" s="531"/>
      <c r="AK264" s="531"/>
      <c r="AL264" s="531"/>
      <c r="AO264" s="546"/>
      <c r="AP264" s="546"/>
      <c r="AQ264" s="546"/>
      <c r="AR264" s="546"/>
      <c r="AS264" s="546"/>
      <c r="AT264" s="546"/>
      <c r="AU264" s="546"/>
      <c r="AV264" s="546"/>
      <c r="AW264" s="546"/>
      <c r="AX264" s="546"/>
      <c r="AY264" s="546"/>
      <c r="AZ264" s="546"/>
      <c r="BA264" s="546"/>
      <c r="BB264" s="546"/>
      <c r="BC264" s="546"/>
      <c r="BF264" s="531" t="s">
        <v>37</v>
      </c>
    </row>
    <row r="265" spans="1:58" ht="15" customHeight="1">
      <c r="A265" s="531" t="s">
        <v>243</v>
      </c>
      <c r="B265" s="531" t="s">
        <v>244</v>
      </c>
      <c r="C265" s="530" t="s">
        <v>58</v>
      </c>
      <c r="D265" s="531" t="s">
        <v>122</v>
      </c>
      <c r="E265" s="531" t="s">
        <v>206</v>
      </c>
      <c r="F265" s="547" t="s">
        <v>222</v>
      </c>
      <c r="G265" s="548">
        <f>'RTEKTY Conv'!K199</f>
        <v>1.1643835616438356</v>
      </c>
      <c r="H265" s="548">
        <f>'RTEKTY Conv'!I199</f>
        <v>2.8539559929256701</v>
      </c>
      <c r="I265" s="548">
        <f>'RTEKTY Conv'!G199</f>
        <v>0.31393992798526804</v>
      </c>
      <c r="J265" s="531">
        <v>1</v>
      </c>
      <c r="K265" s="531">
        <v>1</v>
      </c>
      <c r="L265" s="531">
        <v>1</v>
      </c>
      <c r="M265" s="531">
        <v>1</v>
      </c>
      <c r="N265" s="531">
        <v>1</v>
      </c>
      <c r="O265" s="531">
        <v>1</v>
      </c>
      <c r="P265" s="531"/>
      <c r="Q265" s="531">
        <v>0.18</v>
      </c>
      <c r="R265" s="546"/>
      <c r="S265" s="546"/>
      <c r="T265" s="546"/>
      <c r="U265" s="546">
        <v>0</v>
      </c>
      <c r="V265" s="546">
        <v>0</v>
      </c>
      <c r="W265" s="546">
        <v>0</v>
      </c>
      <c r="X265" s="546">
        <v>0</v>
      </c>
      <c r="Y265" s="546">
        <v>0</v>
      </c>
      <c r="Z265" s="546">
        <v>0</v>
      </c>
      <c r="AA265" s="546">
        <v>0</v>
      </c>
      <c r="AD265" s="546"/>
      <c r="AE265" s="531"/>
      <c r="AF265" s="531"/>
      <c r="AG265" s="531"/>
      <c r="AH265" s="531"/>
      <c r="AI265" s="531"/>
      <c r="AJ265" s="531"/>
      <c r="AK265" s="531"/>
      <c r="AL265" s="531"/>
      <c r="AO265" s="546"/>
      <c r="AP265" s="546"/>
      <c r="AQ265" s="546"/>
      <c r="AR265" s="546"/>
      <c r="AS265" s="546"/>
      <c r="AT265" s="546"/>
      <c r="AU265" s="546"/>
      <c r="AV265" s="546"/>
      <c r="AW265" s="546"/>
      <c r="AX265" s="546"/>
      <c r="AY265" s="546"/>
      <c r="AZ265" s="546"/>
      <c r="BA265" s="546"/>
      <c r="BB265" s="546"/>
      <c r="BC265" s="546"/>
      <c r="BF265" s="531" t="s">
        <v>37</v>
      </c>
    </row>
    <row r="266" spans="1:58" ht="15" customHeight="1">
      <c r="A266" s="531" t="s">
        <v>245</v>
      </c>
      <c r="B266" s="531" t="s">
        <v>246</v>
      </c>
      <c r="C266" s="530" t="s">
        <v>58</v>
      </c>
      <c r="D266" s="531" t="s">
        <v>122</v>
      </c>
      <c r="E266" s="531" t="s">
        <v>206</v>
      </c>
      <c r="F266" s="547" t="s">
        <v>225</v>
      </c>
      <c r="G266" s="548">
        <f>'RTEKTY Conv'!K200</f>
        <v>1.1643835616438356</v>
      </c>
      <c r="H266" s="548">
        <f>'RTEKTY Conv'!I200</f>
        <v>2.7812437383288375</v>
      </c>
      <c r="I266" s="548">
        <f>'RTEKTY Conv'!G200</f>
        <v>0.3171110383689576</v>
      </c>
      <c r="J266" s="531">
        <v>1</v>
      </c>
      <c r="K266" s="531">
        <v>1</v>
      </c>
      <c r="L266" s="531">
        <v>1</v>
      </c>
      <c r="M266" s="531">
        <v>1</v>
      </c>
      <c r="N266" s="531">
        <v>1</v>
      </c>
      <c r="O266" s="531">
        <v>1</v>
      </c>
      <c r="P266" s="531"/>
      <c r="Q266" s="531">
        <v>0.18</v>
      </c>
      <c r="R266" s="546"/>
      <c r="S266" s="546"/>
      <c r="T266" s="546"/>
      <c r="U266" s="546">
        <v>0</v>
      </c>
      <c r="V266" s="546">
        <v>0</v>
      </c>
      <c r="W266" s="546">
        <v>0</v>
      </c>
      <c r="X266" s="546">
        <v>0</v>
      </c>
      <c r="Y266" s="546">
        <v>0</v>
      </c>
      <c r="Z266" s="546">
        <v>0</v>
      </c>
      <c r="AA266" s="546">
        <v>0</v>
      </c>
      <c r="AD266" s="546"/>
      <c r="AE266" s="531"/>
      <c r="AF266" s="531"/>
      <c r="AG266" s="531"/>
      <c r="AH266" s="531"/>
      <c r="AI266" s="531"/>
      <c r="AJ266" s="531"/>
      <c r="AK266" s="531"/>
      <c r="AL266" s="531"/>
      <c r="AO266" s="549"/>
      <c r="AP266" s="549"/>
      <c r="AQ266" s="549"/>
      <c r="AR266" s="549"/>
      <c r="AS266" s="549"/>
      <c r="AT266" s="549"/>
      <c r="AU266" s="549"/>
      <c r="AV266" s="549"/>
      <c r="AW266" s="549"/>
      <c r="AX266" s="549"/>
      <c r="AY266" s="549"/>
      <c r="AZ266" s="549"/>
      <c r="BA266" s="549"/>
      <c r="BB266" s="549"/>
      <c r="BC266" s="549"/>
      <c r="BF266" s="531" t="s">
        <v>37</v>
      </c>
    </row>
    <row r="267" spans="1:58" ht="15" customHeight="1">
      <c r="A267" s="531" t="s">
        <v>247</v>
      </c>
      <c r="B267" s="531" t="s">
        <v>248</v>
      </c>
      <c r="C267" s="530" t="s">
        <v>58</v>
      </c>
      <c r="D267" s="531" t="s">
        <v>122</v>
      </c>
      <c r="E267" s="531" t="s">
        <v>206</v>
      </c>
      <c r="F267" s="547" t="s">
        <v>165</v>
      </c>
      <c r="G267" s="548">
        <f>'RTEKTY Conv'!K202</f>
        <v>10.95890410958904</v>
      </c>
      <c r="H267" s="548">
        <f>'RTEKTY Conv'!I202</f>
        <v>5.6624668267283207</v>
      </c>
      <c r="I267" s="548">
        <f>'RTEKTY Conv'!G202</f>
        <v>1.5221329841709963</v>
      </c>
      <c r="J267" s="531">
        <v>1</v>
      </c>
      <c r="K267" s="531">
        <v>1</v>
      </c>
      <c r="L267" s="531">
        <v>1</v>
      </c>
      <c r="M267" s="531">
        <v>1</v>
      </c>
      <c r="N267" s="531">
        <v>1</v>
      </c>
      <c r="O267" s="531">
        <v>1</v>
      </c>
      <c r="P267" s="531"/>
      <c r="Q267" s="531">
        <v>0.28000000000000003</v>
      </c>
      <c r="R267" s="546"/>
      <c r="S267" s="546">
        <v>0</v>
      </c>
      <c r="T267" s="546">
        <v>0</v>
      </c>
      <c r="U267" s="546">
        <v>0</v>
      </c>
      <c r="V267" s="546">
        <v>0</v>
      </c>
      <c r="W267" s="546">
        <v>0</v>
      </c>
      <c r="X267" s="546">
        <v>0</v>
      </c>
      <c r="Y267" s="546">
        <v>0</v>
      </c>
      <c r="Z267" s="546">
        <v>0</v>
      </c>
      <c r="AA267" s="546">
        <v>0</v>
      </c>
      <c r="AD267" s="546"/>
      <c r="AE267" s="531">
        <v>1.1499999999999999</v>
      </c>
      <c r="AF267" s="531">
        <v>1.1499999999999999</v>
      </c>
      <c r="AG267" s="531">
        <v>1.1499999999999999</v>
      </c>
      <c r="AH267" s="531">
        <v>1.1499999999999999</v>
      </c>
      <c r="AI267" s="531">
        <v>1.1499999999999999</v>
      </c>
      <c r="AJ267" s="531">
        <v>1.1499999999999999</v>
      </c>
      <c r="AK267" s="531">
        <v>1.1499999999999999</v>
      </c>
      <c r="AL267" s="531">
        <v>1.1499999999999999</v>
      </c>
      <c r="AO267" s="546"/>
      <c r="AP267" s="546"/>
      <c r="AQ267" s="546"/>
      <c r="AR267" s="546"/>
      <c r="AS267" s="546"/>
      <c r="AT267" s="546"/>
      <c r="AU267" s="546"/>
      <c r="AV267" s="546"/>
      <c r="AW267" s="546"/>
      <c r="AX267" s="546"/>
      <c r="AY267" s="546"/>
      <c r="AZ267" s="546"/>
      <c r="BA267" s="546"/>
      <c r="BB267" s="546"/>
      <c r="BC267" s="546"/>
      <c r="BF267" s="531" t="s">
        <v>37</v>
      </c>
    </row>
    <row r="268" spans="1:58" ht="15" customHeight="1">
      <c r="A268" s="531" t="s">
        <v>249</v>
      </c>
      <c r="B268" s="531" t="s">
        <v>250</v>
      </c>
      <c r="C268" s="530" t="s">
        <v>58</v>
      </c>
      <c r="D268" s="531" t="s">
        <v>122</v>
      </c>
      <c r="E268" s="531" t="s">
        <v>206</v>
      </c>
      <c r="F268" s="547" t="s">
        <v>219</v>
      </c>
      <c r="G268" s="548">
        <f>'RTEKTY Conv'!K203</f>
        <v>10.95890410958904</v>
      </c>
      <c r="H268" s="548">
        <f>'RTEKTY Conv'!I203</f>
        <v>5.5170423175346555</v>
      </c>
      <c r="I268" s="548">
        <f>'RTEKTY Conv'!G203</f>
        <v>1.5982396333795463</v>
      </c>
      <c r="J268" s="531">
        <v>1</v>
      </c>
      <c r="K268" s="531">
        <v>1</v>
      </c>
      <c r="L268" s="531">
        <v>1</v>
      </c>
      <c r="M268" s="531">
        <v>1</v>
      </c>
      <c r="N268" s="531">
        <v>1</v>
      </c>
      <c r="O268" s="531">
        <v>1</v>
      </c>
      <c r="P268" s="531"/>
      <c r="Q268" s="531">
        <v>0.28000000000000003</v>
      </c>
      <c r="R268" s="546"/>
      <c r="S268" s="546"/>
      <c r="T268" s="546"/>
      <c r="U268" s="546"/>
      <c r="V268" s="546">
        <v>0</v>
      </c>
      <c r="W268" s="546">
        <v>0</v>
      </c>
      <c r="X268" s="546">
        <v>0</v>
      </c>
      <c r="Y268" s="546">
        <v>0</v>
      </c>
      <c r="Z268" s="546">
        <v>0</v>
      </c>
      <c r="AA268" s="546">
        <v>0</v>
      </c>
      <c r="AD268" s="546"/>
      <c r="AE268" s="531">
        <v>1.1499999999999999</v>
      </c>
      <c r="AF268" s="531">
        <v>1.1499999999999999</v>
      </c>
      <c r="AG268" s="531">
        <v>1.1499999999999999</v>
      </c>
      <c r="AH268" s="531">
        <v>1.1499999999999999</v>
      </c>
      <c r="AI268" s="531">
        <v>1.1499999999999999</v>
      </c>
      <c r="AJ268" s="531">
        <v>1.1499999999999999</v>
      </c>
      <c r="AK268" s="531">
        <v>1.1499999999999999</v>
      </c>
      <c r="AL268" s="531">
        <v>1.1499999999999999</v>
      </c>
      <c r="AO268" s="546"/>
      <c r="AP268" s="546"/>
      <c r="AQ268" s="546"/>
      <c r="AR268" s="546"/>
      <c r="AS268" s="546"/>
      <c r="AT268" s="546"/>
      <c r="AU268" s="546"/>
      <c r="AV268" s="546"/>
      <c r="AW268" s="546"/>
      <c r="AX268" s="546"/>
      <c r="AY268" s="546"/>
      <c r="AZ268" s="546"/>
      <c r="BA268" s="546"/>
      <c r="BB268" s="546"/>
      <c r="BC268" s="546"/>
      <c r="BF268" s="531" t="s">
        <v>37</v>
      </c>
    </row>
    <row r="269" spans="1:58" ht="15" customHeight="1">
      <c r="A269" s="531" t="s">
        <v>251</v>
      </c>
      <c r="B269" s="531" t="s">
        <v>252</v>
      </c>
      <c r="C269" s="530" t="s">
        <v>58</v>
      </c>
      <c r="D269" s="531" t="s">
        <v>122</v>
      </c>
      <c r="E269" s="531" t="s">
        <v>206</v>
      </c>
      <c r="F269" s="547" t="s">
        <v>222</v>
      </c>
      <c r="G269" s="548">
        <f>'RTEKTY Conv'!K204</f>
        <v>10.95890410958904</v>
      </c>
      <c r="H269" s="548">
        <f>'RTEKTY Conv'!I204</f>
        <v>5.380706840165594</v>
      </c>
      <c r="I269" s="548">
        <f>'RTEKTY Conv'!G204</f>
        <v>1.3604063546028278</v>
      </c>
      <c r="J269" s="531">
        <v>1</v>
      </c>
      <c r="K269" s="531">
        <v>1</v>
      </c>
      <c r="L269" s="531">
        <v>1</v>
      </c>
      <c r="M269" s="531">
        <v>1</v>
      </c>
      <c r="N269" s="531">
        <v>1</v>
      </c>
      <c r="O269" s="531">
        <v>1</v>
      </c>
      <c r="P269" s="531"/>
      <c r="Q269" s="531">
        <v>0.28000000000000003</v>
      </c>
      <c r="R269" s="546"/>
      <c r="S269" s="546"/>
      <c r="T269" s="546"/>
      <c r="U269" s="546"/>
      <c r="V269" s="546"/>
      <c r="W269" s="546"/>
      <c r="X269" s="546">
        <v>0</v>
      </c>
      <c r="Y269" s="546">
        <v>0</v>
      </c>
      <c r="Z269" s="546">
        <v>0</v>
      </c>
      <c r="AA269" s="546">
        <v>0</v>
      </c>
      <c r="AD269" s="546"/>
      <c r="AE269" s="531">
        <v>1.1499999999999999</v>
      </c>
      <c r="AF269" s="531">
        <v>1.1499999999999999</v>
      </c>
      <c r="AG269" s="531">
        <v>1.1499999999999999</v>
      </c>
      <c r="AH269" s="531">
        <v>1.1499999999999999</v>
      </c>
      <c r="AI269" s="531">
        <v>1.1499999999999999</v>
      </c>
      <c r="AJ269" s="531">
        <v>1.1499999999999999</v>
      </c>
      <c r="AK269" s="531">
        <v>1.1499999999999999</v>
      </c>
      <c r="AL269" s="531">
        <v>1.1499999999999999</v>
      </c>
      <c r="AO269" s="546"/>
      <c r="AP269" s="546"/>
      <c r="AQ269" s="546"/>
      <c r="AR269" s="546"/>
      <c r="AS269" s="546"/>
      <c r="AT269" s="546"/>
      <c r="AU269" s="546"/>
      <c r="AV269" s="546"/>
      <c r="AW269" s="546"/>
      <c r="AX269" s="546"/>
      <c r="AY269" s="546"/>
      <c r="AZ269" s="546"/>
      <c r="BA269" s="546"/>
      <c r="BB269" s="546"/>
      <c r="BC269" s="546"/>
      <c r="BF269" s="531" t="s">
        <v>37</v>
      </c>
    </row>
    <row r="270" spans="1:58" ht="15" customHeight="1">
      <c r="A270" s="531" t="s">
        <v>253</v>
      </c>
      <c r="B270" s="531" t="s">
        <v>254</v>
      </c>
      <c r="C270" s="530" t="s">
        <v>58</v>
      </c>
      <c r="D270" s="531" t="s">
        <v>122</v>
      </c>
      <c r="E270" s="531" t="s">
        <v>206</v>
      </c>
      <c r="F270" s="547" t="s">
        <v>225</v>
      </c>
      <c r="G270" s="548">
        <f>'RTEKTY Conv'!K205</f>
        <v>12.328767123287671</v>
      </c>
      <c r="H270" s="548">
        <f>'RTEKTY Conv'!I205</f>
        <v>5.2443713627965334</v>
      </c>
      <c r="I270" s="548">
        <f>'RTEKTY Conv'!G205</f>
        <v>1.7631373733314042</v>
      </c>
      <c r="J270" s="531">
        <v>1</v>
      </c>
      <c r="K270" s="531">
        <v>1</v>
      </c>
      <c r="L270" s="531">
        <v>1</v>
      </c>
      <c r="M270" s="531">
        <v>1</v>
      </c>
      <c r="N270" s="531">
        <v>1</v>
      </c>
      <c r="O270" s="531">
        <v>1</v>
      </c>
      <c r="P270" s="531"/>
      <c r="Q270" s="531">
        <v>0.28000000000000003</v>
      </c>
      <c r="R270" s="546"/>
      <c r="S270" s="546"/>
      <c r="T270" s="546"/>
      <c r="U270" s="546"/>
      <c r="V270" s="546"/>
      <c r="W270" s="546"/>
      <c r="X270" s="546"/>
      <c r="Y270" s="546"/>
      <c r="Z270" s="546"/>
      <c r="AA270" s="546"/>
      <c r="AD270" s="546"/>
      <c r="AE270" s="531"/>
      <c r="AF270" s="531"/>
      <c r="AG270" s="531"/>
      <c r="AH270" s="531"/>
      <c r="AI270" s="531"/>
      <c r="AJ270" s="531"/>
      <c r="AK270" s="531"/>
      <c r="AL270" s="531"/>
      <c r="AO270" s="546"/>
      <c r="AP270" s="546"/>
      <c r="AQ270" s="546"/>
      <c r="AR270" s="546"/>
      <c r="AS270" s="546"/>
      <c r="AT270" s="546"/>
      <c r="AU270" s="546"/>
      <c r="AV270" s="546"/>
      <c r="AW270" s="546"/>
      <c r="AX270" s="546"/>
      <c r="AY270" s="546"/>
      <c r="AZ270" s="546"/>
      <c r="BA270" s="546"/>
      <c r="BB270" s="546"/>
      <c r="BC270" s="546"/>
      <c r="BF270" s="531" t="s">
        <v>37</v>
      </c>
    </row>
    <row r="271" spans="1:58" ht="15" customHeight="1">
      <c r="A271" s="531" t="s">
        <v>255</v>
      </c>
      <c r="B271" s="531" t="s">
        <v>256</v>
      </c>
      <c r="C271" s="530" t="s">
        <v>58</v>
      </c>
      <c r="D271" s="531" t="s">
        <v>122</v>
      </c>
      <c r="E271" s="531" t="s">
        <v>206</v>
      </c>
      <c r="F271" s="547" t="s">
        <v>165</v>
      </c>
      <c r="G271" s="548">
        <f>'RTEKTY Conv'!K207</f>
        <v>4.1095890410958908</v>
      </c>
      <c r="H271" s="548">
        <f>'RTEKTY Conv'!I207</f>
        <v>5.4443300629378237</v>
      </c>
      <c r="I271" s="548">
        <f>'RTEKTY Conv'!G207</f>
        <v>0.39955990834488658</v>
      </c>
      <c r="J271" s="531">
        <v>1</v>
      </c>
      <c r="K271" s="531">
        <v>1</v>
      </c>
      <c r="L271" s="531">
        <v>1</v>
      </c>
      <c r="M271" s="531">
        <v>1</v>
      </c>
      <c r="N271" s="531">
        <v>1</v>
      </c>
      <c r="O271" s="531">
        <v>1</v>
      </c>
      <c r="P271" s="531"/>
      <c r="Q271" s="531">
        <v>0.18</v>
      </c>
      <c r="R271" s="546"/>
      <c r="S271" s="546">
        <v>0</v>
      </c>
      <c r="T271" s="546">
        <v>0</v>
      </c>
      <c r="U271" s="546">
        <v>0</v>
      </c>
      <c r="V271" s="546">
        <v>0</v>
      </c>
      <c r="W271" s="546">
        <v>0</v>
      </c>
      <c r="X271" s="546">
        <v>0</v>
      </c>
      <c r="Y271" s="546">
        <v>0</v>
      </c>
      <c r="Z271" s="546">
        <v>0</v>
      </c>
      <c r="AA271" s="546">
        <v>0</v>
      </c>
      <c r="AD271" s="546"/>
      <c r="AE271" s="531"/>
      <c r="AF271" s="531"/>
      <c r="AG271" s="531"/>
      <c r="AH271" s="531"/>
      <c r="AI271" s="531"/>
      <c r="AJ271" s="531"/>
      <c r="AK271" s="531"/>
      <c r="AL271" s="531"/>
      <c r="AO271" s="549"/>
      <c r="AP271" s="549"/>
      <c r="AQ271" s="549"/>
      <c r="AR271" s="549"/>
      <c r="AS271" s="549"/>
      <c r="AT271" s="549"/>
      <c r="AU271" s="549"/>
      <c r="AV271" s="549"/>
      <c r="AW271" s="549"/>
      <c r="AX271" s="549"/>
      <c r="AY271" s="549"/>
      <c r="AZ271" s="549"/>
      <c r="BA271" s="549"/>
      <c r="BB271" s="549"/>
      <c r="BC271" s="549"/>
      <c r="BF271" s="531" t="s">
        <v>37</v>
      </c>
    </row>
    <row r="272" spans="1:58" ht="15" customHeight="1">
      <c r="A272" s="531" t="s">
        <v>257</v>
      </c>
      <c r="B272" s="531" t="s">
        <v>258</v>
      </c>
      <c r="C272" s="530" t="s">
        <v>58</v>
      </c>
      <c r="D272" s="531" t="s">
        <v>122</v>
      </c>
      <c r="E272" s="531" t="s">
        <v>206</v>
      </c>
      <c r="F272" s="547" t="s">
        <v>219</v>
      </c>
      <c r="G272" s="548">
        <f>'RTEKTY Conv'!K208</f>
        <v>4.1095890410958908</v>
      </c>
      <c r="H272" s="548">
        <f>'RTEKTY Conv'!I208</f>
        <v>5.317083617393366</v>
      </c>
      <c r="I272" s="548">
        <f>'RTEKTY Conv'!G208</f>
        <v>0.41858657064702398</v>
      </c>
      <c r="J272" s="531">
        <v>1</v>
      </c>
      <c r="K272" s="531">
        <v>1</v>
      </c>
      <c r="L272" s="531">
        <v>1</v>
      </c>
      <c r="M272" s="531">
        <v>1</v>
      </c>
      <c r="N272" s="531">
        <v>1</v>
      </c>
      <c r="O272" s="531">
        <v>1</v>
      </c>
      <c r="P272" s="531"/>
      <c r="Q272" s="531">
        <v>0.18</v>
      </c>
      <c r="R272" s="546"/>
      <c r="S272" s="546"/>
      <c r="T272" s="546"/>
      <c r="U272" s="546"/>
      <c r="V272" s="546">
        <v>0</v>
      </c>
      <c r="W272" s="546">
        <v>0</v>
      </c>
      <c r="X272" s="546">
        <v>0</v>
      </c>
      <c r="Y272" s="546">
        <v>0</v>
      </c>
      <c r="Z272" s="546">
        <v>0</v>
      </c>
      <c r="AA272" s="546">
        <v>0</v>
      </c>
      <c r="AD272" s="546"/>
      <c r="AE272" s="531"/>
      <c r="AF272" s="531"/>
      <c r="AG272" s="531"/>
      <c r="AH272" s="531"/>
      <c r="AI272" s="531"/>
      <c r="AJ272" s="531"/>
      <c r="AK272" s="531"/>
      <c r="AL272" s="531"/>
      <c r="AO272" s="546"/>
      <c r="AP272" s="549"/>
      <c r="AQ272" s="546"/>
      <c r="AR272" s="546"/>
      <c r="AS272" s="546"/>
      <c r="AT272" s="546"/>
      <c r="AU272" s="546"/>
      <c r="AV272" s="546"/>
      <c r="AW272" s="546"/>
      <c r="AX272" s="546"/>
      <c r="AY272" s="546"/>
      <c r="AZ272" s="546"/>
      <c r="BA272" s="546"/>
      <c r="BB272" s="546"/>
      <c r="BC272" s="546"/>
      <c r="BF272" s="531" t="s">
        <v>37</v>
      </c>
    </row>
    <row r="273" spans="1:58" ht="15" customHeight="1">
      <c r="A273" s="531" t="s">
        <v>259</v>
      </c>
      <c r="B273" s="531" t="s">
        <v>260</v>
      </c>
      <c r="C273" s="530" t="s">
        <v>58</v>
      </c>
      <c r="D273" s="531" t="s">
        <v>122</v>
      </c>
      <c r="E273" s="531" t="s">
        <v>206</v>
      </c>
      <c r="F273" s="547" t="s">
        <v>222</v>
      </c>
      <c r="G273" s="548">
        <f>'RTEKTY Conv'!K209</f>
        <v>4.1095890410958908</v>
      </c>
      <c r="H273" s="548">
        <f>'RTEKTY Conv'!I209</f>
        <v>5.1807481400243054</v>
      </c>
      <c r="I273" s="548">
        <f>'RTEKTY Conv'!G209</f>
        <v>0.44078434333285105</v>
      </c>
      <c r="J273" s="531">
        <v>1</v>
      </c>
      <c r="K273" s="531">
        <v>1</v>
      </c>
      <c r="L273" s="531">
        <v>1</v>
      </c>
      <c r="M273" s="531">
        <v>1</v>
      </c>
      <c r="N273" s="531">
        <v>1</v>
      </c>
      <c r="O273" s="531">
        <v>1</v>
      </c>
      <c r="P273" s="531"/>
      <c r="Q273" s="531">
        <v>0.18</v>
      </c>
      <c r="R273" s="546"/>
      <c r="S273" s="546"/>
      <c r="T273" s="546"/>
      <c r="U273" s="546"/>
      <c r="V273" s="546"/>
      <c r="W273" s="546"/>
      <c r="X273" s="546">
        <v>0</v>
      </c>
      <c r="Y273" s="546">
        <v>0</v>
      </c>
      <c r="Z273" s="546">
        <v>0</v>
      </c>
      <c r="AA273" s="546">
        <v>0</v>
      </c>
      <c r="AD273" s="546"/>
      <c r="AE273" s="531"/>
      <c r="AF273" s="531"/>
      <c r="AG273" s="531"/>
      <c r="AH273" s="531"/>
      <c r="AI273" s="531"/>
      <c r="AJ273" s="531"/>
      <c r="AK273" s="531"/>
      <c r="AL273" s="531"/>
      <c r="AO273" s="546"/>
      <c r="AP273" s="549"/>
      <c r="AQ273" s="546"/>
      <c r="AR273" s="546"/>
      <c r="AS273" s="546"/>
      <c r="AT273" s="546"/>
      <c r="AU273" s="546"/>
      <c r="AV273" s="546"/>
      <c r="AW273" s="546"/>
      <c r="AX273" s="546"/>
      <c r="AY273" s="546"/>
      <c r="AZ273" s="546"/>
      <c r="BA273" s="546"/>
      <c r="BB273" s="546"/>
      <c r="BC273" s="546"/>
      <c r="BF273" s="531" t="s">
        <v>37</v>
      </c>
    </row>
    <row r="274" spans="1:58" ht="15" customHeight="1">
      <c r="A274" s="531" t="s">
        <v>261</v>
      </c>
      <c r="B274" s="531" t="s">
        <v>262</v>
      </c>
      <c r="C274" s="530" t="s">
        <v>58</v>
      </c>
      <c r="D274" s="531" t="s">
        <v>122</v>
      </c>
      <c r="E274" s="531" t="s">
        <v>206</v>
      </c>
      <c r="F274" s="547" t="s">
        <v>225</v>
      </c>
      <c r="G274" s="548">
        <f>'RTEKTY Conv'!K210</f>
        <v>4.1095890410958908</v>
      </c>
      <c r="H274" s="548">
        <f>'RTEKTY Conv'!I210</f>
        <v>5.0444126626552448</v>
      </c>
      <c r="I274" s="548">
        <f>'RTEKTY Conv'!G210</f>
        <v>0.46298211601867806</v>
      </c>
      <c r="J274" s="531">
        <v>1</v>
      </c>
      <c r="K274" s="531">
        <v>1</v>
      </c>
      <c r="L274" s="531">
        <v>1</v>
      </c>
      <c r="M274" s="531">
        <v>1</v>
      </c>
      <c r="N274" s="531">
        <v>1</v>
      </c>
      <c r="O274" s="531">
        <v>1</v>
      </c>
      <c r="P274" s="531"/>
      <c r="Q274" s="531">
        <v>0.18</v>
      </c>
      <c r="R274" s="546"/>
      <c r="S274" s="546"/>
      <c r="T274" s="546"/>
      <c r="U274" s="546"/>
      <c r="V274" s="546"/>
      <c r="W274" s="546"/>
      <c r="X274" s="546"/>
      <c r="Y274" s="546"/>
      <c r="Z274" s="546"/>
      <c r="AA274" s="546"/>
      <c r="AD274" s="546"/>
      <c r="AE274" s="531"/>
      <c r="AF274" s="531"/>
      <c r="AG274" s="531"/>
      <c r="AH274" s="531"/>
      <c r="AI274" s="531"/>
      <c r="AJ274" s="531"/>
      <c r="AK274" s="531"/>
      <c r="AL274" s="531"/>
      <c r="AO274" s="546"/>
      <c r="AP274" s="546"/>
      <c r="AQ274" s="546"/>
      <c r="AR274" s="546"/>
      <c r="AS274" s="546"/>
      <c r="AT274" s="546"/>
      <c r="AU274" s="546"/>
      <c r="AV274" s="546"/>
      <c r="AW274" s="546"/>
      <c r="AX274" s="546"/>
      <c r="AY274" s="546"/>
      <c r="AZ274" s="546"/>
      <c r="BA274" s="546"/>
      <c r="BB274" s="546"/>
      <c r="BC274" s="546"/>
      <c r="BF274" s="531" t="s">
        <v>37</v>
      </c>
    </row>
    <row r="275" spans="1:58" ht="15" customHeight="1">
      <c r="A275" s="531" t="s">
        <v>263</v>
      </c>
      <c r="B275" s="531" t="s">
        <v>264</v>
      </c>
      <c r="C275" s="530" t="s">
        <v>58</v>
      </c>
      <c r="D275" s="531" t="s">
        <v>122</v>
      </c>
      <c r="E275" s="531" t="s">
        <v>206</v>
      </c>
      <c r="F275" s="547" t="s">
        <v>165</v>
      </c>
      <c r="G275" s="548">
        <f>'RTEKTY Conv'!K212</f>
        <v>34.246575342465754</v>
      </c>
      <c r="H275" s="548">
        <f>'RTEKTY Conv'!I212</f>
        <v>45.381535900247997</v>
      </c>
      <c r="I275" s="548">
        <f>'RTEKTY Conv'!G212</f>
        <v>1.5855551918447879</v>
      </c>
      <c r="J275" s="531">
        <v>1</v>
      </c>
      <c r="K275" s="531">
        <v>1</v>
      </c>
      <c r="L275" s="531">
        <v>1</v>
      </c>
      <c r="M275" s="531">
        <v>1</v>
      </c>
      <c r="N275" s="531">
        <v>1</v>
      </c>
      <c r="O275" s="531">
        <v>1</v>
      </c>
      <c r="P275" s="531"/>
      <c r="Q275" s="531">
        <v>0.45</v>
      </c>
      <c r="R275" s="546"/>
      <c r="S275" s="546">
        <v>0</v>
      </c>
      <c r="T275" s="546">
        <v>0</v>
      </c>
      <c r="U275" s="546">
        <v>0</v>
      </c>
      <c r="V275" s="546">
        <v>0</v>
      </c>
      <c r="W275" s="546">
        <v>0</v>
      </c>
      <c r="X275" s="546">
        <v>0</v>
      </c>
      <c r="Y275" s="546">
        <v>0</v>
      </c>
      <c r="Z275" s="546">
        <v>0</v>
      </c>
      <c r="AA275" s="546">
        <v>0</v>
      </c>
      <c r="AD275" s="546"/>
      <c r="AE275" s="531"/>
      <c r="AF275" s="531"/>
      <c r="AG275" s="531"/>
      <c r="AH275" s="531"/>
      <c r="AI275" s="531"/>
      <c r="AJ275" s="531"/>
      <c r="AK275" s="531"/>
      <c r="AL275" s="531"/>
      <c r="AO275" s="546"/>
      <c r="AP275" s="546"/>
      <c r="AQ275" s="546"/>
      <c r="AR275" s="546"/>
      <c r="AS275" s="546"/>
      <c r="AT275" s="546"/>
      <c r="AU275" s="546"/>
      <c r="AV275" s="546"/>
      <c r="AW275" s="546"/>
      <c r="AX275" s="546"/>
      <c r="AY275" s="546"/>
      <c r="AZ275" s="546"/>
      <c r="BA275" s="546"/>
      <c r="BB275" s="546"/>
      <c r="BC275" s="546"/>
      <c r="BF275" s="531" t="s">
        <v>37</v>
      </c>
    </row>
    <row r="276" spans="1:58" ht="15" customHeight="1">
      <c r="A276" s="531" t="s">
        <v>265</v>
      </c>
      <c r="B276" s="531" t="s">
        <v>266</v>
      </c>
      <c r="C276" s="530" t="s">
        <v>58</v>
      </c>
      <c r="D276" s="531" t="s">
        <v>122</v>
      </c>
      <c r="E276" s="531" t="s">
        <v>206</v>
      </c>
      <c r="F276" s="547" t="s">
        <v>168</v>
      </c>
      <c r="G276" s="548">
        <f>'RTEKTY Conv'!K213</f>
        <v>46.602739726027394</v>
      </c>
      <c r="H276" s="548">
        <f>'RTEKTY Conv'!I213</f>
        <v>18.777939749631958</v>
      </c>
      <c r="I276" s="548">
        <f>'RTEKTY Conv'!G213</f>
        <v>2.6351927288460373</v>
      </c>
      <c r="J276" s="531">
        <v>1</v>
      </c>
      <c r="K276" s="531">
        <v>1</v>
      </c>
      <c r="L276" s="531">
        <v>1</v>
      </c>
      <c r="M276" s="531">
        <v>1</v>
      </c>
      <c r="N276" s="531">
        <v>1</v>
      </c>
      <c r="O276" s="531">
        <v>1</v>
      </c>
      <c r="P276" s="531"/>
      <c r="Q276" s="531">
        <v>0.45</v>
      </c>
      <c r="R276" s="546"/>
      <c r="S276" s="546">
        <v>0</v>
      </c>
      <c r="T276" s="546">
        <v>0</v>
      </c>
      <c r="U276" s="546">
        <v>0</v>
      </c>
      <c r="V276" s="546">
        <v>0</v>
      </c>
      <c r="W276" s="546">
        <v>0</v>
      </c>
      <c r="X276" s="546">
        <v>0</v>
      </c>
      <c r="Y276" s="546">
        <v>0</v>
      </c>
      <c r="Z276" s="546">
        <v>0</v>
      </c>
      <c r="AA276" s="546">
        <v>0</v>
      </c>
      <c r="AD276" s="546"/>
      <c r="AE276" s="531"/>
      <c r="AF276" s="531"/>
      <c r="AG276" s="531"/>
      <c r="AH276" s="531"/>
      <c r="AI276" s="531"/>
      <c r="AJ276" s="531"/>
      <c r="AK276" s="531"/>
      <c r="AL276" s="531"/>
      <c r="AO276" s="546"/>
      <c r="AP276" s="549"/>
      <c r="AQ276" s="546"/>
      <c r="AR276" s="546"/>
      <c r="AS276" s="546"/>
      <c r="AT276" s="546"/>
      <c r="AU276" s="546"/>
      <c r="AV276" s="546"/>
      <c r="AW276" s="546"/>
      <c r="AX276" s="546"/>
      <c r="AY276" s="546"/>
      <c r="AZ276" s="546"/>
      <c r="BA276" s="546"/>
      <c r="BB276" s="546"/>
      <c r="BC276" s="546"/>
      <c r="BF276" s="531" t="s">
        <v>37</v>
      </c>
    </row>
    <row r="277" spans="1:58" ht="15" customHeight="1">
      <c r="A277" s="531" t="s">
        <v>267</v>
      </c>
      <c r="B277" s="531" t="s">
        <v>268</v>
      </c>
      <c r="C277" s="530" t="s">
        <v>58</v>
      </c>
      <c r="D277" s="531" t="s">
        <v>122</v>
      </c>
      <c r="E277" s="531" t="s">
        <v>206</v>
      </c>
      <c r="F277" s="547" t="s">
        <v>219</v>
      </c>
      <c r="G277" s="548">
        <f>'RTEKTY Conv'!K214</f>
        <v>68.493150684931507</v>
      </c>
      <c r="H277" s="548">
        <f>'RTEKTY Conv'!I214</f>
        <v>6.2259867998537697</v>
      </c>
      <c r="I277" s="548">
        <f>'RTEKTY Conv'!G214</f>
        <v>4.9786433023926335</v>
      </c>
      <c r="J277" s="531">
        <v>1</v>
      </c>
      <c r="K277" s="531">
        <v>1</v>
      </c>
      <c r="L277" s="531">
        <v>1</v>
      </c>
      <c r="M277" s="531">
        <v>1</v>
      </c>
      <c r="N277" s="531">
        <v>1</v>
      </c>
      <c r="O277" s="531">
        <v>1</v>
      </c>
      <c r="P277" s="531"/>
      <c r="Q277" s="531">
        <v>0.45</v>
      </c>
      <c r="R277" s="546"/>
      <c r="S277" s="546"/>
      <c r="T277" s="546"/>
      <c r="U277" s="546">
        <v>0</v>
      </c>
      <c r="V277" s="546">
        <v>0</v>
      </c>
      <c r="W277" s="546">
        <v>0</v>
      </c>
      <c r="X277" s="546">
        <v>0</v>
      </c>
      <c r="Y277" s="546">
        <v>0</v>
      </c>
      <c r="Z277" s="546">
        <v>0</v>
      </c>
      <c r="AA277" s="546">
        <v>0</v>
      </c>
      <c r="AD277" s="546"/>
      <c r="AE277" s="531"/>
      <c r="AF277" s="531"/>
      <c r="AG277" s="531"/>
      <c r="AH277" s="531"/>
      <c r="AI277" s="531"/>
      <c r="AJ277" s="531"/>
      <c r="AK277" s="531"/>
      <c r="AL277" s="531"/>
      <c r="AO277" s="546"/>
      <c r="AP277" s="546"/>
      <c r="AQ277" s="546"/>
      <c r="AR277" s="546"/>
      <c r="AS277" s="546"/>
      <c r="AT277" s="546"/>
      <c r="AU277" s="546"/>
      <c r="AV277" s="546"/>
      <c r="AW277" s="546"/>
      <c r="AX277" s="546"/>
      <c r="AY277" s="546"/>
      <c r="AZ277" s="546"/>
      <c r="BA277" s="546"/>
      <c r="BB277" s="546"/>
      <c r="BC277" s="546"/>
      <c r="BF277" s="531" t="s">
        <v>37</v>
      </c>
    </row>
    <row r="278" spans="1:58" ht="15" customHeight="1">
      <c r="A278" s="531" t="s">
        <v>269</v>
      </c>
      <c r="B278" s="531" t="s">
        <v>270</v>
      </c>
      <c r="C278" s="530" t="s">
        <v>58</v>
      </c>
      <c r="D278" s="531" t="s">
        <v>122</v>
      </c>
      <c r="E278" s="531" t="s">
        <v>206</v>
      </c>
      <c r="F278" s="547" t="s">
        <v>234</v>
      </c>
      <c r="G278" s="548">
        <f>'RTEKTY Conv'!K215</f>
        <v>68.493150684931507</v>
      </c>
      <c r="H278" s="548">
        <f>'RTEKTY Conv'!I215</f>
        <v>5.3352616810425744</v>
      </c>
      <c r="I278" s="548">
        <f>'RTEKTY Conv'!G215</f>
        <v>5.7079986906412357</v>
      </c>
      <c r="J278" s="531">
        <v>1</v>
      </c>
      <c r="K278" s="531">
        <v>1</v>
      </c>
      <c r="L278" s="531">
        <v>1</v>
      </c>
      <c r="M278" s="531">
        <v>1</v>
      </c>
      <c r="N278" s="531">
        <v>1</v>
      </c>
      <c r="O278" s="531">
        <v>1</v>
      </c>
      <c r="P278" s="531"/>
      <c r="Q278" s="531">
        <v>0.45</v>
      </c>
      <c r="R278" s="546"/>
      <c r="S278" s="546"/>
      <c r="T278" s="546"/>
      <c r="U278" s="546"/>
      <c r="V278" s="546">
        <v>0</v>
      </c>
      <c r="W278" s="546">
        <v>0</v>
      </c>
      <c r="X278" s="546">
        <v>0</v>
      </c>
      <c r="Y278" s="546">
        <v>0</v>
      </c>
      <c r="Z278" s="546">
        <v>0</v>
      </c>
      <c r="AA278" s="546">
        <v>0</v>
      </c>
      <c r="AD278" s="546"/>
      <c r="AE278" s="531"/>
      <c r="AF278" s="531"/>
      <c r="AG278" s="531"/>
      <c r="AH278" s="531"/>
      <c r="AI278" s="531"/>
      <c r="AJ278" s="531"/>
      <c r="AK278" s="531"/>
      <c r="AL278" s="531"/>
      <c r="AO278" s="549"/>
      <c r="AP278" s="549"/>
      <c r="AQ278" s="549"/>
      <c r="AR278" s="549"/>
      <c r="AS278" s="549"/>
      <c r="AT278" s="549"/>
      <c r="AU278" s="549"/>
      <c r="AV278" s="549"/>
      <c r="AW278" s="549"/>
      <c r="AX278" s="549"/>
      <c r="AY278" s="549"/>
      <c r="AZ278" s="549"/>
      <c r="BA278" s="549"/>
      <c r="BB278" s="549"/>
      <c r="BC278" s="549"/>
      <c r="BF278" s="531" t="s">
        <v>37</v>
      </c>
    </row>
    <row r="279" spans="1:58" ht="15" customHeight="1">
      <c r="A279" s="531" t="s">
        <v>271</v>
      </c>
      <c r="B279" s="531" t="s">
        <v>272</v>
      </c>
      <c r="C279" s="530" t="s">
        <v>58</v>
      </c>
      <c r="D279" s="531" t="s">
        <v>122</v>
      </c>
      <c r="E279" s="531" t="s">
        <v>206</v>
      </c>
      <c r="F279" s="547" t="s">
        <v>222</v>
      </c>
      <c r="G279" s="548">
        <f>'RTEKTY Conv'!K216</f>
        <v>68.493150684931507</v>
      </c>
      <c r="H279" s="548">
        <f>'RTEKTY Conv'!I216</f>
        <v>4.453625594055981</v>
      </c>
      <c r="I279" s="548">
        <f>'RTEKTY Conv'!G216</f>
        <v>6.4056429750529427</v>
      </c>
      <c r="J279" s="531">
        <v>1</v>
      </c>
      <c r="K279" s="531">
        <v>1</v>
      </c>
      <c r="L279" s="531">
        <v>1</v>
      </c>
      <c r="M279" s="531">
        <v>1</v>
      </c>
      <c r="N279" s="531">
        <v>1</v>
      </c>
      <c r="O279" s="531">
        <v>1</v>
      </c>
      <c r="P279" s="531"/>
      <c r="Q279" s="531">
        <v>0.45</v>
      </c>
      <c r="R279" s="546"/>
      <c r="S279" s="546"/>
      <c r="T279" s="546"/>
      <c r="U279" s="546"/>
      <c r="V279" s="546"/>
      <c r="W279" s="546"/>
      <c r="X279" s="546">
        <v>0</v>
      </c>
      <c r="Y279" s="546">
        <v>0</v>
      </c>
      <c r="Z279" s="546">
        <v>0</v>
      </c>
      <c r="AA279" s="546">
        <v>0</v>
      </c>
      <c r="AD279" s="546"/>
      <c r="AE279" s="531"/>
      <c r="AF279" s="531"/>
      <c r="AG279" s="531"/>
      <c r="AH279" s="531"/>
      <c r="AI279" s="531"/>
      <c r="AJ279" s="531"/>
      <c r="AK279" s="531"/>
      <c r="AL279" s="531"/>
      <c r="AO279" s="552"/>
      <c r="AP279" s="552"/>
      <c r="AQ279" s="552"/>
      <c r="AR279" s="552"/>
      <c r="AS279" s="552"/>
      <c r="AT279" s="552"/>
      <c r="AU279" s="552"/>
      <c r="AV279" s="552"/>
      <c r="AW279" s="552"/>
      <c r="AX279" s="552"/>
      <c r="AY279" s="552"/>
      <c r="AZ279" s="552"/>
      <c r="BA279" s="552"/>
      <c r="BB279" s="552"/>
      <c r="BC279" s="552"/>
      <c r="BF279" s="531" t="s">
        <v>37</v>
      </c>
    </row>
    <row r="280" spans="1:58" ht="15" customHeight="1">
      <c r="A280" s="531" t="s">
        <v>162</v>
      </c>
      <c r="B280" s="531"/>
      <c r="C280" s="530"/>
      <c r="D280" s="531"/>
      <c r="E280" s="531"/>
      <c r="F280" s="547"/>
      <c r="G280" s="548"/>
      <c r="H280" s="548"/>
      <c r="I280" s="548"/>
      <c r="J280" s="531"/>
      <c r="K280" s="531"/>
      <c r="L280" s="531" t="s">
        <v>127</v>
      </c>
      <c r="M280" s="531" t="s">
        <v>127</v>
      </c>
      <c r="N280" s="531" t="s">
        <v>127</v>
      </c>
      <c r="O280" s="531" t="s">
        <v>127</v>
      </c>
      <c r="P280" s="531"/>
      <c r="Q280" s="531"/>
      <c r="R280" s="546"/>
      <c r="S280" s="546"/>
      <c r="T280" s="546"/>
      <c r="U280" s="546"/>
      <c r="V280" s="546"/>
      <c r="W280" s="546"/>
      <c r="X280" s="546"/>
      <c r="Y280" s="546"/>
      <c r="Z280" s="546"/>
      <c r="AA280" s="546"/>
      <c r="AD280" s="546"/>
      <c r="AE280" s="531"/>
      <c r="AF280" s="531"/>
      <c r="AG280" s="531"/>
      <c r="AH280" s="531"/>
      <c r="AI280" s="531"/>
      <c r="AJ280" s="531"/>
      <c r="AK280" s="531"/>
      <c r="AL280" s="531"/>
      <c r="AO280" s="552"/>
      <c r="AP280" s="552"/>
      <c r="AQ280" s="552"/>
      <c r="AR280" s="552"/>
      <c r="AS280" s="552"/>
      <c r="AT280" s="552"/>
      <c r="AU280" s="552"/>
      <c r="AV280" s="552"/>
      <c r="AW280" s="552"/>
      <c r="AX280" s="552"/>
      <c r="AY280" s="552"/>
      <c r="AZ280" s="552"/>
      <c r="BA280" s="552"/>
      <c r="BB280" s="552"/>
      <c r="BC280" s="552"/>
      <c r="BF280" s="531" t="s">
        <v>162</v>
      </c>
    </row>
    <row r="281" spans="1:58" ht="15" customHeight="1">
      <c r="A281" s="531" t="s">
        <v>273</v>
      </c>
      <c r="B281" s="531" t="s">
        <v>274</v>
      </c>
      <c r="C281" s="530" t="s">
        <v>58</v>
      </c>
      <c r="D281" s="531" t="s">
        <v>122</v>
      </c>
      <c r="E281" s="531" t="s">
        <v>206</v>
      </c>
      <c r="F281" s="547">
        <v>2011</v>
      </c>
      <c r="G281" s="548">
        <f>'RTEKTY Conv'!K219</f>
        <v>32.876712328767127</v>
      </c>
      <c r="H281" s="548">
        <f>'RTEKTY Conv'!I220</f>
        <v>5.2625494264457418</v>
      </c>
      <c r="I281" s="548">
        <f>'RTEKTY Conv'!G220</f>
        <v>2.0009706521081223</v>
      </c>
      <c r="J281" s="531">
        <v>1</v>
      </c>
      <c r="K281" s="531">
        <v>1</v>
      </c>
      <c r="L281" s="531">
        <v>1</v>
      </c>
      <c r="M281" s="531">
        <v>1</v>
      </c>
      <c r="N281" s="531">
        <v>1</v>
      </c>
      <c r="O281" s="531">
        <v>1</v>
      </c>
      <c r="P281" s="531"/>
      <c r="Q281" s="531">
        <v>0.18</v>
      </c>
      <c r="R281" s="546"/>
      <c r="S281" s="546"/>
      <c r="T281" s="546"/>
      <c r="U281" s="546"/>
      <c r="V281" s="546">
        <v>0</v>
      </c>
      <c r="W281" s="546">
        <v>0</v>
      </c>
      <c r="X281" s="546">
        <v>0</v>
      </c>
      <c r="Y281" s="546">
        <v>0</v>
      </c>
      <c r="Z281" s="546">
        <v>0</v>
      </c>
      <c r="AA281" s="546">
        <v>0</v>
      </c>
      <c r="AD281" s="546"/>
      <c r="AE281" s="531"/>
      <c r="AF281" s="531"/>
      <c r="AG281" s="531"/>
      <c r="AH281" s="531"/>
      <c r="AI281" s="531"/>
      <c r="AJ281" s="531"/>
      <c r="AK281" s="531"/>
      <c r="AL281" s="531"/>
      <c r="AO281" s="549"/>
      <c r="AP281" s="549"/>
      <c r="AQ281" s="549"/>
      <c r="AR281" s="549"/>
      <c r="AS281" s="549"/>
      <c r="AT281" s="549"/>
      <c r="AU281" s="549"/>
      <c r="AV281" s="549"/>
      <c r="AW281" s="549"/>
      <c r="AX281" s="549"/>
      <c r="AY281" s="549"/>
      <c r="AZ281" s="549"/>
      <c r="BA281" s="549"/>
      <c r="BB281" s="549"/>
      <c r="BC281" s="549"/>
      <c r="BF281" s="531" t="s">
        <v>37</v>
      </c>
    </row>
    <row r="282" spans="1:58" ht="15" customHeight="1">
      <c r="A282" s="531" t="s">
        <v>275</v>
      </c>
      <c r="B282" s="531" t="s">
        <v>276</v>
      </c>
      <c r="C282" s="530" t="s">
        <v>58</v>
      </c>
      <c r="D282" s="531" t="s">
        <v>122</v>
      </c>
      <c r="E282" s="531" t="s">
        <v>206</v>
      </c>
      <c r="F282" s="547" t="s">
        <v>165</v>
      </c>
      <c r="G282" s="548">
        <f>'RTEKTY Conv'!K220</f>
        <v>32.876712328767127</v>
      </c>
      <c r="H282" s="548">
        <f>'RTEKTY Conv'!I220</f>
        <v>5.2625494264457418</v>
      </c>
      <c r="I282" s="548">
        <f>'RTEKTY Conv'!G220</f>
        <v>2.0009706521081223</v>
      </c>
      <c r="J282" s="531">
        <v>1</v>
      </c>
      <c r="K282" s="531">
        <v>1</v>
      </c>
      <c r="L282" s="531">
        <v>1</v>
      </c>
      <c r="M282" s="531">
        <v>1</v>
      </c>
      <c r="N282" s="531">
        <v>1</v>
      </c>
      <c r="O282" s="531">
        <v>1</v>
      </c>
      <c r="P282" s="531"/>
      <c r="Q282" s="531">
        <v>0.18</v>
      </c>
      <c r="R282" s="546"/>
      <c r="S282" s="546"/>
      <c r="T282" s="546">
        <v>0</v>
      </c>
      <c r="U282" s="546">
        <v>0</v>
      </c>
      <c r="V282" s="546">
        <v>0</v>
      </c>
      <c r="W282" s="546">
        <v>0</v>
      </c>
      <c r="X282" s="546">
        <v>0</v>
      </c>
      <c r="Y282" s="546">
        <v>0</v>
      </c>
      <c r="Z282" s="546">
        <v>0</v>
      </c>
      <c r="AA282" s="546">
        <v>0</v>
      </c>
      <c r="AD282" s="546"/>
      <c r="AE282" s="531"/>
      <c r="AF282" s="531"/>
      <c r="AG282" s="531"/>
      <c r="AH282" s="531"/>
      <c r="AI282" s="531"/>
      <c r="AJ282" s="531"/>
      <c r="AK282" s="531"/>
      <c r="AL282" s="531"/>
      <c r="AO282" s="549" t="e">
        <f>Resid!V120</f>
        <v>#REF!</v>
      </c>
      <c r="AP282" s="549" t="e">
        <f>Resid!W120</f>
        <v>#REF!</v>
      </c>
      <c r="AQ282" s="549" t="e">
        <f>Resid!X120</f>
        <v>#REF!</v>
      </c>
      <c r="AR282" s="549" t="e">
        <f>Resid!Y120</f>
        <v>#REF!</v>
      </c>
      <c r="AS282" s="549" t="e">
        <f>Resid!Z120</f>
        <v>#REF!</v>
      </c>
      <c r="AT282" s="549"/>
      <c r="AU282" s="549"/>
      <c r="AV282" s="549"/>
      <c r="AW282" s="549"/>
      <c r="AX282" s="549"/>
      <c r="AY282" s="549"/>
      <c r="AZ282" s="549"/>
      <c r="BA282" s="549"/>
      <c r="BB282" s="549"/>
      <c r="BC282" s="549"/>
      <c r="BF282" s="531" t="s">
        <v>37</v>
      </c>
    </row>
    <row r="283" spans="1:58" ht="15" customHeight="1">
      <c r="A283" s="531" t="s">
        <v>277</v>
      </c>
      <c r="B283" s="531" t="s">
        <v>278</v>
      </c>
      <c r="C283" s="530" t="s">
        <v>58</v>
      </c>
      <c r="D283" s="531" t="s">
        <v>122</v>
      </c>
      <c r="E283" s="531" t="s">
        <v>206</v>
      </c>
      <c r="F283" s="547" t="s">
        <v>165</v>
      </c>
      <c r="G283" s="548">
        <f>'RTEKTY Conv'!K221</f>
        <v>32.876712328767127</v>
      </c>
      <c r="H283" s="548">
        <f>'RTEKTY Conv'!I221</f>
        <v>2.3722373062216562</v>
      </c>
      <c r="I283" s="548">
        <f>'RTEKTY Conv'!G221</f>
        <v>2.3402794631629069</v>
      </c>
      <c r="J283" s="531">
        <v>1</v>
      </c>
      <c r="K283" s="531">
        <v>1</v>
      </c>
      <c r="L283" s="531">
        <v>1</v>
      </c>
      <c r="M283" s="531">
        <v>1</v>
      </c>
      <c r="N283" s="531">
        <v>1</v>
      </c>
      <c r="O283" s="531">
        <v>1</v>
      </c>
      <c r="P283" s="531"/>
      <c r="Q283" s="531">
        <v>0.18</v>
      </c>
      <c r="R283" s="546"/>
      <c r="S283" s="546"/>
      <c r="T283" s="546"/>
      <c r="U283" s="546"/>
      <c r="V283" s="546">
        <v>0</v>
      </c>
      <c r="W283" s="546">
        <v>0</v>
      </c>
      <c r="X283" s="546">
        <v>0</v>
      </c>
      <c r="Y283" s="546">
        <v>0</v>
      </c>
      <c r="Z283" s="546">
        <v>0</v>
      </c>
      <c r="AA283" s="546">
        <v>0</v>
      </c>
      <c r="AD283" s="546"/>
      <c r="AE283" s="531"/>
      <c r="AF283" s="531"/>
      <c r="AG283" s="531"/>
      <c r="AH283" s="531"/>
      <c r="AI283" s="531"/>
      <c r="AJ283" s="531"/>
      <c r="AK283" s="531"/>
      <c r="AL283" s="531"/>
      <c r="AO283" s="546"/>
      <c r="AP283" s="546"/>
      <c r="AQ283" s="546"/>
      <c r="AR283" s="546"/>
      <c r="AS283" s="546"/>
      <c r="AT283" s="546"/>
      <c r="AU283" s="546"/>
      <c r="AV283" s="546"/>
      <c r="AW283" s="546"/>
      <c r="AX283" s="546"/>
      <c r="AY283" s="546"/>
      <c r="AZ283" s="546"/>
      <c r="BA283" s="546"/>
      <c r="BB283" s="546"/>
      <c r="BC283" s="546"/>
      <c r="BF283" s="531" t="s">
        <v>37</v>
      </c>
    </row>
    <row r="284" spans="1:58" ht="15" customHeight="1">
      <c r="A284" s="531" t="s">
        <v>279</v>
      </c>
      <c r="B284" s="531" t="s">
        <v>280</v>
      </c>
      <c r="C284" s="530" t="s">
        <v>58</v>
      </c>
      <c r="D284" s="531" t="s">
        <v>122</v>
      </c>
      <c r="E284" s="531" t="s">
        <v>206</v>
      </c>
      <c r="F284" s="547" t="s">
        <v>222</v>
      </c>
      <c r="G284" s="548">
        <f>'RTEKTY Conv'!K222</f>
        <v>35.61643835616438</v>
      </c>
      <c r="H284" s="548">
        <f>'RTEKTY Conv'!I222</f>
        <v>2.4085934335200716</v>
      </c>
      <c r="I284" s="548">
        <f>'RTEKTY Conv'!G222</f>
        <v>2.4639527681268003</v>
      </c>
      <c r="J284" s="531">
        <v>1</v>
      </c>
      <c r="K284" s="531">
        <v>1</v>
      </c>
      <c r="L284" s="531">
        <v>1</v>
      </c>
      <c r="M284" s="531">
        <v>1</v>
      </c>
      <c r="N284" s="531">
        <v>1</v>
      </c>
      <c r="O284" s="531">
        <v>1</v>
      </c>
      <c r="P284" s="531"/>
      <c r="Q284" s="531">
        <v>0.18</v>
      </c>
      <c r="R284" s="553"/>
      <c r="S284" s="546"/>
      <c r="T284" s="546"/>
      <c r="U284" s="546"/>
      <c r="V284" s="546"/>
      <c r="W284" s="546"/>
      <c r="X284" s="546"/>
      <c r="Y284" s="546"/>
      <c r="Z284" s="546"/>
      <c r="AA284" s="546"/>
      <c r="AD284" s="546"/>
      <c r="AE284" s="531"/>
      <c r="AF284" s="531"/>
      <c r="AG284" s="531"/>
      <c r="AH284" s="531"/>
      <c r="AI284" s="531"/>
      <c r="AJ284" s="531"/>
      <c r="AK284" s="531"/>
      <c r="AL284" s="531"/>
      <c r="AO284" s="546"/>
      <c r="AP284" s="546"/>
      <c r="AQ284" s="546"/>
      <c r="AR284" s="546"/>
      <c r="AS284" s="546"/>
      <c r="AT284" s="546"/>
      <c r="AU284" s="546"/>
      <c r="AV284" s="546"/>
      <c r="AW284" s="546"/>
      <c r="AX284" s="546"/>
      <c r="AY284" s="546"/>
      <c r="AZ284" s="546"/>
      <c r="BA284" s="546"/>
      <c r="BB284" s="546"/>
      <c r="BC284" s="546"/>
      <c r="BF284" s="531" t="s">
        <v>37</v>
      </c>
    </row>
    <row r="285" spans="1:58" ht="15" customHeight="1">
      <c r="A285" s="531" t="s">
        <v>281</v>
      </c>
      <c r="B285" s="531" t="s">
        <v>282</v>
      </c>
      <c r="C285" s="530" t="s">
        <v>58</v>
      </c>
      <c r="D285" s="531" t="s">
        <v>122</v>
      </c>
      <c r="E285" s="531" t="s">
        <v>206</v>
      </c>
      <c r="F285" s="547" t="s">
        <v>165</v>
      </c>
      <c r="G285" s="548">
        <f>'RTEKTY Conv'!K223</f>
        <v>68.493150684931507</v>
      </c>
      <c r="H285" s="548">
        <f>'RTEKTY Conv'!I223</f>
        <v>89.981415063580044</v>
      </c>
      <c r="I285" s="548">
        <f>'RTEKTY Conv'!G223</f>
        <v>1.5855551918447879</v>
      </c>
      <c r="J285" s="531">
        <v>1</v>
      </c>
      <c r="K285" s="531">
        <v>1</v>
      </c>
      <c r="L285" s="531">
        <v>1</v>
      </c>
      <c r="M285" s="531">
        <v>1</v>
      </c>
      <c r="N285" s="531">
        <v>1</v>
      </c>
      <c r="O285" s="531">
        <v>1</v>
      </c>
      <c r="P285" s="531"/>
      <c r="Q285" s="531">
        <v>0.45</v>
      </c>
      <c r="R285" s="553"/>
      <c r="S285" s="546">
        <v>0</v>
      </c>
      <c r="T285" s="546">
        <v>0</v>
      </c>
      <c r="U285" s="546">
        <v>0</v>
      </c>
      <c r="V285" s="546">
        <v>0</v>
      </c>
      <c r="W285" s="546">
        <v>0</v>
      </c>
      <c r="X285" s="546">
        <v>0</v>
      </c>
      <c r="Y285" s="546">
        <v>0</v>
      </c>
      <c r="Z285" s="546">
        <v>0</v>
      </c>
      <c r="AA285" s="546">
        <v>0</v>
      </c>
      <c r="AD285" s="546"/>
      <c r="AE285" s="531"/>
      <c r="AF285" s="531"/>
      <c r="AG285" s="531"/>
      <c r="AH285" s="531"/>
      <c r="AI285" s="531"/>
      <c r="AJ285" s="531"/>
      <c r="AK285" s="531"/>
      <c r="AL285" s="531"/>
      <c r="AO285" s="549"/>
      <c r="AP285" s="549"/>
      <c r="AQ285" s="549"/>
      <c r="AR285" s="549"/>
      <c r="AS285" s="549"/>
      <c r="AT285" s="549"/>
      <c r="AU285" s="549"/>
      <c r="AV285" s="549"/>
      <c r="AW285" s="549"/>
      <c r="AX285" s="549"/>
      <c r="AY285" s="549"/>
      <c r="AZ285" s="549"/>
      <c r="BA285" s="549"/>
      <c r="BB285" s="549"/>
      <c r="BC285" s="549"/>
      <c r="BF285" s="531" t="s">
        <v>37</v>
      </c>
    </row>
    <row r="286" spans="1:58" ht="15" customHeight="1">
      <c r="A286" s="531" t="s">
        <v>283</v>
      </c>
      <c r="B286" s="531" t="s">
        <v>284</v>
      </c>
      <c r="C286" s="530" t="s">
        <v>58</v>
      </c>
      <c r="D286" s="531" t="s">
        <v>122</v>
      </c>
      <c r="E286" s="531" t="s">
        <v>206</v>
      </c>
      <c r="F286" s="547" t="s">
        <v>168</v>
      </c>
      <c r="G286" s="548">
        <f>'RTEKTY Conv'!K224</f>
        <v>68.493150684931507</v>
      </c>
      <c r="H286" s="548">
        <f>'RTEKTY Conv'!I224</f>
        <v>54.534190947624268</v>
      </c>
      <c r="I286" s="548">
        <f>'RTEKTY Conv'!G224</f>
        <v>3.3930881105478461</v>
      </c>
      <c r="J286" s="531">
        <v>1</v>
      </c>
      <c r="K286" s="531">
        <v>1</v>
      </c>
      <c r="L286" s="531">
        <v>1</v>
      </c>
      <c r="M286" s="531">
        <v>1</v>
      </c>
      <c r="N286" s="531">
        <v>1</v>
      </c>
      <c r="O286" s="531">
        <v>1</v>
      </c>
      <c r="P286" s="531"/>
      <c r="Q286" s="531">
        <v>0.45</v>
      </c>
      <c r="R286" s="553"/>
      <c r="S286" s="546">
        <v>0</v>
      </c>
      <c r="T286" s="546">
        <v>0</v>
      </c>
      <c r="U286" s="546">
        <v>0</v>
      </c>
      <c r="V286" s="546">
        <v>0</v>
      </c>
      <c r="W286" s="546">
        <v>0</v>
      </c>
      <c r="X286" s="546">
        <v>0</v>
      </c>
      <c r="Y286" s="546">
        <v>0</v>
      </c>
      <c r="Z286" s="546">
        <v>0</v>
      </c>
      <c r="AA286" s="546">
        <v>0</v>
      </c>
      <c r="AD286" s="546"/>
      <c r="AE286" s="531"/>
      <c r="AF286" s="531"/>
      <c r="AG286" s="531"/>
      <c r="AH286" s="531"/>
      <c r="AI286" s="531"/>
      <c r="AJ286" s="531"/>
      <c r="AK286" s="531"/>
      <c r="AL286" s="531"/>
      <c r="AO286" s="550"/>
      <c r="AP286" s="550"/>
      <c r="AQ286" s="550"/>
      <c r="AR286" s="550"/>
      <c r="AS286" s="550"/>
      <c r="AT286" s="550"/>
      <c r="AU286" s="550"/>
      <c r="AV286" s="550"/>
      <c r="AW286" s="550"/>
      <c r="AX286" s="550"/>
      <c r="AY286" s="550"/>
      <c r="AZ286" s="550"/>
      <c r="BA286" s="550"/>
      <c r="BB286" s="550"/>
      <c r="BC286" s="550"/>
      <c r="BF286" s="531" t="s">
        <v>37</v>
      </c>
    </row>
    <row r="287" spans="1:58" ht="15" customHeight="1">
      <c r="A287" s="531" t="s">
        <v>285</v>
      </c>
      <c r="B287" s="531" t="s">
        <v>286</v>
      </c>
      <c r="C287" s="530" t="s">
        <v>58</v>
      </c>
      <c r="D287" s="531" t="s">
        <v>122</v>
      </c>
      <c r="E287" s="531" t="s">
        <v>206</v>
      </c>
      <c r="F287" s="547" t="s">
        <v>219</v>
      </c>
      <c r="G287" s="548">
        <f>'RTEKTY Conv'!K225</f>
        <v>68.493150684931507</v>
      </c>
      <c r="H287" s="548">
        <f>'RTEKTY Conv'!I225</f>
        <v>13.633547736906067</v>
      </c>
      <c r="I287" s="548">
        <f>'RTEKTY Conv'!G225</f>
        <v>4.9786433023926335</v>
      </c>
      <c r="J287" s="531">
        <v>1</v>
      </c>
      <c r="K287" s="531">
        <v>1</v>
      </c>
      <c r="L287" s="531">
        <v>1</v>
      </c>
      <c r="M287" s="531">
        <v>1</v>
      </c>
      <c r="N287" s="531">
        <v>1</v>
      </c>
      <c r="O287" s="531">
        <v>1</v>
      </c>
      <c r="P287" s="531"/>
      <c r="Q287" s="531">
        <v>0.45</v>
      </c>
      <c r="R287" s="546"/>
      <c r="S287" s="546"/>
      <c r="T287" s="546"/>
      <c r="U287" s="546"/>
      <c r="V287" s="546">
        <v>0</v>
      </c>
      <c r="W287" s="546">
        <v>0</v>
      </c>
      <c r="X287" s="546">
        <v>0</v>
      </c>
      <c r="Y287" s="546">
        <v>0</v>
      </c>
      <c r="Z287" s="546">
        <v>0</v>
      </c>
      <c r="AA287" s="546">
        <v>0</v>
      </c>
      <c r="AD287" s="546"/>
      <c r="AE287" s="531"/>
      <c r="AF287" s="531"/>
      <c r="AG287" s="531"/>
      <c r="AH287" s="531"/>
      <c r="AI287" s="531"/>
      <c r="AJ287" s="531"/>
      <c r="AK287" s="531"/>
      <c r="AL287" s="531"/>
      <c r="AO287" s="546"/>
      <c r="AP287" s="546"/>
      <c r="AQ287" s="546"/>
      <c r="AR287" s="546"/>
      <c r="AS287" s="546"/>
      <c r="AT287" s="546"/>
      <c r="AU287" s="546"/>
      <c r="AV287" s="546"/>
      <c r="AW287" s="546"/>
      <c r="AX287" s="546"/>
      <c r="AY287" s="546"/>
      <c r="AZ287" s="546"/>
      <c r="BA287" s="546"/>
      <c r="BB287" s="546"/>
      <c r="BC287" s="546"/>
      <c r="BF287" s="531" t="s">
        <v>37</v>
      </c>
    </row>
    <row r="288" spans="1:58" ht="15" customHeight="1">
      <c r="A288" s="531" t="s">
        <v>287</v>
      </c>
      <c r="B288" s="531" t="s">
        <v>288</v>
      </c>
      <c r="C288" s="530" t="s">
        <v>58</v>
      </c>
      <c r="D288" s="531" t="s">
        <v>122</v>
      </c>
      <c r="E288" s="531" t="s">
        <v>206</v>
      </c>
      <c r="F288" s="547" t="s">
        <v>222</v>
      </c>
      <c r="G288" s="548">
        <f>'RTEKTY Conv'!K226</f>
        <v>68.493150684931507</v>
      </c>
      <c r="H288" s="548">
        <f>'RTEKTY Conv'!I226</f>
        <v>10.906838189524851</v>
      </c>
      <c r="I288" s="548">
        <f>'RTEKTY Conv'!G226</f>
        <v>4.9786433023926335</v>
      </c>
      <c r="J288" s="531">
        <v>1</v>
      </c>
      <c r="K288" s="531">
        <v>1</v>
      </c>
      <c r="L288" s="531">
        <v>1</v>
      </c>
      <c r="M288" s="531">
        <v>1</v>
      </c>
      <c r="N288" s="531">
        <v>1</v>
      </c>
      <c r="O288" s="531">
        <v>1</v>
      </c>
      <c r="P288" s="531"/>
      <c r="Q288" s="531">
        <v>0.45</v>
      </c>
      <c r="R288" s="546"/>
      <c r="S288" s="546"/>
      <c r="T288" s="546"/>
      <c r="U288" s="546"/>
      <c r="V288" s="546"/>
      <c r="W288" s="546"/>
      <c r="X288" s="546"/>
      <c r="Y288" s="546"/>
      <c r="Z288" s="546"/>
      <c r="AA288" s="546"/>
      <c r="AD288" s="546"/>
      <c r="AE288" s="531"/>
      <c r="AF288" s="531"/>
      <c r="AG288" s="531"/>
      <c r="AH288" s="531"/>
      <c r="AI288" s="531"/>
      <c r="AJ288" s="531"/>
      <c r="AK288" s="531"/>
      <c r="AL288" s="531"/>
      <c r="AO288" s="546"/>
      <c r="AP288" s="546"/>
      <c r="AQ288" s="546"/>
      <c r="AR288" s="546"/>
      <c r="AS288" s="546"/>
      <c r="AT288" s="546"/>
      <c r="AU288" s="546"/>
      <c r="AV288" s="546"/>
      <c r="AW288" s="546"/>
      <c r="AX288" s="546"/>
      <c r="AY288" s="546"/>
      <c r="AZ288" s="546"/>
      <c r="BA288" s="546"/>
      <c r="BB288" s="546"/>
      <c r="BC288" s="546"/>
      <c r="BF288" s="531" t="s">
        <v>37</v>
      </c>
    </row>
    <row r="289" spans="1:58" ht="15" customHeight="1">
      <c r="A289" s="531" t="s">
        <v>162</v>
      </c>
      <c r="B289" s="531"/>
      <c r="C289" s="530"/>
      <c r="D289" s="531"/>
      <c r="E289" s="531"/>
      <c r="F289" s="547"/>
      <c r="G289" s="548"/>
      <c r="H289" s="548"/>
      <c r="I289" s="548"/>
      <c r="J289" s="531"/>
      <c r="K289" s="531"/>
      <c r="L289" s="531" t="s">
        <v>127</v>
      </c>
      <c r="M289" s="531" t="s">
        <v>127</v>
      </c>
      <c r="N289" s="531" t="s">
        <v>127</v>
      </c>
      <c r="O289" s="531" t="s">
        <v>127</v>
      </c>
      <c r="P289" s="531"/>
      <c r="Q289" s="531"/>
      <c r="R289" s="546"/>
      <c r="S289" s="546"/>
      <c r="T289" s="546"/>
      <c r="U289" s="546"/>
      <c r="V289" s="546"/>
      <c r="W289" s="546"/>
      <c r="X289" s="546"/>
      <c r="Y289" s="546"/>
      <c r="Z289" s="546"/>
      <c r="AA289" s="546"/>
      <c r="AD289" s="546"/>
      <c r="AE289" s="531"/>
      <c r="AF289" s="531"/>
      <c r="AG289" s="531"/>
      <c r="AH289" s="531"/>
      <c r="AI289" s="531"/>
      <c r="AJ289" s="531"/>
      <c r="AK289" s="531"/>
      <c r="AL289" s="531"/>
      <c r="AO289" s="546"/>
      <c r="AP289" s="546"/>
      <c r="AQ289" s="546"/>
      <c r="AR289" s="546"/>
      <c r="AS289" s="546"/>
      <c r="AT289" s="546"/>
      <c r="AU289" s="546"/>
      <c r="AV289" s="546"/>
      <c r="AW289" s="546"/>
      <c r="AX289" s="546"/>
      <c r="AY289" s="546"/>
      <c r="AZ289" s="546"/>
      <c r="BA289" s="546"/>
      <c r="BB289" s="546"/>
      <c r="BC289" s="546"/>
      <c r="BF289" s="531" t="s">
        <v>162</v>
      </c>
    </row>
    <row r="290" spans="1:58" ht="15" customHeight="1">
      <c r="A290" s="531" t="s">
        <v>289</v>
      </c>
      <c r="B290" s="531" t="s">
        <v>290</v>
      </c>
      <c r="C290" s="530" t="s">
        <v>58</v>
      </c>
      <c r="D290" s="531" t="s">
        <v>122</v>
      </c>
      <c r="E290" s="531" t="s">
        <v>206</v>
      </c>
      <c r="F290" s="547">
        <v>2011</v>
      </c>
      <c r="G290" s="548">
        <f>'RTEKTY Conv'!G229</f>
        <v>1.3102451539881022</v>
      </c>
      <c r="H290" s="548">
        <f>'RTEKTY Conv'!I229</f>
        <v>0</v>
      </c>
      <c r="I290" s="548">
        <f>'RTEKTY Conv'!G229</f>
        <v>1.3102451539881022</v>
      </c>
      <c r="J290" s="531">
        <v>1</v>
      </c>
      <c r="K290" s="531">
        <v>1</v>
      </c>
      <c r="L290" s="531">
        <v>1</v>
      </c>
      <c r="M290" s="531">
        <v>1</v>
      </c>
      <c r="N290" s="531">
        <v>1</v>
      </c>
      <c r="O290" s="531">
        <v>1</v>
      </c>
      <c r="P290" s="531"/>
      <c r="Q290" s="531">
        <v>0.18</v>
      </c>
      <c r="R290" s="546"/>
      <c r="S290" s="546"/>
      <c r="T290" s="546">
        <v>0</v>
      </c>
      <c r="U290" s="546">
        <v>0</v>
      </c>
      <c r="V290" s="546">
        <v>0</v>
      </c>
      <c r="W290" s="546">
        <v>0</v>
      </c>
      <c r="X290" s="546">
        <v>0</v>
      </c>
      <c r="Y290" s="546">
        <v>0</v>
      </c>
      <c r="Z290" s="546">
        <v>0</v>
      </c>
      <c r="AA290" s="546">
        <v>0</v>
      </c>
      <c r="AD290" s="546"/>
      <c r="AE290" s="531"/>
      <c r="AF290" s="531"/>
      <c r="AG290" s="531"/>
      <c r="AH290" s="531"/>
      <c r="AI290" s="531"/>
      <c r="AJ290" s="531"/>
      <c r="AK290" s="531"/>
      <c r="AL290" s="531"/>
      <c r="AO290" s="549" t="e">
        <f>Resid!V121</f>
        <v>#REF!</v>
      </c>
      <c r="AP290" s="549" t="e">
        <f>Resid!W121</f>
        <v>#REF!</v>
      </c>
      <c r="AQ290" s="549" t="e">
        <f>Resid!X121</f>
        <v>#REF!</v>
      </c>
      <c r="AR290" s="549" t="e">
        <f>Resid!Y121</f>
        <v>#REF!</v>
      </c>
      <c r="AS290" s="549" t="e">
        <f>Resid!Z121</f>
        <v>#REF!</v>
      </c>
      <c r="AT290" s="549"/>
      <c r="AU290" s="549"/>
      <c r="AV290" s="549"/>
      <c r="AW290" s="549"/>
      <c r="AX290" s="549"/>
      <c r="AY290" s="549"/>
      <c r="AZ290" s="549"/>
      <c r="BA290" s="549"/>
      <c r="BB290" s="549"/>
      <c r="BC290" s="549"/>
      <c r="BF290" s="531" t="s">
        <v>37</v>
      </c>
    </row>
    <row r="291" spans="1:58" ht="15" customHeight="1">
      <c r="A291" s="531" t="s">
        <v>291</v>
      </c>
      <c r="B291" s="531" t="s">
        <v>292</v>
      </c>
      <c r="C291" s="530" t="s">
        <v>58</v>
      </c>
      <c r="D291" s="531" t="s">
        <v>122</v>
      </c>
      <c r="E291" s="531" t="s">
        <v>206</v>
      </c>
      <c r="F291" s="547" t="s">
        <v>165</v>
      </c>
      <c r="G291" s="548">
        <f>'RTEKTY Conv'!K231</f>
        <v>2.1465753424657534</v>
      </c>
      <c r="H291" s="548">
        <f>'RTEKTY Conv'!I231</f>
        <v>2.9175792156978977</v>
      </c>
      <c r="I291" s="548">
        <f>'RTEKTY Conv'!G231</f>
        <v>0.38909524407871099</v>
      </c>
      <c r="J291" s="531">
        <v>1</v>
      </c>
      <c r="K291" s="531">
        <v>1</v>
      </c>
      <c r="L291" s="531">
        <v>1</v>
      </c>
      <c r="M291" s="531">
        <v>1</v>
      </c>
      <c r="N291" s="531">
        <v>1</v>
      </c>
      <c r="O291" s="531">
        <v>1</v>
      </c>
      <c r="P291" s="531"/>
      <c r="Q291" s="531">
        <v>0.18</v>
      </c>
      <c r="R291" s="546"/>
      <c r="S291" s="546">
        <v>0</v>
      </c>
      <c r="T291" s="546">
        <v>0</v>
      </c>
      <c r="U291" s="546">
        <v>0</v>
      </c>
      <c r="V291" s="546">
        <v>0</v>
      </c>
      <c r="W291" s="546">
        <v>0</v>
      </c>
      <c r="X291" s="546">
        <v>0</v>
      </c>
      <c r="Y291" s="546">
        <v>0</v>
      </c>
      <c r="Z291" s="546">
        <v>0</v>
      </c>
      <c r="AA291" s="546">
        <v>0</v>
      </c>
      <c r="AD291" s="546"/>
      <c r="AE291" s="531"/>
      <c r="AF291" s="531"/>
      <c r="AG291" s="531"/>
      <c r="AH291" s="531"/>
      <c r="AI291" s="531"/>
      <c r="AJ291" s="531"/>
      <c r="AK291" s="531"/>
      <c r="AL291" s="531"/>
      <c r="AO291" s="549"/>
      <c r="AP291" s="549"/>
      <c r="AQ291" s="549"/>
      <c r="AR291" s="549"/>
      <c r="AS291" s="549"/>
      <c r="AT291" s="549"/>
      <c r="AU291" s="549"/>
      <c r="AV291" s="549"/>
      <c r="AW291" s="549"/>
      <c r="AX291" s="549"/>
      <c r="AY291" s="549"/>
      <c r="AZ291" s="549"/>
      <c r="BA291" s="549"/>
      <c r="BB291" s="549"/>
      <c r="BC291" s="549"/>
      <c r="BF291" s="531" t="s">
        <v>37</v>
      </c>
    </row>
    <row r="292" spans="1:58" ht="15" customHeight="1">
      <c r="A292" s="531" t="s">
        <v>293</v>
      </c>
      <c r="B292" s="531" t="s">
        <v>294</v>
      </c>
      <c r="C292" s="530" t="s">
        <v>58</v>
      </c>
      <c r="D292" s="531" t="s">
        <v>122</v>
      </c>
      <c r="E292" s="531" t="s">
        <v>206</v>
      </c>
      <c r="F292" s="547" t="s">
        <v>168</v>
      </c>
      <c r="G292" s="548">
        <f>'RTEKTY Conv'!K232</f>
        <v>2.2150684931506848</v>
      </c>
      <c r="H292" s="548">
        <f>'RTEKTY Conv'!I232</f>
        <v>3.3356746796296841</v>
      </c>
      <c r="I292" s="548">
        <f>'RTEKTY Conv'!G232</f>
        <v>0.44490678683164742</v>
      </c>
      <c r="J292" s="531">
        <v>1</v>
      </c>
      <c r="K292" s="531">
        <v>1</v>
      </c>
      <c r="L292" s="531">
        <v>1</v>
      </c>
      <c r="M292" s="531">
        <v>1</v>
      </c>
      <c r="N292" s="531">
        <v>1</v>
      </c>
      <c r="O292" s="531">
        <v>1</v>
      </c>
      <c r="P292" s="531"/>
      <c r="Q292" s="531">
        <v>0.18</v>
      </c>
      <c r="R292" s="546"/>
      <c r="S292" s="546">
        <v>0</v>
      </c>
      <c r="T292" s="546">
        <v>0</v>
      </c>
      <c r="U292" s="546">
        <v>0</v>
      </c>
      <c r="V292" s="546">
        <v>0</v>
      </c>
      <c r="W292" s="546">
        <v>0</v>
      </c>
      <c r="X292" s="546">
        <v>0</v>
      </c>
      <c r="Y292" s="546">
        <v>0</v>
      </c>
      <c r="Z292" s="546">
        <v>0</v>
      </c>
      <c r="AA292" s="546">
        <v>0</v>
      </c>
      <c r="AD292" s="546"/>
      <c r="AE292" s="531"/>
      <c r="AF292" s="531"/>
      <c r="AG292" s="531"/>
      <c r="AH292" s="531"/>
      <c r="AI292" s="531"/>
      <c r="AJ292" s="531"/>
      <c r="AK292" s="531"/>
      <c r="AL292" s="531"/>
      <c r="AO292" s="546"/>
      <c r="AP292" s="546"/>
      <c r="AQ292" s="546"/>
      <c r="AR292" s="546"/>
      <c r="AS292" s="546"/>
      <c r="AT292" s="546"/>
      <c r="AU292" s="546"/>
      <c r="AV292" s="546"/>
      <c r="AW292" s="546"/>
      <c r="AX292" s="546"/>
      <c r="AY292" s="546"/>
      <c r="AZ292" s="546"/>
      <c r="BA292" s="546"/>
      <c r="BB292" s="546"/>
      <c r="BC292" s="546"/>
      <c r="BF292" s="531" t="s">
        <v>37</v>
      </c>
    </row>
    <row r="293" spans="1:58" ht="15" customHeight="1">
      <c r="A293" s="531" t="s">
        <v>295</v>
      </c>
      <c r="B293" s="531" t="s">
        <v>296</v>
      </c>
      <c r="C293" s="530" t="s">
        <v>58</v>
      </c>
      <c r="D293" s="531" t="s">
        <v>122</v>
      </c>
      <c r="E293" s="531" t="s">
        <v>206</v>
      </c>
      <c r="F293" s="547" t="s">
        <v>219</v>
      </c>
      <c r="G293" s="548">
        <f>'RTEKTY Conv'!K233</f>
        <v>2.6369863013698631</v>
      </c>
      <c r="H293" s="548">
        <f>'RTEKTY Conv'!I233</f>
        <v>4.1264204483702365</v>
      </c>
      <c r="I293" s="548">
        <f>'RTEKTY Conv'!G233</f>
        <v>0.36467769412430118</v>
      </c>
      <c r="J293" s="531">
        <v>1</v>
      </c>
      <c r="K293" s="531">
        <v>1</v>
      </c>
      <c r="L293" s="531">
        <v>1</v>
      </c>
      <c r="M293" s="531">
        <v>1</v>
      </c>
      <c r="N293" s="531">
        <v>1</v>
      </c>
      <c r="O293" s="531">
        <v>1</v>
      </c>
      <c r="P293" s="531"/>
      <c r="Q293" s="531">
        <v>0.18</v>
      </c>
      <c r="R293" s="546"/>
      <c r="S293" s="546"/>
      <c r="T293" s="546"/>
      <c r="U293" s="546">
        <v>0</v>
      </c>
      <c r="V293" s="546">
        <v>0</v>
      </c>
      <c r="W293" s="546">
        <v>0</v>
      </c>
      <c r="X293" s="546">
        <v>0</v>
      </c>
      <c r="Y293" s="546">
        <v>0</v>
      </c>
      <c r="Z293" s="546">
        <v>0</v>
      </c>
      <c r="AA293" s="546">
        <v>0</v>
      </c>
      <c r="AD293" s="546"/>
      <c r="AE293" s="531"/>
      <c r="AF293" s="531"/>
      <c r="AG293" s="531"/>
      <c r="AH293" s="531"/>
      <c r="AI293" s="531"/>
      <c r="AJ293" s="531"/>
      <c r="AK293" s="531"/>
      <c r="AL293" s="531"/>
      <c r="AO293" s="546"/>
      <c r="AP293" s="546"/>
      <c r="AQ293" s="546"/>
      <c r="AR293" s="546"/>
      <c r="AS293" s="546"/>
      <c r="AT293" s="546"/>
      <c r="AU293" s="546"/>
      <c r="AV293" s="546"/>
      <c r="AW293" s="546"/>
      <c r="AX293" s="546"/>
      <c r="AY293" s="546"/>
      <c r="AZ293" s="546"/>
      <c r="BA293" s="546"/>
      <c r="BB293" s="546"/>
      <c r="BC293" s="546"/>
      <c r="BF293" s="531" t="s">
        <v>37</v>
      </c>
    </row>
    <row r="294" spans="1:58" ht="15" customHeight="1">
      <c r="A294" s="531" t="s">
        <v>297</v>
      </c>
      <c r="B294" s="531" t="s">
        <v>298</v>
      </c>
      <c r="C294" s="530" t="s">
        <v>58</v>
      </c>
      <c r="D294" s="531" t="s">
        <v>122</v>
      </c>
      <c r="E294" s="531" t="s">
        <v>206</v>
      </c>
      <c r="F294" s="547" t="s">
        <v>222</v>
      </c>
      <c r="G294" s="548">
        <f>'RTEKTY Conv'!K234</f>
        <v>2.6369863013698631</v>
      </c>
      <c r="H294" s="548">
        <f>'RTEKTY Conv'!I234</f>
        <v>4.0264410982995917</v>
      </c>
      <c r="I294" s="548">
        <f>'RTEKTY Conv'!G234</f>
        <v>0.37736213565905952</v>
      </c>
      <c r="J294" s="531">
        <v>1</v>
      </c>
      <c r="K294" s="531">
        <v>1</v>
      </c>
      <c r="L294" s="531">
        <v>1</v>
      </c>
      <c r="M294" s="531">
        <v>1</v>
      </c>
      <c r="N294" s="531">
        <v>1</v>
      </c>
      <c r="O294" s="531">
        <v>1</v>
      </c>
      <c r="P294" s="531"/>
      <c r="Q294" s="531">
        <v>0.18</v>
      </c>
      <c r="R294" s="546"/>
      <c r="S294" s="546"/>
      <c r="T294" s="546"/>
      <c r="U294" s="546">
        <v>0</v>
      </c>
      <c r="V294" s="546">
        <v>0</v>
      </c>
      <c r="W294" s="546">
        <v>0</v>
      </c>
      <c r="X294" s="546">
        <v>0</v>
      </c>
      <c r="Y294" s="546">
        <v>0</v>
      </c>
      <c r="Z294" s="546">
        <v>0</v>
      </c>
      <c r="AA294" s="546">
        <v>0</v>
      </c>
      <c r="AD294" s="546"/>
      <c r="AE294" s="531"/>
      <c r="AF294" s="531"/>
      <c r="AG294" s="531"/>
      <c r="AH294" s="531"/>
      <c r="AI294" s="531"/>
      <c r="AJ294" s="531"/>
      <c r="AK294" s="531"/>
      <c r="AL294" s="531"/>
      <c r="AO294" s="546"/>
      <c r="AP294" s="546"/>
      <c r="AQ294" s="546"/>
      <c r="AR294" s="546"/>
      <c r="AS294" s="546"/>
      <c r="AT294" s="546"/>
      <c r="AU294" s="546"/>
      <c r="AV294" s="546"/>
      <c r="AW294" s="546"/>
      <c r="AX294" s="546"/>
      <c r="AY294" s="546"/>
      <c r="AZ294" s="546"/>
      <c r="BA294" s="546"/>
      <c r="BB294" s="546"/>
      <c r="BC294" s="546"/>
      <c r="BF294" s="531" t="s">
        <v>37</v>
      </c>
    </row>
    <row r="295" spans="1:58" ht="15" customHeight="1">
      <c r="A295" s="531" t="s">
        <v>299</v>
      </c>
      <c r="B295" s="531" t="s">
        <v>300</v>
      </c>
      <c r="C295" s="530" t="s">
        <v>58</v>
      </c>
      <c r="D295" s="531" t="s">
        <v>122</v>
      </c>
      <c r="E295" s="531" t="s">
        <v>206</v>
      </c>
      <c r="F295" s="547" t="s">
        <v>225</v>
      </c>
      <c r="G295" s="548">
        <f>'RTEKTY Conv'!K235</f>
        <v>2.6369863013698631</v>
      </c>
      <c r="H295" s="548">
        <f>'RTEKTY Conv'!I235</f>
        <v>3.9173727164043424</v>
      </c>
      <c r="I295" s="548">
        <f>'RTEKTY Conv'!G235</f>
        <v>0.39004657719381786</v>
      </c>
      <c r="J295" s="531">
        <v>1</v>
      </c>
      <c r="K295" s="531">
        <v>1</v>
      </c>
      <c r="L295" s="531">
        <v>1</v>
      </c>
      <c r="M295" s="531">
        <v>1</v>
      </c>
      <c r="N295" s="531">
        <v>1</v>
      </c>
      <c r="O295" s="531">
        <v>1</v>
      </c>
      <c r="P295" s="531"/>
      <c r="Q295" s="531">
        <v>0.18</v>
      </c>
      <c r="R295" s="546"/>
      <c r="S295" s="546"/>
      <c r="T295" s="546"/>
      <c r="U295" s="546">
        <v>0</v>
      </c>
      <c r="V295" s="546">
        <v>0</v>
      </c>
      <c r="W295" s="546">
        <v>0</v>
      </c>
      <c r="X295" s="546">
        <v>0</v>
      </c>
      <c r="Y295" s="546">
        <v>0</v>
      </c>
      <c r="Z295" s="546">
        <v>0</v>
      </c>
      <c r="AA295" s="546">
        <v>0</v>
      </c>
      <c r="AD295" s="546"/>
      <c r="AE295" s="531"/>
      <c r="AF295" s="531"/>
      <c r="AG295" s="531"/>
      <c r="AH295" s="531"/>
      <c r="AI295" s="531"/>
      <c r="AJ295" s="531"/>
      <c r="AK295" s="531"/>
      <c r="AL295" s="531"/>
      <c r="AO295" s="546"/>
      <c r="AP295" s="546"/>
      <c r="AQ295" s="546"/>
      <c r="AR295" s="546"/>
      <c r="AS295" s="546"/>
      <c r="AT295" s="546"/>
      <c r="AU295" s="546"/>
      <c r="AV295" s="546"/>
      <c r="AW295" s="546"/>
      <c r="AX295" s="546"/>
      <c r="AY295" s="546"/>
      <c r="AZ295" s="546"/>
      <c r="BA295" s="546"/>
      <c r="BB295" s="546"/>
      <c r="BC295" s="546"/>
      <c r="BF295" s="531" t="s">
        <v>37</v>
      </c>
    </row>
    <row r="296" spans="1:58" ht="15" customHeight="1">
      <c r="A296" s="531" t="s">
        <v>301</v>
      </c>
      <c r="B296" s="531" t="s">
        <v>302</v>
      </c>
      <c r="C296" s="530" t="s">
        <v>58</v>
      </c>
      <c r="D296" s="531" t="s">
        <v>122</v>
      </c>
      <c r="E296" s="531" t="s">
        <v>206</v>
      </c>
      <c r="F296" s="547" t="s">
        <v>165</v>
      </c>
      <c r="G296" s="548">
        <f>'RTEKTY Conv'!K237</f>
        <v>10.95890410958904</v>
      </c>
      <c r="H296" s="548">
        <f>'RTEKTY Conv'!I237</f>
        <v>5.6624668267283207</v>
      </c>
      <c r="I296" s="548">
        <f>'RTEKTY Conv'!G237</f>
        <v>1.5221329841709963</v>
      </c>
      <c r="J296" s="531">
        <v>1</v>
      </c>
      <c r="K296" s="531">
        <v>1</v>
      </c>
      <c r="L296" s="531">
        <v>1</v>
      </c>
      <c r="M296" s="531">
        <v>1</v>
      </c>
      <c r="N296" s="531">
        <v>1</v>
      </c>
      <c r="O296" s="531">
        <v>1</v>
      </c>
      <c r="P296" s="531"/>
      <c r="Q296" s="531">
        <v>0.28000000000000003</v>
      </c>
      <c r="R296" s="546"/>
      <c r="S296" s="546">
        <v>0</v>
      </c>
      <c r="T296" s="546">
        <v>0</v>
      </c>
      <c r="U296" s="546">
        <v>0</v>
      </c>
      <c r="V296" s="546">
        <v>0</v>
      </c>
      <c r="W296" s="546">
        <v>0</v>
      </c>
      <c r="X296" s="546">
        <v>0</v>
      </c>
      <c r="Y296" s="546">
        <v>0</v>
      </c>
      <c r="Z296" s="546">
        <v>0</v>
      </c>
      <c r="AA296" s="546">
        <v>0</v>
      </c>
      <c r="AD296" s="546"/>
      <c r="AE296" s="531">
        <v>1.1499999999999999</v>
      </c>
      <c r="AF296" s="531">
        <v>1.1499999999999999</v>
      </c>
      <c r="AG296" s="531">
        <v>1.1499999999999999</v>
      </c>
      <c r="AH296" s="531">
        <v>1.1499999999999999</v>
      </c>
      <c r="AI296" s="531">
        <v>1.1499999999999999</v>
      </c>
      <c r="AJ296" s="531">
        <v>1.1499999999999999</v>
      </c>
      <c r="AK296" s="531">
        <v>1.1499999999999999</v>
      </c>
      <c r="AL296" s="531">
        <v>1.1499999999999999</v>
      </c>
      <c r="AO296" s="546"/>
      <c r="AP296" s="546"/>
      <c r="AQ296" s="546"/>
      <c r="AR296" s="546"/>
      <c r="AS296" s="546"/>
      <c r="AT296" s="546"/>
      <c r="AU296" s="546"/>
      <c r="AV296" s="546"/>
      <c r="AW296" s="546"/>
      <c r="AX296" s="546"/>
      <c r="AY296" s="546"/>
      <c r="AZ296" s="546"/>
      <c r="BA296" s="546"/>
      <c r="BB296" s="546"/>
      <c r="BC296" s="546"/>
      <c r="BF296" s="531" t="s">
        <v>37</v>
      </c>
    </row>
    <row r="297" spans="1:58" ht="15" customHeight="1">
      <c r="A297" s="531" t="s">
        <v>303</v>
      </c>
      <c r="B297" s="531" t="s">
        <v>304</v>
      </c>
      <c r="C297" s="530" t="s">
        <v>58</v>
      </c>
      <c r="D297" s="531" t="s">
        <v>122</v>
      </c>
      <c r="E297" s="531" t="s">
        <v>206</v>
      </c>
      <c r="F297" s="547" t="s">
        <v>219</v>
      </c>
      <c r="G297" s="548">
        <f>'RTEKTY Conv'!K238</f>
        <v>10.95890410958904</v>
      </c>
      <c r="H297" s="548">
        <f>'RTEKTY Conv'!I238</f>
        <v>5.5170423175346555</v>
      </c>
      <c r="I297" s="548">
        <f>'RTEKTY Conv'!G238</f>
        <v>1.5982396333795463</v>
      </c>
      <c r="J297" s="531">
        <v>1</v>
      </c>
      <c r="K297" s="531">
        <v>1</v>
      </c>
      <c r="L297" s="531">
        <v>1</v>
      </c>
      <c r="M297" s="531">
        <v>1</v>
      </c>
      <c r="N297" s="531">
        <v>1</v>
      </c>
      <c r="O297" s="531">
        <v>1</v>
      </c>
      <c r="P297" s="531"/>
      <c r="Q297" s="531">
        <v>0.28000000000000003</v>
      </c>
      <c r="R297" s="546"/>
      <c r="S297" s="546"/>
      <c r="T297" s="546"/>
      <c r="U297" s="546"/>
      <c r="V297" s="546">
        <v>0</v>
      </c>
      <c r="W297" s="546">
        <v>0</v>
      </c>
      <c r="X297" s="546">
        <v>0</v>
      </c>
      <c r="Y297" s="546">
        <v>0</v>
      </c>
      <c r="Z297" s="546">
        <v>0</v>
      </c>
      <c r="AA297" s="546">
        <v>0</v>
      </c>
      <c r="AD297" s="546"/>
      <c r="AE297" s="531">
        <v>1.1499999999999999</v>
      </c>
      <c r="AF297" s="531">
        <v>1.1499999999999999</v>
      </c>
      <c r="AG297" s="531">
        <v>1.1499999999999999</v>
      </c>
      <c r="AH297" s="531">
        <v>1.1499999999999999</v>
      </c>
      <c r="AI297" s="531">
        <v>1.1499999999999999</v>
      </c>
      <c r="AJ297" s="531">
        <v>1.1499999999999999</v>
      </c>
      <c r="AK297" s="531">
        <v>1.1499999999999999</v>
      </c>
      <c r="AL297" s="531">
        <v>1.1499999999999999</v>
      </c>
      <c r="AO297" s="546"/>
      <c r="AP297" s="546"/>
      <c r="AQ297" s="546"/>
      <c r="AR297" s="546"/>
      <c r="AS297" s="546"/>
      <c r="AT297" s="546"/>
      <c r="AU297" s="546"/>
      <c r="AV297" s="546"/>
      <c r="AW297" s="546"/>
      <c r="AX297" s="546"/>
      <c r="AY297" s="546"/>
      <c r="AZ297" s="546"/>
      <c r="BA297" s="546"/>
      <c r="BB297" s="546"/>
      <c r="BC297" s="546"/>
      <c r="BF297" s="531" t="s">
        <v>37</v>
      </c>
    </row>
    <row r="298" spans="1:58" ht="15" customHeight="1">
      <c r="A298" s="531" t="s">
        <v>305</v>
      </c>
      <c r="B298" s="531" t="s">
        <v>306</v>
      </c>
      <c r="C298" s="530" t="s">
        <v>58</v>
      </c>
      <c r="D298" s="531" t="s">
        <v>122</v>
      </c>
      <c r="E298" s="531" t="s">
        <v>206</v>
      </c>
      <c r="F298" s="547" t="s">
        <v>222</v>
      </c>
      <c r="G298" s="548">
        <f>'RTEKTY Conv'!K239</f>
        <v>10.95890410958904</v>
      </c>
      <c r="H298" s="548">
        <f>'RTEKTY Conv'!I239</f>
        <v>5.380706840165594</v>
      </c>
      <c r="I298" s="548">
        <f>'RTEKTY Conv'!G239</f>
        <v>1.6775173929717853</v>
      </c>
      <c r="J298" s="531">
        <v>1</v>
      </c>
      <c r="K298" s="531">
        <v>1</v>
      </c>
      <c r="L298" s="531">
        <v>1</v>
      </c>
      <c r="M298" s="531">
        <v>1</v>
      </c>
      <c r="N298" s="531">
        <v>1</v>
      </c>
      <c r="O298" s="531">
        <v>1</v>
      </c>
      <c r="P298" s="531"/>
      <c r="Q298" s="531">
        <v>0.28000000000000003</v>
      </c>
      <c r="R298" s="546"/>
      <c r="S298" s="546"/>
      <c r="T298" s="546"/>
      <c r="U298" s="546"/>
      <c r="V298" s="546"/>
      <c r="W298" s="546"/>
      <c r="X298" s="546">
        <v>0</v>
      </c>
      <c r="Y298" s="546">
        <v>0</v>
      </c>
      <c r="Z298" s="546">
        <v>0</v>
      </c>
      <c r="AA298" s="546">
        <v>0</v>
      </c>
      <c r="AD298" s="546"/>
      <c r="AE298" s="531">
        <v>1.1499999999999999</v>
      </c>
      <c r="AF298" s="531">
        <v>1.1499999999999999</v>
      </c>
      <c r="AG298" s="531">
        <v>1.1499999999999999</v>
      </c>
      <c r="AH298" s="531">
        <v>1.1499999999999999</v>
      </c>
      <c r="AI298" s="531">
        <v>1.1499999999999999</v>
      </c>
      <c r="AJ298" s="531">
        <v>1.1499999999999999</v>
      </c>
      <c r="AK298" s="531">
        <v>1.1499999999999999</v>
      </c>
      <c r="AL298" s="531">
        <v>1.1499999999999999</v>
      </c>
      <c r="AO298" s="546"/>
      <c r="AP298" s="546"/>
      <c r="AQ298" s="546"/>
      <c r="AR298" s="546"/>
      <c r="AS298" s="546"/>
      <c r="AT298" s="546"/>
      <c r="AU298" s="546"/>
      <c r="AV298" s="546"/>
      <c r="AW298" s="546"/>
      <c r="AX298" s="546"/>
      <c r="AY298" s="546"/>
      <c r="AZ298" s="546"/>
      <c r="BA298" s="546"/>
      <c r="BB298" s="546"/>
      <c r="BC298" s="546"/>
      <c r="BF298" s="531" t="s">
        <v>37</v>
      </c>
    </row>
    <row r="299" spans="1:58" ht="15" customHeight="1">
      <c r="A299" s="531" t="s">
        <v>307</v>
      </c>
      <c r="B299" s="531" t="s">
        <v>308</v>
      </c>
      <c r="C299" s="530" t="s">
        <v>58</v>
      </c>
      <c r="D299" s="531" t="s">
        <v>122</v>
      </c>
      <c r="E299" s="531" t="s">
        <v>206</v>
      </c>
      <c r="F299" s="547" t="s">
        <v>225</v>
      </c>
      <c r="G299" s="548">
        <f>'RTEKTY Conv'!K240</f>
        <v>12.328767123287671</v>
      </c>
      <c r="H299" s="548">
        <f>'RTEKTY Conv'!I240</f>
        <v>5.2443713627965334</v>
      </c>
      <c r="I299" s="548">
        <f>'RTEKTY Conv'!G240</f>
        <v>1.7631373733314042</v>
      </c>
      <c r="J299" s="531">
        <v>1</v>
      </c>
      <c r="K299" s="531">
        <v>1</v>
      </c>
      <c r="L299" s="531">
        <v>1</v>
      </c>
      <c r="M299" s="531">
        <v>1</v>
      </c>
      <c r="N299" s="531">
        <v>1</v>
      </c>
      <c r="O299" s="531">
        <v>1</v>
      </c>
      <c r="P299" s="531"/>
      <c r="Q299" s="531">
        <v>0.28000000000000003</v>
      </c>
      <c r="R299" s="546"/>
      <c r="S299" s="546"/>
      <c r="T299" s="546"/>
      <c r="U299" s="546"/>
      <c r="V299" s="546"/>
      <c r="W299" s="546"/>
      <c r="X299" s="546"/>
      <c r="Y299" s="546"/>
      <c r="Z299" s="546"/>
      <c r="AA299" s="546"/>
      <c r="AD299" s="546"/>
      <c r="AE299" s="531">
        <v>1.1499999999999999</v>
      </c>
      <c r="AF299" s="531">
        <v>1.1499999999999999</v>
      </c>
      <c r="AG299" s="531">
        <v>1.1499999999999999</v>
      </c>
      <c r="AH299" s="531">
        <v>1.1499999999999999</v>
      </c>
      <c r="AI299" s="531">
        <v>1.1499999999999999</v>
      </c>
      <c r="AJ299" s="531">
        <v>1.1499999999999999</v>
      </c>
      <c r="AK299" s="531">
        <v>1.1499999999999999</v>
      </c>
      <c r="AL299" s="531">
        <v>1.1499999999999999</v>
      </c>
      <c r="AO299" s="546"/>
      <c r="AP299" s="546"/>
      <c r="AQ299" s="546"/>
      <c r="AR299" s="546"/>
      <c r="AS299" s="546"/>
      <c r="AT299" s="546"/>
      <c r="AU299" s="546"/>
      <c r="AV299" s="546"/>
      <c r="AW299" s="546"/>
      <c r="AX299" s="546"/>
      <c r="AY299" s="546"/>
      <c r="AZ299" s="546"/>
      <c r="BA299" s="546"/>
      <c r="BB299" s="546"/>
      <c r="BC299" s="546"/>
      <c r="BF299" s="531" t="s">
        <v>37</v>
      </c>
    </row>
    <row r="300" spans="1:58" ht="15" customHeight="1">
      <c r="A300" s="531" t="s">
        <v>309</v>
      </c>
      <c r="B300" s="531" t="s">
        <v>310</v>
      </c>
      <c r="C300" s="530" t="s">
        <v>58</v>
      </c>
      <c r="D300" s="531" t="s">
        <v>122</v>
      </c>
      <c r="E300" s="531" t="s">
        <v>206</v>
      </c>
      <c r="F300" s="547" t="s">
        <v>165</v>
      </c>
      <c r="G300" s="548">
        <f>'RTEKTY Conv'!K242</f>
        <v>32.876712328767127</v>
      </c>
      <c r="H300" s="548">
        <f>'RTEKTY Conv'!I242</f>
        <v>13.633547736906067</v>
      </c>
      <c r="I300" s="548">
        <f>'RTEKTY Conv'!G242</f>
        <v>2.9427904360639263</v>
      </c>
      <c r="J300" s="531">
        <v>1</v>
      </c>
      <c r="K300" s="531">
        <v>1</v>
      </c>
      <c r="L300" s="531">
        <v>1</v>
      </c>
      <c r="M300" s="531">
        <v>1</v>
      </c>
      <c r="N300" s="531">
        <v>1</v>
      </c>
      <c r="O300" s="531">
        <v>1</v>
      </c>
      <c r="P300" s="531"/>
      <c r="Q300" s="531">
        <v>0.18</v>
      </c>
      <c r="R300" s="546"/>
      <c r="S300" s="546">
        <v>0</v>
      </c>
      <c r="T300" s="546">
        <v>0</v>
      </c>
      <c r="U300" s="546">
        <v>0</v>
      </c>
      <c r="V300" s="546">
        <v>0</v>
      </c>
      <c r="W300" s="546">
        <v>0</v>
      </c>
      <c r="X300" s="546">
        <v>0</v>
      </c>
      <c r="Y300" s="546">
        <v>0</v>
      </c>
      <c r="Z300" s="546">
        <v>0</v>
      </c>
      <c r="AA300" s="546">
        <v>0</v>
      </c>
      <c r="AD300" s="546"/>
      <c r="AE300" s="531"/>
      <c r="AF300" s="531"/>
      <c r="AG300" s="531"/>
      <c r="AH300" s="531"/>
      <c r="AI300" s="531"/>
      <c r="AJ300" s="531"/>
      <c r="AK300" s="531"/>
      <c r="AL300" s="531"/>
      <c r="AO300" s="546"/>
      <c r="AP300" s="546"/>
      <c r="AQ300" s="546"/>
      <c r="AR300" s="546"/>
      <c r="AS300" s="546"/>
      <c r="AT300" s="546"/>
      <c r="AU300" s="546"/>
      <c r="AV300" s="546"/>
      <c r="AW300" s="546"/>
      <c r="AX300" s="546"/>
      <c r="AY300" s="546"/>
      <c r="AZ300" s="546"/>
      <c r="BA300" s="546"/>
      <c r="BB300" s="546"/>
      <c r="BC300" s="546"/>
      <c r="BF300" s="531" t="s">
        <v>37</v>
      </c>
    </row>
    <row r="301" spans="1:58" ht="15" customHeight="1">
      <c r="A301" s="531" t="s">
        <v>311</v>
      </c>
      <c r="B301" s="531" t="s">
        <v>312</v>
      </c>
      <c r="C301" s="530" t="s">
        <v>58</v>
      </c>
      <c r="D301" s="531" t="s">
        <v>122</v>
      </c>
      <c r="E301" s="531" t="s">
        <v>206</v>
      </c>
      <c r="F301" s="547" t="s">
        <v>219</v>
      </c>
      <c r="G301" s="548">
        <f>'RTEKTY Conv'!K243</f>
        <v>32.876712328767127</v>
      </c>
      <c r="H301" s="548">
        <f>'RTEKTY Conv'!I243</f>
        <v>9.089031824604044</v>
      </c>
      <c r="I301" s="548">
        <f>'RTEKTY Conv'!G243</f>
        <v>2.9427904360639263</v>
      </c>
      <c r="J301" s="531">
        <v>1</v>
      </c>
      <c r="K301" s="531">
        <v>1</v>
      </c>
      <c r="L301" s="531">
        <v>1</v>
      </c>
      <c r="M301" s="531">
        <v>1</v>
      </c>
      <c r="N301" s="531">
        <v>1</v>
      </c>
      <c r="O301" s="531">
        <v>1</v>
      </c>
      <c r="P301" s="531"/>
      <c r="Q301" s="531">
        <v>0.18</v>
      </c>
      <c r="R301" s="546"/>
      <c r="S301" s="546"/>
      <c r="T301" s="546"/>
      <c r="U301" s="546"/>
      <c r="V301" s="546"/>
      <c r="W301" s="546"/>
      <c r="X301" s="546"/>
      <c r="Y301" s="546"/>
      <c r="Z301" s="546"/>
      <c r="AA301" s="546"/>
      <c r="AD301" s="546"/>
      <c r="AE301" s="531"/>
      <c r="AF301" s="531"/>
      <c r="AG301" s="531"/>
      <c r="AH301" s="531"/>
      <c r="AI301" s="531"/>
      <c r="AJ301" s="531"/>
      <c r="AK301" s="531"/>
      <c r="AL301" s="531"/>
      <c r="AO301" s="546"/>
      <c r="AP301" s="546"/>
      <c r="AQ301" s="546"/>
      <c r="AR301" s="546"/>
      <c r="AS301" s="546"/>
      <c r="AT301" s="546"/>
      <c r="AU301" s="546"/>
      <c r="AV301" s="546"/>
      <c r="AW301" s="546"/>
      <c r="AX301" s="546"/>
      <c r="AY301" s="546"/>
      <c r="AZ301" s="546"/>
      <c r="BA301" s="546"/>
      <c r="BB301" s="546"/>
      <c r="BC301" s="546"/>
      <c r="BF301" s="531" t="s">
        <v>37</v>
      </c>
    </row>
    <row r="302" spans="1:58" ht="15" customHeight="1">
      <c r="A302" s="531" t="s">
        <v>313</v>
      </c>
      <c r="B302" s="531" t="s">
        <v>314</v>
      </c>
      <c r="C302" s="530" t="s">
        <v>58</v>
      </c>
      <c r="D302" s="531" t="s">
        <v>122</v>
      </c>
      <c r="E302" s="531" t="s">
        <v>206</v>
      </c>
      <c r="F302" s="547" t="s">
        <v>165</v>
      </c>
      <c r="G302" s="548">
        <f>'RTEKTY Conv'!K245</f>
        <v>34.246575342465754</v>
      </c>
      <c r="H302" s="548">
        <f>'RTEKTY Conv'!I245</f>
        <v>54.461478693027438</v>
      </c>
      <c r="I302" s="548">
        <f>'RTEKTY Conv'!G245</f>
        <v>1.5855551918447879</v>
      </c>
      <c r="J302" s="531">
        <v>1</v>
      </c>
      <c r="K302" s="531">
        <v>1</v>
      </c>
      <c r="L302" s="531">
        <v>1</v>
      </c>
      <c r="M302" s="531">
        <v>1</v>
      </c>
      <c r="N302" s="531">
        <v>1</v>
      </c>
      <c r="O302" s="531">
        <v>1</v>
      </c>
      <c r="P302" s="531"/>
      <c r="Q302" s="531">
        <v>0.45</v>
      </c>
      <c r="R302" s="546"/>
      <c r="S302" s="546">
        <v>0</v>
      </c>
      <c r="T302" s="546">
        <v>0</v>
      </c>
      <c r="U302" s="546">
        <v>0</v>
      </c>
      <c r="V302" s="546">
        <v>0</v>
      </c>
      <c r="W302" s="546">
        <v>0</v>
      </c>
      <c r="X302" s="546">
        <v>0</v>
      </c>
      <c r="Y302" s="546">
        <v>0</v>
      </c>
      <c r="Z302" s="546">
        <v>0</v>
      </c>
      <c r="AA302" s="546">
        <v>0</v>
      </c>
      <c r="AD302" s="546"/>
      <c r="AE302" s="531"/>
      <c r="AF302" s="531"/>
      <c r="AG302" s="531"/>
      <c r="AH302" s="531"/>
      <c r="AI302" s="531"/>
      <c r="AJ302" s="531"/>
      <c r="AK302" s="531"/>
      <c r="AL302" s="531"/>
      <c r="AO302" s="546"/>
      <c r="AP302" s="546"/>
      <c r="AQ302" s="546"/>
      <c r="AR302" s="546"/>
      <c r="AS302" s="546"/>
      <c r="AT302" s="546"/>
      <c r="AU302" s="546"/>
      <c r="AV302" s="546"/>
      <c r="AW302" s="546"/>
      <c r="AX302" s="546"/>
      <c r="AY302" s="546"/>
      <c r="AZ302" s="546"/>
      <c r="BA302" s="546"/>
      <c r="BB302" s="546"/>
      <c r="BC302" s="546"/>
      <c r="BF302" s="531" t="s">
        <v>37</v>
      </c>
    </row>
    <row r="303" spans="1:58" ht="15" customHeight="1">
      <c r="A303" s="531" t="s">
        <v>315</v>
      </c>
      <c r="B303" s="531" t="s">
        <v>316</v>
      </c>
      <c r="C303" s="530" t="s">
        <v>58</v>
      </c>
      <c r="D303" s="531" t="s">
        <v>122</v>
      </c>
      <c r="E303" s="531" t="s">
        <v>206</v>
      </c>
      <c r="F303" s="547" t="s">
        <v>168</v>
      </c>
      <c r="G303" s="548">
        <f>'RTEKTY Conv'!K246</f>
        <v>49.467123287671235</v>
      </c>
      <c r="H303" s="548">
        <f>'RTEKTY Conv'!I246</f>
        <v>22.531709893193426</v>
      </c>
      <c r="I303" s="548">
        <f>'RTEKTY Conv'!G246</f>
        <v>2.6351927288460373</v>
      </c>
      <c r="J303" s="531">
        <v>1</v>
      </c>
      <c r="K303" s="531">
        <v>1</v>
      </c>
      <c r="L303" s="531">
        <v>1</v>
      </c>
      <c r="M303" s="531">
        <v>1</v>
      </c>
      <c r="N303" s="531">
        <v>1</v>
      </c>
      <c r="O303" s="531">
        <v>1</v>
      </c>
      <c r="P303" s="531"/>
      <c r="Q303" s="531">
        <v>0.45</v>
      </c>
      <c r="R303" s="546"/>
      <c r="S303" s="546">
        <v>0</v>
      </c>
      <c r="T303" s="546">
        <v>0</v>
      </c>
      <c r="U303" s="546">
        <v>0</v>
      </c>
      <c r="V303" s="546">
        <v>0</v>
      </c>
      <c r="W303" s="546">
        <v>0</v>
      </c>
      <c r="X303" s="546">
        <v>0</v>
      </c>
      <c r="Y303" s="546">
        <v>0</v>
      </c>
      <c r="Z303" s="546">
        <v>0</v>
      </c>
      <c r="AA303" s="546">
        <v>0</v>
      </c>
      <c r="AD303" s="546"/>
      <c r="AE303" s="531"/>
      <c r="AF303" s="531"/>
      <c r="AG303" s="531"/>
      <c r="AH303" s="531"/>
      <c r="AI303" s="531"/>
      <c r="AJ303" s="531"/>
      <c r="AK303" s="531"/>
      <c r="AL303" s="531"/>
      <c r="AO303" s="546"/>
      <c r="AP303" s="546"/>
      <c r="AQ303" s="546"/>
      <c r="AR303" s="546"/>
      <c r="AS303" s="546"/>
      <c r="AT303" s="546"/>
      <c r="AU303" s="546"/>
      <c r="AV303" s="546"/>
      <c r="AW303" s="546"/>
      <c r="AX303" s="546"/>
      <c r="AY303" s="546"/>
      <c r="AZ303" s="546"/>
      <c r="BA303" s="546"/>
      <c r="BB303" s="546"/>
      <c r="BC303" s="546"/>
      <c r="BF303" s="531" t="s">
        <v>37</v>
      </c>
    </row>
    <row r="304" spans="1:58" ht="15" customHeight="1">
      <c r="A304" s="531" t="s">
        <v>317</v>
      </c>
      <c r="B304" s="531" t="s">
        <v>318</v>
      </c>
      <c r="C304" s="530" t="s">
        <v>58</v>
      </c>
      <c r="D304" s="531" t="s">
        <v>122</v>
      </c>
      <c r="E304" s="531" t="s">
        <v>206</v>
      </c>
      <c r="F304" s="547" t="s">
        <v>219</v>
      </c>
      <c r="G304" s="548">
        <f>'RTEKTY Conv'!K247</f>
        <v>68.493150684931507</v>
      </c>
      <c r="H304" s="548">
        <f>'RTEKTY Conv'!I247</f>
        <v>7.4711841598245261</v>
      </c>
      <c r="I304" s="548">
        <f>'RTEKTY Conv'!G247</f>
        <v>4.9786433023926335</v>
      </c>
      <c r="J304" s="531">
        <v>1</v>
      </c>
      <c r="K304" s="531">
        <v>1</v>
      </c>
      <c r="L304" s="531">
        <v>1</v>
      </c>
      <c r="M304" s="531">
        <v>1</v>
      </c>
      <c r="N304" s="531">
        <v>1</v>
      </c>
      <c r="O304" s="531">
        <v>1</v>
      </c>
      <c r="P304" s="531"/>
      <c r="Q304" s="531">
        <v>0.45</v>
      </c>
      <c r="R304" s="546"/>
      <c r="S304" s="546"/>
      <c r="T304" s="546"/>
      <c r="U304" s="546">
        <v>0</v>
      </c>
      <c r="V304" s="546">
        <v>0</v>
      </c>
      <c r="W304" s="546">
        <v>0</v>
      </c>
      <c r="X304" s="546">
        <v>0</v>
      </c>
      <c r="Y304" s="546">
        <v>0</v>
      </c>
      <c r="Z304" s="546">
        <v>0</v>
      </c>
      <c r="AA304" s="546">
        <v>0</v>
      </c>
      <c r="AD304" s="546"/>
      <c r="AE304" s="531"/>
      <c r="AF304" s="531"/>
      <c r="AG304" s="531"/>
      <c r="AH304" s="531"/>
      <c r="AI304" s="531"/>
      <c r="AJ304" s="531"/>
      <c r="AK304" s="531"/>
      <c r="AL304" s="531"/>
      <c r="AO304" s="546"/>
      <c r="AP304" s="546"/>
      <c r="AQ304" s="546"/>
      <c r="AR304" s="546"/>
      <c r="AS304" s="546"/>
      <c r="AT304" s="546"/>
      <c r="AU304" s="546"/>
      <c r="AV304" s="546"/>
      <c r="AW304" s="546"/>
      <c r="AX304" s="546"/>
      <c r="AY304" s="546"/>
      <c r="AZ304" s="546"/>
      <c r="BA304" s="546"/>
      <c r="BB304" s="546"/>
      <c r="BC304" s="546"/>
      <c r="BF304" s="531" t="s">
        <v>37</v>
      </c>
    </row>
    <row r="305" spans="1:58" ht="15" customHeight="1">
      <c r="A305" s="531" t="s">
        <v>319</v>
      </c>
      <c r="B305" s="531" t="s">
        <v>320</v>
      </c>
      <c r="C305" s="530" t="s">
        <v>58</v>
      </c>
      <c r="D305" s="531" t="s">
        <v>122</v>
      </c>
      <c r="E305" s="531" t="s">
        <v>206</v>
      </c>
      <c r="F305" s="547" t="s">
        <v>234</v>
      </c>
      <c r="G305" s="548">
        <f>'RTEKTY Conv'!K248</f>
        <v>68.493150684931507</v>
      </c>
      <c r="H305" s="548">
        <f>'RTEKTY Conv'!I248</f>
        <v>6.4077674363458517</v>
      </c>
      <c r="I305" s="548">
        <f>'RTEKTY Conv'!G248</f>
        <v>5.7079986906412357</v>
      </c>
      <c r="J305" s="531">
        <v>1</v>
      </c>
      <c r="K305" s="531">
        <v>1</v>
      </c>
      <c r="L305" s="531">
        <v>1</v>
      </c>
      <c r="M305" s="531">
        <v>1</v>
      </c>
      <c r="N305" s="531">
        <v>1</v>
      </c>
      <c r="O305" s="531">
        <v>1</v>
      </c>
      <c r="P305" s="531"/>
      <c r="Q305" s="531">
        <v>0.45</v>
      </c>
      <c r="R305" s="546"/>
      <c r="S305" s="546"/>
      <c r="T305" s="546"/>
      <c r="U305" s="546"/>
      <c r="V305" s="546">
        <v>0</v>
      </c>
      <c r="W305" s="546">
        <v>0</v>
      </c>
      <c r="X305" s="546">
        <v>0</v>
      </c>
      <c r="Y305" s="546">
        <v>0</v>
      </c>
      <c r="Z305" s="546">
        <v>0</v>
      </c>
      <c r="AA305" s="546">
        <v>0</v>
      </c>
      <c r="AD305" s="546"/>
      <c r="AE305" s="531"/>
      <c r="AF305" s="531"/>
      <c r="AG305" s="531"/>
      <c r="AH305" s="531"/>
      <c r="AI305" s="531"/>
      <c r="AJ305" s="531"/>
      <c r="AK305" s="531"/>
      <c r="AL305" s="531"/>
      <c r="AO305" s="546"/>
      <c r="AP305" s="546"/>
      <c r="AQ305" s="546"/>
      <c r="AR305" s="546"/>
      <c r="AS305" s="546"/>
      <c r="AT305" s="546"/>
      <c r="AU305" s="546"/>
      <c r="AV305" s="546"/>
      <c r="AW305" s="546"/>
      <c r="AX305" s="546"/>
      <c r="AY305" s="546"/>
      <c r="AZ305" s="546"/>
      <c r="BA305" s="546"/>
      <c r="BB305" s="546"/>
      <c r="BC305" s="546"/>
      <c r="BF305" s="531" t="s">
        <v>37</v>
      </c>
    </row>
    <row r="306" spans="1:58" ht="15" customHeight="1">
      <c r="A306" s="531" t="s">
        <v>321</v>
      </c>
      <c r="B306" s="531" t="s">
        <v>322</v>
      </c>
      <c r="C306" s="530" t="s">
        <v>58</v>
      </c>
      <c r="D306" s="531" t="s">
        <v>122</v>
      </c>
      <c r="E306" s="531" t="s">
        <v>206</v>
      </c>
      <c r="F306" s="547" t="s">
        <v>222</v>
      </c>
      <c r="G306" s="548">
        <f>'RTEKTY Conv'!K249</f>
        <v>68.493150684931507</v>
      </c>
      <c r="H306" s="548">
        <f>'RTEKTY Conv'!I249</f>
        <v>5.3352616810425744</v>
      </c>
      <c r="I306" s="548">
        <f>'RTEKTY Conv'!G249</f>
        <v>6.4056429750529427</v>
      </c>
      <c r="J306" s="531">
        <v>1</v>
      </c>
      <c r="K306" s="531">
        <v>1</v>
      </c>
      <c r="L306" s="531">
        <v>1</v>
      </c>
      <c r="M306" s="531">
        <v>1</v>
      </c>
      <c r="N306" s="531">
        <v>1</v>
      </c>
      <c r="O306" s="531">
        <v>1</v>
      </c>
      <c r="P306" s="531"/>
      <c r="Q306" s="531">
        <v>0.45</v>
      </c>
      <c r="R306" s="546"/>
      <c r="S306" s="546"/>
      <c r="T306" s="546"/>
      <c r="U306" s="546"/>
      <c r="V306" s="546"/>
      <c r="W306" s="546"/>
      <c r="X306" s="546"/>
      <c r="Y306" s="546"/>
      <c r="Z306" s="546"/>
      <c r="AA306" s="546"/>
      <c r="AD306" s="546"/>
      <c r="AE306" s="531"/>
      <c r="AF306" s="531"/>
      <c r="AG306" s="531"/>
      <c r="AH306" s="531"/>
      <c r="AI306" s="531"/>
      <c r="AJ306" s="531"/>
      <c r="AK306" s="531"/>
      <c r="AL306" s="531"/>
      <c r="AO306" s="546"/>
      <c r="AP306" s="546"/>
      <c r="AQ306" s="546"/>
      <c r="AR306" s="546"/>
      <c r="AS306" s="546"/>
      <c r="AT306" s="546"/>
      <c r="AU306" s="546"/>
      <c r="AV306" s="546"/>
      <c r="AW306" s="546"/>
      <c r="AX306" s="546"/>
      <c r="AY306" s="546"/>
      <c r="AZ306" s="546"/>
      <c r="BA306" s="546"/>
      <c r="BB306" s="546"/>
      <c r="BC306" s="546"/>
      <c r="BF306" s="531" t="s">
        <v>37</v>
      </c>
    </row>
    <row r="307" spans="1:58" ht="15" customHeight="1">
      <c r="A307" s="533" t="s">
        <v>60</v>
      </c>
      <c r="B307" s="532"/>
      <c r="C307" s="532"/>
      <c r="D307" s="533"/>
      <c r="E307" s="533"/>
      <c r="F307" s="554"/>
      <c r="G307" s="532"/>
      <c r="H307" s="555"/>
      <c r="I307" s="556"/>
      <c r="J307" s="555"/>
      <c r="K307" s="555"/>
      <c r="L307" s="555" t="s">
        <v>127</v>
      </c>
      <c r="M307" s="555" t="s">
        <v>127</v>
      </c>
      <c r="N307" s="555" t="s">
        <v>127</v>
      </c>
      <c r="O307" s="555" t="s">
        <v>127</v>
      </c>
      <c r="P307" s="555"/>
      <c r="Q307" s="556"/>
      <c r="R307" s="557"/>
      <c r="S307" s="557"/>
      <c r="T307" s="557"/>
      <c r="U307" s="557"/>
      <c r="V307" s="557"/>
      <c r="W307" s="557"/>
      <c r="X307" s="557"/>
      <c r="Y307" s="557"/>
      <c r="Z307" s="557"/>
      <c r="AA307" s="558"/>
      <c r="AD307" s="558"/>
      <c r="AE307" s="532"/>
      <c r="AF307" s="532"/>
      <c r="AG307" s="532"/>
      <c r="AH307" s="532"/>
      <c r="AI307" s="532"/>
      <c r="AJ307" s="532"/>
      <c r="AK307" s="532"/>
      <c r="AL307" s="532"/>
      <c r="AO307" s="557"/>
      <c r="AP307" s="557"/>
      <c r="AQ307" s="557"/>
      <c r="AR307" s="557"/>
      <c r="AS307" s="557"/>
      <c r="AT307" s="557"/>
      <c r="AU307" s="557"/>
      <c r="AV307" s="557"/>
      <c r="AW307" s="557"/>
      <c r="AX307" s="557"/>
      <c r="AY307" s="557"/>
      <c r="AZ307" s="557"/>
      <c r="BA307" s="557"/>
      <c r="BB307" s="557"/>
      <c r="BC307" s="557"/>
      <c r="BF307" s="533" t="s">
        <v>60</v>
      </c>
    </row>
    <row r="308" spans="1:58" ht="15" customHeight="1">
      <c r="A308" s="531" t="s">
        <v>323</v>
      </c>
      <c r="B308" s="531" t="s">
        <v>324</v>
      </c>
      <c r="C308" s="530" t="s">
        <v>32</v>
      </c>
      <c r="D308" s="531" t="s">
        <v>122</v>
      </c>
      <c r="E308" s="531" t="s">
        <v>325</v>
      </c>
      <c r="F308" s="547">
        <v>2011</v>
      </c>
      <c r="G308" s="531">
        <v>45</v>
      </c>
      <c r="H308" s="548"/>
      <c r="I308" s="531">
        <v>1</v>
      </c>
      <c r="J308" s="531">
        <v>1</v>
      </c>
      <c r="K308" s="531">
        <v>1</v>
      </c>
      <c r="L308" s="531">
        <v>1</v>
      </c>
      <c r="M308" s="531">
        <v>1</v>
      </c>
      <c r="N308" s="531">
        <v>1</v>
      </c>
      <c r="O308" s="531">
        <v>1</v>
      </c>
      <c r="P308" s="531"/>
      <c r="Q308" s="531">
        <v>0.18</v>
      </c>
      <c r="R308" s="546"/>
      <c r="S308" s="546"/>
      <c r="T308" s="546"/>
      <c r="U308" s="546"/>
      <c r="V308" s="546"/>
      <c r="W308" s="546"/>
      <c r="X308" s="546"/>
      <c r="Y308" s="546"/>
      <c r="Z308" s="546"/>
      <c r="AA308" s="546"/>
      <c r="AD308" s="546"/>
      <c r="AE308" s="531"/>
      <c r="AF308" s="531"/>
      <c r="AG308" s="531"/>
      <c r="AH308" s="531"/>
      <c r="AI308" s="531"/>
      <c r="AJ308" s="531"/>
      <c r="AK308" s="531"/>
      <c r="AL308" s="531"/>
      <c r="AO308" s="549" t="e">
        <f>Resid!V123</f>
        <v>#REF!</v>
      </c>
      <c r="AP308" s="549" t="e">
        <f>Resid!W123</f>
        <v>#REF!</v>
      </c>
      <c r="AQ308" s="549" t="e">
        <f>Resid!X123</f>
        <v>#REF!</v>
      </c>
      <c r="AR308" s="549" t="e">
        <f>Resid!Y123</f>
        <v>#REF!</v>
      </c>
      <c r="AS308" s="549" t="e">
        <f>Resid!Z123</f>
        <v>#REF!</v>
      </c>
      <c r="AT308" s="549"/>
      <c r="AU308" s="549"/>
      <c r="AV308" s="549"/>
      <c r="AW308" s="549"/>
      <c r="AX308" s="549"/>
      <c r="AY308" s="549"/>
      <c r="AZ308" s="549"/>
      <c r="BA308" s="549"/>
      <c r="BB308" s="549"/>
      <c r="BC308" s="549"/>
      <c r="BF308" s="531" t="s">
        <v>37</v>
      </c>
    </row>
    <row r="309" spans="1:58" ht="15" customHeight="1">
      <c r="A309" s="531" t="s">
        <v>326</v>
      </c>
      <c r="B309" s="531" t="s">
        <v>327</v>
      </c>
      <c r="C309" s="530" t="s">
        <v>32</v>
      </c>
      <c r="D309" s="531" t="s">
        <v>125</v>
      </c>
      <c r="E309" s="531" t="s">
        <v>328</v>
      </c>
      <c r="F309" s="547">
        <v>2011</v>
      </c>
      <c r="G309" s="531">
        <v>45</v>
      </c>
      <c r="H309" s="548"/>
      <c r="I309" s="531">
        <v>1</v>
      </c>
      <c r="J309" s="531">
        <v>1</v>
      </c>
      <c r="K309" s="531">
        <v>1</v>
      </c>
      <c r="L309" s="531">
        <v>1</v>
      </c>
      <c r="M309" s="531">
        <v>1</v>
      </c>
      <c r="N309" s="531">
        <v>1</v>
      </c>
      <c r="O309" s="531">
        <v>1</v>
      </c>
      <c r="P309" s="531"/>
      <c r="Q309" s="531">
        <v>0.18</v>
      </c>
      <c r="R309" s="546"/>
      <c r="S309" s="546"/>
      <c r="T309" s="546"/>
      <c r="U309" s="546"/>
      <c r="V309" s="546"/>
      <c r="W309" s="546"/>
      <c r="X309" s="546"/>
      <c r="Y309" s="546"/>
      <c r="Z309" s="546"/>
      <c r="AA309" s="546"/>
      <c r="AD309" s="546"/>
      <c r="AE309" s="531"/>
      <c r="AF309" s="531"/>
      <c r="AG309" s="531"/>
      <c r="AH309" s="531"/>
      <c r="AI309" s="531"/>
      <c r="AJ309" s="531"/>
      <c r="AK309" s="531"/>
      <c r="AL309" s="531"/>
      <c r="AO309" s="549" t="e">
        <f>Resid!V124</f>
        <v>#REF!</v>
      </c>
      <c r="AP309" s="549" t="e">
        <f>Resid!W124</f>
        <v>#REF!</v>
      </c>
      <c r="AQ309" s="549" t="e">
        <f>Resid!X124</f>
        <v>#REF!</v>
      </c>
      <c r="AR309" s="549" t="e">
        <f>Resid!Y124</f>
        <v>#REF!</v>
      </c>
      <c r="AS309" s="549" t="e">
        <f>Resid!Z124</f>
        <v>#REF!</v>
      </c>
      <c r="AT309" s="549"/>
      <c r="AU309" s="549"/>
      <c r="AV309" s="549"/>
      <c r="AW309" s="549"/>
      <c r="AX309" s="549"/>
      <c r="AY309" s="549"/>
      <c r="AZ309" s="549"/>
      <c r="BA309" s="549"/>
      <c r="BB309" s="549"/>
      <c r="BC309" s="549"/>
      <c r="BF309" s="531" t="s">
        <v>37</v>
      </c>
    </row>
    <row r="310" spans="1:58" ht="15" customHeight="1">
      <c r="A310" s="531" t="s">
        <v>329</v>
      </c>
      <c r="B310" s="531" t="s">
        <v>330</v>
      </c>
      <c r="C310" s="530" t="s">
        <v>32</v>
      </c>
      <c r="D310" s="531" t="s">
        <v>331</v>
      </c>
      <c r="E310" s="531" t="s">
        <v>332</v>
      </c>
      <c r="F310" s="547">
        <v>2011</v>
      </c>
      <c r="G310" s="531">
        <v>45</v>
      </c>
      <c r="H310" s="548"/>
      <c r="I310" s="531">
        <v>1</v>
      </c>
      <c r="J310" s="531">
        <v>1</v>
      </c>
      <c r="K310" s="531">
        <v>1</v>
      </c>
      <c r="L310" s="531">
        <v>1</v>
      </c>
      <c r="M310" s="531">
        <v>1</v>
      </c>
      <c r="N310" s="531">
        <v>1</v>
      </c>
      <c r="O310" s="531">
        <v>1</v>
      </c>
      <c r="P310" s="531"/>
      <c r="Q310" s="531">
        <v>0.18</v>
      </c>
      <c r="R310" s="546"/>
      <c r="S310" s="546"/>
      <c r="T310" s="546"/>
      <c r="U310" s="546"/>
      <c r="V310" s="546"/>
      <c r="W310" s="546"/>
      <c r="X310" s="546"/>
      <c r="Y310" s="546"/>
      <c r="Z310" s="546"/>
      <c r="AA310" s="546"/>
      <c r="AD310" s="546"/>
      <c r="AE310" s="531"/>
      <c r="AF310" s="531"/>
      <c r="AG310" s="531"/>
      <c r="AH310" s="531"/>
      <c r="AI310" s="531"/>
      <c r="AJ310" s="531"/>
      <c r="AK310" s="531"/>
      <c r="AL310" s="531"/>
      <c r="AO310" s="546"/>
      <c r="AP310" s="546"/>
      <c r="AQ310" s="546"/>
      <c r="AR310" s="546"/>
      <c r="AS310" s="546"/>
      <c r="AT310" s="546"/>
      <c r="AU310" s="546"/>
      <c r="AV310" s="546"/>
      <c r="AW310" s="546"/>
      <c r="AX310" s="546"/>
      <c r="AY310" s="546"/>
      <c r="AZ310" s="546"/>
      <c r="BA310" s="546"/>
      <c r="BB310" s="546"/>
      <c r="BC310" s="546"/>
      <c r="BF310" s="531" t="s">
        <v>162</v>
      </c>
    </row>
    <row r="311" spans="1:58" ht="15" customHeight="1">
      <c r="A311" s="533" t="s">
        <v>61</v>
      </c>
      <c r="B311" s="532"/>
      <c r="C311" s="532"/>
      <c r="D311" s="533"/>
      <c r="E311" s="533"/>
      <c r="F311" s="554"/>
      <c r="G311" s="532"/>
      <c r="H311" s="555"/>
      <c r="I311" s="556"/>
      <c r="J311" s="555"/>
      <c r="K311" s="555"/>
      <c r="L311" s="555"/>
      <c r="M311" s="555"/>
      <c r="N311" s="555"/>
      <c r="O311" s="555"/>
      <c r="P311" s="555"/>
      <c r="Q311" s="556"/>
      <c r="R311" s="557"/>
      <c r="S311" s="557"/>
      <c r="T311" s="557"/>
      <c r="U311" s="557"/>
      <c r="V311" s="557"/>
      <c r="W311" s="557"/>
      <c r="X311" s="557"/>
      <c r="Y311" s="557"/>
      <c r="Z311" s="557"/>
      <c r="AA311" s="558"/>
      <c r="AD311" s="558"/>
      <c r="AE311" s="532"/>
      <c r="AF311" s="532"/>
      <c r="AG311" s="532"/>
      <c r="AH311" s="532"/>
      <c r="AI311" s="532"/>
      <c r="AJ311" s="532"/>
      <c r="AK311" s="532"/>
      <c r="AL311" s="532"/>
      <c r="AO311" s="557"/>
      <c r="AP311" s="557"/>
      <c r="AQ311" s="557"/>
      <c r="AR311" s="557"/>
      <c r="AS311" s="557"/>
      <c r="AT311" s="557"/>
      <c r="AU311" s="557"/>
      <c r="AV311" s="557"/>
      <c r="AW311" s="557"/>
      <c r="AX311" s="557"/>
      <c r="AY311" s="557"/>
      <c r="AZ311" s="557"/>
      <c r="BA311" s="557"/>
      <c r="BB311" s="557"/>
      <c r="BC311" s="557"/>
      <c r="BF311" s="533" t="s">
        <v>61</v>
      </c>
    </row>
    <row r="312" spans="1:58" ht="15" customHeight="1">
      <c r="A312" s="531" t="s">
        <v>162</v>
      </c>
      <c r="B312" s="531"/>
      <c r="C312" s="531"/>
      <c r="D312" s="531"/>
      <c r="E312" s="531"/>
      <c r="F312" s="547"/>
      <c r="G312" s="531"/>
      <c r="H312" s="531"/>
      <c r="I312" s="531"/>
      <c r="J312" s="531"/>
      <c r="K312" s="531"/>
      <c r="L312" s="531"/>
      <c r="M312" s="531"/>
      <c r="N312" s="531"/>
      <c r="O312" s="531"/>
      <c r="P312" s="531"/>
      <c r="Q312" s="531"/>
      <c r="R312" s="546"/>
      <c r="S312" s="546"/>
      <c r="T312" s="546"/>
      <c r="U312" s="546"/>
      <c r="V312" s="546"/>
      <c r="W312" s="546"/>
      <c r="X312" s="546"/>
      <c r="Y312" s="546"/>
      <c r="Z312" s="546"/>
      <c r="AA312" s="546"/>
      <c r="AD312" s="546"/>
      <c r="AE312" s="531"/>
      <c r="AF312" s="531"/>
      <c r="AG312" s="531"/>
      <c r="AH312" s="531"/>
      <c r="AI312" s="531"/>
      <c r="AJ312" s="531"/>
      <c r="AK312" s="531"/>
      <c r="AL312" s="531"/>
      <c r="AO312" s="546"/>
      <c r="AP312" s="546"/>
      <c r="AQ312" s="546"/>
      <c r="AR312" s="546"/>
      <c r="AS312" s="546"/>
      <c r="AT312" s="546"/>
      <c r="AU312" s="546"/>
      <c r="AV312" s="546"/>
      <c r="AW312" s="546"/>
      <c r="AX312" s="546"/>
      <c r="AY312" s="546"/>
      <c r="AZ312" s="546"/>
      <c r="BA312" s="546"/>
      <c r="BB312" s="546"/>
      <c r="BC312" s="546"/>
      <c r="BF312" s="531" t="s">
        <v>162</v>
      </c>
    </row>
    <row r="313" spans="1:58" ht="15" customHeight="1">
      <c r="A313" s="531" t="s">
        <v>333</v>
      </c>
      <c r="B313" s="531" t="s">
        <v>334</v>
      </c>
      <c r="C313" s="530" t="s">
        <v>335</v>
      </c>
      <c r="D313" s="531" t="s">
        <v>336</v>
      </c>
      <c r="E313" s="531" t="s">
        <v>337</v>
      </c>
      <c r="F313" s="547">
        <v>2011</v>
      </c>
      <c r="G313" s="531">
        <v>55</v>
      </c>
      <c r="H313" s="531">
        <v>0</v>
      </c>
      <c r="I313" s="531">
        <v>1</v>
      </c>
      <c r="J313" s="531"/>
      <c r="K313" s="531">
        <v>1</v>
      </c>
      <c r="L313" s="531">
        <v>1</v>
      </c>
      <c r="M313" s="531">
        <v>1</v>
      </c>
      <c r="N313" s="531">
        <v>1</v>
      </c>
      <c r="O313" s="531">
        <v>1</v>
      </c>
      <c r="P313" s="531">
        <v>0</v>
      </c>
      <c r="Q313" s="531">
        <v>0.01</v>
      </c>
      <c r="R313" s="546"/>
      <c r="S313" s="546"/>
      <c r="T313" s="546"/>
      <c r="U313" s="546"/>
      <c r="V313" s="546"/>
      <c r="W313" s="546"/>
      <c r="X313" s="546"/>
      <c r="Y313" s="546"/>
      <c r="Z313" s="546"/>
      <c r="AA313" s="546"/>
      <c r="AD313" s="546"/>
      <c r="AE313" s="531"/>
      <c r="AF313" s="531"/>
      <c r="AG313" s="531"/>
      <c r="AH313" s="531"/>
      <c r="AI313" s="531"/>
      <c r="AJ313" s="531"/>
      <c r="AK313" s="531"/>
      <c r="AL313" s="531"/>
      <c r="AO313" s="546"/>
      <c r="AP313" s="546"/>
      <c r="AQ313" s="546"/>
      <c r="AR313" s="546"/>
      <c r="AS313" s="546"/>
      <c r="AT313" s="546"/>
      <c r="AU313" s="546"/>
      <c r="AV313" s="546"/>
      <c r="AW313" s="546"/>
      <c r="AX313" s="546"/>
      <c r="AY313" s="546"/>
      <c r="AZ313" s="546"/>
      <c r="BA313" s="546"/>
      <c r="BB313" s="546"/>
      <c r="BC313" s="546"/>
      <c r="BF313" s="531" t="s">
        <v>37</v>
      </c>
    </row>
    <row r="314" spans="1:58" ht="15" customHeight="1">
      <c r="A314" s="531" t="s">
        <v>338</v>
      </c>
      <c r="B314" s="531" t="s">
        <v>339</v>
      </c>
      <c r="C314" s="530" t="s">
        <v>335</v>
      </c>
      <c r="D314" s="531" t="s">
        <v>340</v>
      </c>
      <c r="E314" s="531" t="s">
        <v>337</v>
      </c>
      <c r="F314" s="547">
        <v>2011</v>
      </c>
      <c r="G314" s="531">
        <v>55</v>
      </c>
      <c r="H314" s="531">
        <v>0</v>
      </c>
      <c r="I314" s="531">
        <v>1</v>
      </c>
      <c r="J314" s="531"/>
      <c r="K314" s="531">
        <v>1</v>
      </c>
      <c r="L314" s="531">
        <v>1</v>
      </c>
      <c r="M314" s="531">
        <v>1</v>
      </c>
      <c r="N314" s="531">
        <v>1</v>
      </c>
      <c r="O314" s="531">
        <v>1</v>
      </c>
      <c r="P314" s="531">
        <v>0</v>
      </c>
      <c r="Q314" s="531">
        <v>0.01</v>
      </c>
      <c r="R314" s="546"/>
      <c r="S314" s="546"/>
      <c r="T314" s="546"/>
      <c r="U314" s="546"/>
      <c r="V314" s="546"/>
      <c r="W314" s="546"/>
      <c r="X314" s="546"/>
      <c r="Y314" s="546"/>
      <c r="Z314" s="546"/>
      <c r="AA314" s="546"/>
      <c r="AD314" s="546"/>
      <c r="AE314" s="531"/>
      <c r="AF314" s="531"/>
      <c r="AG314" s="531"/>
      <c r="AH314" s="531"/>
      <c r="AI314" s="531"/>
      <c r="AJ314" s="531"/>
      <c r="AK314" s="531"/>
      <c r="AL314" s="531"/>
      <c r="AO314" s="546"/>
      <c r="AP314" s="546"/>
      <c r="AQ314" s="546"/>
      <c r="AR314" s="546"/>
      <c r="AS314" s="546"/>
      <c r="AT314" s="546"/>
      <c r="AU314" s="546"/>
      <c r="AV314" s="546"/>
      <c r="AW314" s="546"/>
      <c r="AX314" s="546"/>
      <c r="AY314" s="546"/>
      <c r="AZ314" s="546"/>
      <c r="BA314" s="546"/>
      <c r="BB314" s="546"/>
      <c r="BC314" s="546"/>
      <c r="BF314" s="531" t="s">
        <v>162</v>
      </c>
    </row>
    <row r="315" spans="1:58" ht="15" customHeight="1">
      <c r="A315" s="531" t="s">
        <v>341</v>
      </c>
      <c r="B315" s="531" t="s">
        <v>342</v>
      </c>
      <c r="C315" s="530" t="s">
        <v>335</v>
      </c>
      <c r="D315" s="531" t="s">
        <v>343</v>
      </c>
      <c r="E315" s="531" t="s">
        <v>337</v>
      </c>
      <c r="F315" s="547">
        <v>2011</v>
      </c>
      <c r="G315" s="531">
        <v>55</v>
      </c>
      <c r="H315" s="531">
        <v>0</v>
      </c>
      <c r="I315" s="531">
        <v>1</v>
      </c>
      <c r="J315" s="531"/>
      <c r="K315" s="531">
        <v>1</v>
      </c>
      <c r="L315" s="531">
        <v>1</v>
      </c>
      <c r="M315" s="531">
        <v>1</v>
      </c>
      <c r="N315" s="531">
        <v>1</v>
      </c>
      <c r="O315" s="531">
        <v>1</v>
      </c>
      <c r="P315" s="531">
        <v>0</v>
      </c>
      <c r="Q315" s="531">
        <v>0.01</v>
      </c>
      <c r="R315" s="546"/>
      <c r="S315" s="546"/>
      <c r="T315" s="546"/>
      <c r="U315" s="546"/>
      <c r="V315" s="546"/>
      <c r="W315" s="546"/>
      <c r="X315" s="546"/>
      <c r="Y315" s="546"/>
      <c r="Z315" s="546"/>
      <c r="AA315" s="546"/>
      <c r="AD315" s="546"/>
      <c r="AE315" s="531"/>
      <c r="AF315" s="531"/>
      <c r="AG315" s="531"/>
      <c r="AH315" s="531"/>
      <c r="AI315" s="531"/>
      <c r="AJ315" s="531"/>
      <c r="AK315" s="531"/>
      <c r="AL315" s="531"/>
      <c r="AO315" s="546"/>
      <c r="AP315" s="546"/>
      <c r="AQ315" s="546"/>
      <c r="AR315" s="546"/>
      <c r="AS315" s="546"/>
      <c r="AT315" s="546"/>
      <c r="AU315" s="546"/>
      <c r="AV315" s="546"/>
      <c r="AW315" s="546"/>
      <c r="AX315" s="546"/>
      <c r="AY315" s="546"/>
      <c r="AZ315" s="546"/>
      <c r="BA315" s="546"/>
      <c r="BB315" s="546"/>
      <c r="BC315" s="546"/>
      <c r="BF315" s="531" t="s">
        <v>37</v>
      </c>
    </row>
    <row r="316" spans="1:58" ht="15" customHeight="1">
      <c r="A316" s="531" t="s">
        <v>162</v>
      </c>
      <c r="B316" s="531"/>
      <c r="C316" s="530"/>
      <c r="D316" s="531"/>
      <c r="E316" s="531"/>
      <c r="F316" s="547"/>
      <c r="G316" s="531"/>
      <c r="H316" s="531"/>
      <c r="I316" s="531"/>
      <c r="J316" s="531"/>
      <c r="K316" s="531"/>
      <c r="L316" s="531"/>
      <c r="M316" s="531"/>
      <c r="N316" s="531"/>
      <c r="O316" s="531"/>
      <c r="P316" s="531"/>
      <c r="Q316" s="531"/>
      <c r="R316" s="546"/>
      <c r="S316" s="546"/>
      <c r="T316" s="546"/>
      <c r="U316" s="546"/>
      <c r="V316" s="546"/>
      <c r="W316" s="546"/>
      <c r="X316" s="546"/>
      <c r="Y316" s="546"/>
      <c r="Z316" s="546"/>
      <c r="AA316" s="546"/>
      <c r="AD316" s="546"/>
      <c r="AE316" s="531"/>
      <c r="AF316" s="531"/>
      <c r="AG316" s="531"/>
      <c r="AH316" s="531"/>
      <c r="AI316" s="531"/>
      <c r="AJ316" s="531"/>
      <c r="AK316" s="531"/>
      <c r="AL316" s="531"/>
      <c r="AO316" s="546"/>
      <c r="AP316" s="546"/>
      <c r="AQ316" s="546"/>
      <c r="AR316" s="546"/>
      <c r="AS316" s="546"/>
      <c r="AT316" s="546"/>
      <c r="AU316" s="546"/>
      <c r="AV316" s="546"/>
      <c r="AW316" s="546"/>
      <c r="AX316" s="546"/>
      <c r="AY316" s="546"/>
      <c r="AZ316" s="546"/>
      <c r="BA316" s="546"/>
      <c r="BB316" s="546"/>
      <c r="BC316" s="546"/>
      <c r="BF316" s="531" t="s">
        <v>162</v>
      </c>
    </row>
    <row r="317" spans="1:58" ht="15" customHeight="1">
      <c r="A317" s="531" t="s">
        <v>344</v>
      </c>
      <c r="B317" s="531" t="s">
        <v>345</v>
      </c>
      <c r="C317" s="530" t="s">
        <v>335</v>
      </c>
      <c r="D317" s="531" t="s">
        <v>346</v>
      </c>
      <c r="E317" s="531" t="s">
        <v>347</v>
      </c>
      <c r="F317" s="547">
        <v>2011</v>
      </c>
      <c r="G317" s="531">
        <v>55</v>
      </c>
      <c r="H317" s="531">
        <v>0</v>
      </c>
      <c r="I317" s="531">
        <v>1</v>
      </c>
      <c r="J317" s="531"/>
      <c r="K317" s="531">
        <v>1</v>
      </c>
      <c r="L317" s="531">
        <v>1</v>
      </c>
      <c r="M317" s="531">
        <v>1</v>
      </c>
      <c r="N317" s="531">
        <v>1</v>
      </c>
      <c r="O317" s="531">
        <v>1</v>
      </c>
      <c r="P317" s="531">
        <v>0.1</v>
      </c>
      <c r="Q317" s="531">
        <v>0.01</v>
      </c>
      <c r="R317" s="546"/>
      <c r="S317" s="546"/>
      <c r="T317" s="546"/>
      <c r="U317" s="546"/>
      <c r="V317" s="546"/>
      <c r="W317" s="546"/>
      <c r="X317" s="546"/>
      <c r="Y317" s="546"/>
      <c r="Z317" s="546"/>
      <c r="AA317" s="546"/>
      <c r="AD317" s="546"/>
      <c r="AE317" s="531"/>
      <c r="AF317" s="531"/>
      <c r="AG317" s="531"/>
      <c r="AH317" s="531"/>
      <c r="AI317" s="531"/>
      <c r="AJ317" s="531"/>
      <c r="AK317" s="531"/>
      <c r="AL317" s="531"/>
      <c r="AO317" s="546"/>
      <c r="AP317" s="546"/>
      <c r="AQ317" s="546"/>
      <c r="AR317" s="546"/>
      <c r="AS317" s="546"/>
      <c r="AT317" s="546"/>
      <c r="AU317" s="546"/>
      <c r="AV317" s="546"/>
      <c r="AW317" s="546"/>
      <c r="AX317" s="546"/>
      <c r="AY317" s="546"/>
      <c r="AZ317" s="546"/>
      <c r="BA317" s="546"/>
      <c r="BB317" s="546"/>
      <c r="BC317" s="546"/>
      <c r="BF317" s="531" t="s">
        <v>37</v>
      </c>
    </row>
    <row r="318" spans="1:58" ht="15" customHeight="1">
      <c r="A318" s="531" t="s">
        <v>348</v>
      </c>
      <c r="B318" s="531" t="s">
        <v>349</v>
      </c>
      <c r="C318" s="530" t="s">
        <v>335</v>
      </c>
      <c r="D318" s="531" t="s">
        <v>350</v>
      </c>
      <c r="E318" s="531" t="s">
        <v>347</v>
      </c>
      <c r="F318" s="547">
        <v>2011</v>
      </c>
      <c r="G318" s="531">
        <v>55</v>
      </c>
      <c r="H318" s="531">
        <v>0</v>
      </c>
      <c r="I318" s="531">
        <v>1</v>
      </c>
      <c r="J318" s="531"/>
      <c r="K318" s="531">
        <v>1</v>
      </c>
      <c r="L318" s="531">
        <v>1</v>
      </c>
      <c r="M318" s="531">
        <v>1</v>
      </c>
      <c r="N318" s="531">
        <v>1</v>
      </c>
      <c r="O318" s="531">
        <v>1</v>
      </c>
      <c r="P318" s="531">
        <v>0.1</v>
      </c>
      <c r="Q318" s="531">
        <v>0.01</v>
      </c>
      <c r="R318" s="546"/>
      <c r="S318" s="546"/>
      <c r="T318" s="546"/>
      <c r="U318" s="546"/>
      <c r="V318" s="546"/>
      <c r="W318" s="546"/>
      <c r="X318" s="546"/>
      <c r="Y318" s="546"/>
      <c r="Z318" s="546"/>
      <c r="AA318" s="546"/>
      <c r="AD318" s="546"/>
      <c r="AE318" s="531"/>
      <c r="AF318" s="531"/>
      <c r="AG318" s="531"/>
      <c r="AH318" s="531"/>
      <c r="AI318" s="531"/>
      <c r="AJ318" s="531"/>
      <c r="AK318" s="531"/>
      <c r="AL318" s="531"/>
      <c r="AO318" s="546"/>
      <c r="AP318" s="546"/>
      <c r="AQ318" s="546"/>
      <c r="AR318" s="546"/>
      <c r="AS318" s="546"/>
      <c r="AT318" s="546"/>
      <c r="AU318" s="546"/>
      <c r="AV318" s="546"/>
      <c r="AW318" s="546"/>
      <c r="AX318" s="546"/>
      <c r="AY318" s="546"/>
      <c r="AZ318" s="546"/>
      <c r="BA318" s="546"/>
      <c r="BB318" s="546"/>
      <c r="BC318" s="546"/>
      <c r="BF318" s="531" t="s">
        <v>37</v>
      </c>
    </row>
    <row r="319" spans="1:58" ht="15" customHeight="1">
      <c r="A319" s="531" t="s">
        <v>351</v>
      </c>
      <c r="B319" s="531" t="s">
        <v>352</v>
      </c>
      <c r="C319" s="530" t="s">
        <v>335</v>
      </c>
      <c r="D319" s="531" t="s">
        <v>353</v>
      </c>
      <c r="E319" s="531" t="s">
        <v>347</v>
      </c>
      <c r="F319" s="547">
        <v>2011</v>
      </c>
      <c r="G319" s="531">
        <v>55</v>
      </c>
      <c r="H319" s="531">
        <v>0</v>
      </c>
      <c r="I319" s="531">
        <v>1</v>
      </c>
      <c r="J319" s="531"/>
      <c r="K319" s="531">
        <v>1</v>
      </c>
      <c r="L319" s="531">
        <v>1</v>
      </c>
      <c r="M319" s="531">
        <v>1</v>
      </c>
      <c r="N319" s="531">
        <v>1</v>
      </c>
      <c r="O319" s="531">
        <v>1</v>
      </c>
      <c r="P319" s="531">
        <v>0.15</v>
      </c>
      <c r="Q319" s="531">
        <v>0.01</v>
      </c>
      <c r="R319" s="546"/>
      <c r="S319" s="546"/>
      <c r="T319" s="546"/>
      <c r="U319" s="546"/>
      <c r="V319" s="546"/>
      <c r="W319" s="546"/>
      <c r="X319" s="546"/>
      <c r="Y319" s="546"/>
      <c r="Z319" s="546"/>
      <c r="AA319" s="546"/>
      <c r="AD319" s="546"/>
      <c r="AE319" s="531"/>
      <c r="AF319" s="531"/>
      <c r="AG319" s="531"/>
      <c r="AH319" s="531"/>
      <c r="AI319" s="531"/>
      <c r="AJ319" s="531"/>
      <c r="AK319" s="531"/>
      <c r="AL319" s="531"/>
      <c r="AO319" s="546"/>
      <c r="AP319" s="546"/>
      <c r="AQ319" s="546"/>
      <c r="AR319" s="546"/>
      <c r="AS319" s="546"/>
      <c r="AT319" s="546"/>
      <c r="AU319" s="546"/>
      <c r="AV319" s="546"/>
      <c r="AW319" s="546"/>
      <c r="AX319" s="546"/>
      <c r="AY319" s="546"/>
      <c r="AZ319" s="546"/>
      <c r="BA319" s="546"/>
      <c r="BB319" s="546"/>
      <c r="BC319" s="546"/>
      <c r="BF319" s="531" t="s">
        <v>37</v>
      </c>
    </row>
    <row r="320" spans="1:58" ht="15" customHeight="1">
      <c r="A320" s="531" t="s">
        <v>354</v>
      </c>
      <c r="B320" s="531" t="s">
        <v>355</v>
      </c>
      <c r="C320" s="530" t="s">
        <v>335</v>
      </c>
      <c r="D320" s="531" t="s">
        <v>356</v>
      </c>
      <c r="E320" s="531" t="s">
        <v>347</v>
      </c>
      <c r="F320" s="547">
        <v>2011</v>
      </c>
      <c r="G320" s="531">
        <v>55</v>
      </c>
      <c r="H320" s="531">
        <v>0</v>
      </c>
      <c r="I320" s="531">
        <v>1</v>
      </c>
      <c r="J320" s="531"/>
      <c r="K320" s="531">
        <v>1</v>
      </c>
      <c r="L320" s="531">
        <v>1</v>
      </c>
      <c r="M320" s="531">
        <v>1</v>
      </c>
      <c r="N320" s="531">
        <v>1</v>
      </c>
      <c r="O320" s="531">
        <v>1</v>
      </c>
      <c r="P320" s="531">
        <v>0.2</v>
      </c>
      <c r="Q320" s="531">
        <v>0.01</v>
      </c>
      <c r="R320" s="546"/>
      <c r="S320" s="546"/>
      <c r="T320" s="546"/>
      <c r="U320" s="546"/>
      <c r="V320" s="546"/>
      <c r="W320" s="546"/>
      <c r="X320" s="546"/>
      <c r="Y320" s="546"/>
      <c r="Z320" s="546"/>
      <c r="AA320" s="546"/>
      <c r="AD320" s="546"/>
      <c r="AE320" s="531"/>
      <c r="AF320" s="531"/>
      <c r="AG320" s="531"/>
      <c r="AH320" s="531"/>
      <c r="AI320" s="531"/>
      <c r="AJ320" s="531"/>
      <c r="AK320" s="531"/>
      <c r="AL320" s="531"/>
      <c r="AO320" s="546"/>
      <c r="AP320" s="546"/>
      <c r="AQ320" s="546"/>
      <c r="AR320" s="546"/>
      <c r="AS320" s="546"/>
      <c r="AT320" s="546"/>
      <c r="AU320" s="546"/>
      <c r="AV320" s="546"/>
      <c r="AW320" s="546"/>
      <c r="AX320" s="546"/>
      <c r="AY320" s="546"/>
      <c r="AZ320" s="546"/>
      <c r="BA320" s="546"/>
      <c r="BB320" s="546"/>
      <c r="BC320" s="546"/>
      <c r="BF320" s="531" t="s">
        <v>37</v>
      </c>
    </row>
    <row r="321" spans="1:58" ht="15" customHeight="1">
      <c r="A321" s="531" t="s">
        <v>162</v>
      </c>
      <c r="B321" s="531"/>
      <c r="C321" s="531"/>
      <c r="D321" s="531"/>
      <c r="E321" s="531"/>
      <c r="F321" s="547"/>
      <c r="G321" s="531"/>
      <c r="H321" s="531"/>
      <c r="I321" s="531"/>
      <c r="J321" s="531"/>
      <c r="K321" s="531"/>
      <c r="L321" s="531"/>
      <c r="M321" s="531"/>
      <c r="N321" s="531"/>
      <c r="O321" s="531"/>
      <c r="P321" s="531"/>
      <c r="Q321" s="531"/>
      <c r="R321" s="546"/>
      <c r="S321" s="546"/>
      <c r="T321" s="546"/>
      <c r="U321" s="546"/>
      <c r="V321" s="546"/>
      <c r="W321" s="546"/>
      <c r="X321" s="546"/>
      <c r="Y321" s="546"/>
      <c r="Z321" s="546"/>
      <c r="AA321" s="546"/>
      <c r="AD321" s="546"/>
      <c r="AE321" s="531"/>
      <c r="AF321" s="531"/>
      <c r="AG321" s="531"/>
      <c r="AH321" s="531"/>
      <c r="AI321" s="531"/>
      <c r="AJ321" s="531"/>
      <c r="AK321" s="531"/>
      <c r="AL321" s="531"/>
      <c r="AO321" s="546"/>
      <c r="AP321" s="546"/>
      <c r="AQ321" s="546"/>
      <c r="AR321" s="546"/>
      <c r="AS321" s="546"/>
      <c r="AT321" s="546"/>
      <c r="AU321" s="546"/>
      <c r="AV321" s="546"/>
      <c r="AW321" s="546"/>
      <c r="AX321" s="546"/>
      <c r="AY321" s="546"/>
      <c r="AZ321" s="546"/>
      <c r="BA321" s="546"/>
      <c r="BB321" s="546"/>
      <c r="BC321" s="546"/>
      <c r="BF321" s="531" t="s">
        <v>162</v>
      </c>
    </row>
    <row r="322" spans="1:58" ht="15" customHeight="1">
      <c r="A322" s="533" t="s">
        <v>357</v>
      </c>
      <c r="B322" s="532"/>
      <c r="C322" s="532"/>
      <c r="D322" s="533"/>
      <c r="E322" s="533"/>
      <c r="F322" s="554"/>
      <c r="G322" s="532"/>
      <c r="H322" s="555"/>
      <c r="I322" s="556"/>
      <c r="J322" s="555"/>
      <c r="K322" s="555"/>
      <c r="L322" s="555"/>
      <c r="M322" s="555"/>
      <c r="N322" s="555"/>
      <c r="O322" s="555"/>
      <c r="P322" s="555"/>
      <c r="Q322" s="556"/>
      <c r="R322" s="557"/>
      <c r="S322" s="557"/>
      <c r="T322" s="557"/>
      <c r="U322" s="557"/>
      <c r="V322" s="557"/>
      <c r="W322" s="557"/>
      <c r="X322" s="557"/>
      <c r="Y322" s="557"/>
      <c r="Z322" s="557"/>
      <c r="AA322" s="558"/>
      <c r="AD322" s="558"/>
      <c r="AE322" s="532"/>
      <c r="AF322" s="532"/>
      <c r="AG322" s="532"/>
      <c r="AH322" s="532"/>
      <c r="AI322" s="532"/>
      <c r="AJ322" s="532"/>
      <c r="AK322" s="532"/>
      <c r="AL322" s="532"/>
      <c r="AO322" s="557"/>
      <c r="AP322" s="557"/>
      <c r="AQ322" s="557"/>
      <c r="AR322" s="557"/>
      <c r="AS322" s="557"/>
      <c r="AT322" s="557"/>
      <c r="AU322" s="557"/>
      <c r="AV322" s="557"/>
      <c r="AW322" s="557"/>
      <c r="AX322" s="557"/>
      <c r="AY322" s="557"/>
      <c r="AZ322" s="557"/>
      <c r="BA322" s="557"/>
      <c r="BB322" s="557"/>
      <c r="BC322" s="557"/>
      <c r="BF322" s="533" t="s">
        <v>357</v>
      </c>
    </row>
    <row r="323" spans="1:58" ht="15" customHeight="1">
      <c r="A323" s="531" t="s">
        <v>162</v>
      </c>
      <c r="B323" s="531"/>
      <c r="C323" s="530"/>
      <c r="D323" s="531"/>
      <c r="E323" s="531"/>
      <c r="F323" s="547"/>
      <c r="G323" s="531"/>
      <c r="H323" s="531"/>
      <c r="I323" s="531"/>
      <c r="J323" s="531"/>
      <c r="K323" s="531"/>
      <c r="L323" s="531"/>
      <c r="M323" s="531"/>
      <c r="N323" s="531"/>
      <c r="O323" s="531"/>
      <c r="P323" s="531"/>
      <c r="Q323" s="531"/>
      <c r="R323" s="546"/>
      <c r="S323" s="546"/>
      <c r="T323" s="546"/>
      <c r="U323" s="546"/>
      <c r="V323" s="546"/>
      <c r="W323" s="546"/>
      <c r="X323" s="546"/>
      <c r="Y323" s="546"/>
      <c r="Z323" s="546"/>
      <c r="AA323" s="546"/>
      <c r="AD323" s="546"/>
      <c r="AE323" s="531"/>
      <c r="AF323" s="531"/>
      <c r="AG323" s="531"/>
      <c r="AH323" s="531"/>
      <c r="AI323" s="531"/>
      <c r="AJ323" s="531"/>
      <c r="AK323" s="531"/>
      <c r="AL323" s="531"/>
      <c r="AO323" s="546"/>
      <c r="AP323" s="546"/>
      <c r="AQ323" s="546"/>
      <c r="AR323" s="546"/>
      <c r="AS323" s="546"/>
      <c r="AT323" s="546"/>
      <c r="AU323" s="546"/>
      <c r="AV323" s="546"/>
      <c r="AW323" s="546"/>
      <c r="AX323" s="546"/>
      <c r="AY323" s="546"/>
      <c r="AZ323" s="546"/>
      <c r="BA323" s="546"/>
      <c r="BB323" s="546"/>
      <c r="BC323" s="546"/>
      <c r="BF323" s="531" t="s">
        <v>162</v>
      </c>
    </row>
    <row r="324" spans="1:58" ht="15" customHeight="1">
      <c r="A324" s="531" t="s">
        <v>358</v>
      </c>
      <c r="B324" s="531" t="s">
        <v>359</v>
      </c>
      <c r="C324" s="530" t="s">
        <v>32</v>
      </c>
      <c r="D324" s="531" t="s">
        <v>360</v>
      </c>
      <c r="E324" s="531" t="s">
        <v>123</v>
      </c>
      <c r="F324" s="547">
        <v>2011</v>
      </c>
      <c r="G324" s="531">
        <v>55</v>
      </c>
      <c r="H324" s="531">
        <v>0</v>
      </c>
      <c r="I324" s="531">
        <v>1</v>
      </c>
      <c r="J324" s="531">
        <v>1</v>
      </c>
      <c r="K324" s="531">
        <v>0.1</v>
      </c>
      <c r="L324" s="531">
        <v>0.1</v>
      </c>
      <c r="M324" s="531">
        <v>0.1</v>
      </c>
      <c r="N324" s="531">
        <v>0.1</v>
      </c>
      <c r="O324" s="531">
        <v>0.1</v>
      </c>
      <c r="P324" s="531">
        <v>0</v>
      </c>
      <c r="Q324" s="531">
        <v>0.01</v>
      </c>
      <c r="R324" s="546">
        <v>0</v>
      </c>
      <c r="S324" s="546">
        <v>0</v>
      </c>
      <c r="T324" s="546">
        <v>0</v>
      </c>
      <c r="U324" s="546">
        <v>0</v>
      </c>
      <c r="V324" s="546">
        <v>0</v>
      </c>
      <c r="W324" s="546">
        <v>0</v>
      </c>
      <c r="X324" s="546">
        <v>0</v>
      </c>
      <c r="Y324" s="546">
        <v>0</v>
      </c>
      <c r="Z324" s="546">
        <v>0</v>
      </c>
      <c r="AA324" s="546">
        <v>0</v>
      </c>
      <c r="AD324" s="546"/>
      <c r="AE324" s="531"/>
      <c r="AF324" s="531"/>
      <c r="AG324" s="531"/>
      <c r="AH324" s="531"/>
      <c r="AI324" s="531"/>
      <c r="AJ324" s="531"/>
      <c r="AK324" s="531"/>
      <c r="AL324" s="531"/>
      <c r="AO324" s="546"/>
      <c r="AP324" s="546"/>
      <c r="AQ324" s="546"/>
      <c r="AR324" s="546"/>
      <c r="AS324" s="546"/>
      <c r="AT324" s="546"/>
      <c r="AU324" s="546"/>
      <c r="AV324" s="546"/>
      <c r="AW324" s="546"/>
      <c r="AX324" s="546"/>
      <c r="AY324" s="546"/>
      <c r="AZ324" s="546"/>
      <c r="BA324" s="546"/>
      <c r="BB324" s="546"/>
      <c r="BC324" s="546"/>
      <c r="BF324" s="531" t="s">
        <v>162</v>
      </c>
    </row>
    <row r="325" spans="1:58" ht="15" customHeight="1">
      <c r="A325" s="531" t="s">
        <v>361</v>
      </c>
      <c r="B325" s="531" t="s">
        <v>362</v>
      </c>
      <c r="C325" s="530" t="s">
        <v>32</v>
      </c>
      <c r="D325" s="531" t="s">
        <v>363</v>
      </c>
      <c r="E325" s="531" t="s">
        <v>123</v>
      </c>
      <c r="F325" s="547">
        <v>2011</v>
      </c>
      <c r="G325" s="531">
        <v>55</v>
      </c>
      <c r="H325" s="531">
        <v>0</v>
      </c>
      <c r="I325" s="531">
        <v>1</v>
      </c>
      <c r="J325" s="531">
        <v>1</v>
      </c>
      <c r="K325" s="531">
        <v>0.1</v>
      </c>
      <c r="L325" s="531">
        <v>0.1</v>
      </c>
      <c r="M325" s="531">
        <v>0.1</v>
      </c>
      <c r="N325" s="531">
        <v>0.1</v>
      </c>
      <c r="O325" s="531">
        <v>0.1</v>
      </c>
      <c r="P325" s="531">
        <v>0</v>
      </c>
      <c r="Q325" s="531">
        <v>0.01</v>
      </c>
      <c r="R325" s="546">
        <v>0</v>
      </c>
      <c r="S325" s="546">
        <v>0</v>
      </c>
      <c r="T325" s="546">
        <v>0</v>
      </c>
      <c r="U325" s="546">
        <v>0</v>
      </c>
      <c r="V325" s="546">
        <v>0</v>
      </c>
      <c r="W325" s="546">
        <v>0</v>
      </c>
      <c r="X325" s="546">
        <v>0</v>
      </c>
      <c r="Y325" s="546">
        <v>0</v>
      </c>
      <c r="Z325" s="546">
        <v>0</v>
      </c>
      <c r="AA325" s="546">
        <v>0</v>
      </c>
      <c r="AD325" s="546"/>
      <c r="AE325" s="531"/>
      <c r="AF325" s="531"/>
      <c r="AG325" s="531"/>
      <c r="AH325" s="531"/>
      <c r="AI325" s="531"/>
      <c r="AJ325" s="531"/>
      <c r="AK325" s="531"/>
      <c r="AL325" s="531"/>
      <c r="AO325" s="546"/>
      <c r="AP325" s="546"/>
      <c r="AQ325" s="546"/>
      <c r="AR325" s="546"/>
      <c r="AS325" s="546"/>
      <c r="AT325" s="546"/>
      <c r="AU325" s="546"/>
      <c r="AV325" s="546"/>
      <c r="AW325" s="546"/>
      <c r="AX325" s="546"/>
      <c r="AY325" s="546"/>
      <c r="AZ325" s="546"/>
      <c r="BA325" s="546"/>
      <c r="BB325" s="546"/>
      <c r="BC325" s="546"/>
      <c r="BF325" s="531" t="s">
        <v>162</v>
      </c>
    </row>
    <row r="326" spans="1:58" ht="15" customHeight="1">
      <c r="A326" s="531" t="s">
        <v>364</v>
      </c>
      <c r="B326" s="531" t="s">
        <v>365</v>
      </c>
      <c r="C326" s="530" t="s">
        <v>32</v>
      </c>
      <c r="D326" s="531" t="s">
        <v>366</v>
      </c>
      <c r="E326" s="531" t="s">
        <v>123</v>
      </c>
      <c r="F326" s="547">
        <v>2011</v>
      </c>
      <c r="G326" s="531">
        <v>55</v>
      </c>
      <c r="H326" s="531">
        <v>0</v>
      </c>
      <c r="I326" s="531">
        <v>1</v>
      </c>
      <c r="J326" s="531">
        <v>1</v>
      </c>
      <c r="K326" s="531">
        <v>0.1</v>
      </c>
      <c r="L326" s="531">
        <v>0.1</v>
      </c>
      <c r="M326" s="531">
        <v>0.1</v>
      </c>
      <c r="N326" s="531">
        <v>0.1</v>
      </c>
      <c r="O326" s="531">
        <v>0.1</v>
      </c>
      <c r="P326" s="531">
        <v>0</v>
      </c>
      <c r="Q326" s="531">
        <v>0.01</v>
      </c>
      <c r="R326" s="546">
        <v>0</v>
      </c>
      <c r="S326" s="546">
        <v>0</v>
      </c>
      <c r="T326" s="546">
        <v>0</v>
      </c>
      <c r="U326" s="546">
        <v>0</v>
      </c>
      <c r="V326" s="546">
        <v>0</v>
      </c>
      <c r="W326" s="546">
        <v>0</v>
      </c>
      <c r="X326" s="546">
        <v>0</v>
      </c>
      <c r="Y326" s="546">
        <v>0</v>
      </c>
      <c r="Z326" s="546">
        <v>0</v>
      </c>
      <c r="AA326" s="546">
        <v>0</v>
      </c>
      <c r="AD326" s="546"/>
      <c r="AE326" s="531"/>
      <c r="AF326" s="531"/>
      <c r="AG326" s="531"/>
      <c r="AH326" s="531"/>
      <c r="AI326" s="531"/>
      <c r="AJ326" s="531"/>
      <c r="AK326" s="531"/>
      <c r="AL326" s="531"/>
      <c r="AO326" s="546"/>
      <c r="AP326" s="546"/>
      <c r="AQ326" s="546"/>
      <c r="AR326" s="546"/>
      <c r="AS326" s="546"/>
      <c r="AT326" s="546"/>
      <c r="AU326" s="546"/>
      <c r="AV326" s="546"/>
      <c r="AW326" s="546"/>
      <c r="AX326" s="546"/>
      <c r="AY326" s="546"/>
      <c r="AZ326" s="546"/>
      <c r="BA326" s="546"/>
      <c r="BB326" s="546"/>
      <c r="BC326" s="546"/>
      <c r="BF326" s="531" t="s">
        <v>162</v>
      </c>
    </row>
    <row r="327" spans="1:58" ht="15" customHeight="1">
      <c r="A327" s="531" t="s">
        <v>367</v>
      </c>
      <c r="B327" s="531" t="s">
        <v>368</v>
      </c>
      <c r="C327" s="530" t="s">
        <v>32</v>
      </c>
      <c r="D327" s="531" t="s">
        <v>369</v>
      </c>
      <c r="E327" s="531" t="s">
        <v>123</v>
      </c>
      <c r="F327" s="547">
        <v>2011</v>
      </c>
      <c r="G327" s="531">
        <v>55</v>
      </c>
      <c r="H327" s="531">
        <v>0</v>
      </c>
      <c r="I327" s="531">
        <v>1</v>
      </c>
      <c r="J327" s="531">
        <v>1</v>
      </c>
      <c r="K327" s="531">
        <v>0.1</v>
      </c>
      <c r="L327" s="531">
        <v>0.1</v>
      </c>
      <c r="M327" s="531">
        <v>0.1</v>
      </c>
      <c r="N327" s="531">
        <v>0.1</v>
      </c>
      <c r="O327" s="531">
        <v>0.1</v>
      </c>
      <c r="P327" s="531">
        <v>0</v>
      </c>
      <c r="Q327" s="531">
        <v>0.01</v>
      </c>
      <c r="R327" s="546">
        <v>0</v>
      </c>
      <c r="S327" s="546">
        <v>0</v>
      </c>
      <c r="T327" s="546">
        <v>0</v>
      </c>
      <c r="U327" s="546">
        <v>0</v>
      </c>
      <c r="V327" s="546">
        <v>0</v>
      </c>
      <c r="W327" s="546">
        <v>0</v>
      </c>
      <c r="X327" s="546">
        <v>0</v>
      </c>
      <c r="Y327" s="546">
        <v>0</v>
      </c>
      <c r="Z327" s="546">
        <v>0</v>
      </c>
      <c r="AA327" s="546">
        <v>0</v>
      </c>
      <c r="AD327" s="546"/>
      <c r="AE327" s="531"/>
      <c r="AF327" s="531"/>
      <c r="AG327" s="531"/>
      <c r="AH327" s="531"/>
      <c r="AI327" s="531"/>
      <c r="AJ327" s="531"/>
      <c r="AK327" s="531"/>
      <c r="AL327" s="531"/>
      <c r="AO327" s="546"/>
      <c r="AP327" s="546"/>
      <c r="AQ327" s="546"/>
      <c r="AR327" s="546"/>
      <c r="AS327" s="546"/>
      <c r="AT327" s="546"/>
      <c r="AU327" s="546"/>
      <c r="AV327" s="546"/>
      <c r="AW327" s="546"/>
      <c r="AX327" s="546"/>
      <c r="AY327" s="546"/>
      <c r="AZ327" s="546"/>
      <c r="BA327" s="546"/>
      <c r="BB327" s="546"/>
      <c r="BC327" s="546"/>
      <c r="BF327" s="531" t="s">
        <v>162</v>
      </c>
    </row>
    <row r="328" spans="1:58" ht="15" customHeight="1">
      <c r="A328" s="531" t="s">
        <v>370</v>
      </c>
      <c r="B328" s="531" t="s">
        <v>371</v>
      </c>
      <c r="C328" s="530" t="s">
        <v>32</v>
      </c>
      <c r="D328" s="531" t="s">
        <v>360</v>
      </c>
      <c r="E328" s="531" t="s">
        <v>124</v>
      </c>
      <c r="F328" s="547">
        <v>2011</v>
      </c>
      <c r="G328" s="531">
        <v>55</v>
      </c>
      <c r="H328" s="531">
        <v>0</v>
      </c>
      <c r="I328" s="531">
        <v>1</v>
      </c>
      <c r="J328" s="531">
        <v>1</v>
      </c>
      <c r="K328" s="531">
        <v>0.1</v>
      </c>
      <c r="L328" s="531">
        <v>0.1</v>
      </c>
      <c r="M328" s="531">
        <v>0.1</v>
      </c>
      <c r="N328" s="531">
        <v>0.1</v>
      </c>
      <c r="O328" s="531">
        <v>0.1</v>
      </c>
      <c r="P328" s="531">
        <v>0.1</v>
      </c>
      <c r="Q328" s="531">
        <v>0.01</v>
      </c>
      <c r="R328" s="546">
        <v>0</v>
      </c>
      <c r="S328" s="546">
        <v>0</v>
      </c>
      <c r="T328" s="546">
        <v>0</v>
      </c>
      <c r="U328" s="546">
        <v>0</v>
      </c>
      <c r="V328" s="546">
        <v>0</v>
      </c>
      <c r="W328" s="546">
        <v>0</v>
      </c>
      <c r="X328" s="546">
        <v>0</v>
      </c>
      <c r="Y328" s="546">
        <v>0</v>
      </c>
      <c r="Z328" s="546">
        <v>0</v>
      </c>
      <c r="AA328" s="546">
        <v>0</v>
      </c>
      <c r="AD328" s="546"/>
      <c r="AE328" s="531"/>
      <c r="AF328" s="531"/>
      <c r="AG328" s="531"/>
      <c r="AH328" s="531"/>
      <c r="AI328" s="531"/>
      <c r="AJ328" s="531"/>
      <c r="AK328" s="531"/>
      <c r="AL328" s="531"/>
      <c r="AO328" s="546"/>
      <c r="AP328" s="546"/>
      <c r="AQ328" s="546"/>
      <c r="AR328" s="546"/>
      <c r="AS328" s="546"/>
      <c r="AT328" s="546"/>
      <c r="AU328" s="546"/>
      <c r="AV328" s="546"/>
      <c r="AW328" s="546"/>
      <c r="AX328" s="546"/>
      <c r="AY328" s="546"/>
      <c r="AZ328" s="546"/>
      <c r="BA328" s="546"/>
      <c r="BB328" s="546"/>
      <c r="BC328" s="546"/>
      <c r="BF328" s="531" t="s">
        <v>162</v>
      </c>
    </row>
    <row r="329" spans="1:58" ht="15" customHeight="1">
      <c r="A329" s="531" t="s">
        <v>372</v>
      </c>
      <c r="B329" s="531" t="s">
        <v>373</v>
      </c>
      <c r="C329" s="530" t="s">
        <v>32</v>
      </c>
      <c r="D329" s="531" t="s">
        <v>363</v>
      </c>
      <c r="E329" s="531" t="s">
        <v>124</v>
      </c>
      <c r="F329" s="547">
        <v>2011</v>
      </c>
      <c r="G329" s="531">
        <v>55</v>
      </c>
      <c r="H329" s="531">
        <v>0</v>
      </c>
      <c r="I329" s="531">
        <v>1</v>
      </c>
      <c r="J329" s="531">
        <v>1</v>
      </c>
      <c r="K329" s="531">
        <v>0.1</v>
      </c>
      <c r="L329" s="531">
        <v>0.1</v>
      </c>
      <c r="M329" s="531">
        <v>0.1</v>
      </c>
      <c r="N329" s="531">
        <v>0.1</v>
      </c>
      <c r="O329" s="531">
        <v>0.1</v>
      </c>
      <c r="P329" s="531">
        <v>0.1</v>
      </c>
      <c r="Q329" s="531">
        <v>0.01</v>
      </c>
      <c r="R329" s="546">
        <v>0</v>
      </c>
      <c r="S329" s="546">
        <v>0</v>
      </c>
      <c r="T329" s="546">
        <v>0</v>
      </c>
      <c r="U329" s="546">
        <v>0</v>
      </c>
      <c r="V329" s="546">
        <v>0</v>
      </c>
      <c r="W329" s="546">
        <v>0</v>
      </c>
      <c r="X329" s="546">
        <v>0</v>
      </c>
      <c r="Y329" s="546">
        <v>0</v>
      </c>
      <c r="Z329" s="546">
        <v>0</v>
      </c>
      <c r="AA329" s="546">
        <v>0</v>
      </c>
      <c r="AD329" s="546"/>
      <c r="AE329" s="531"/>
      <c r="AF329" s="531"/>
      <c r="AG329" s="531"/>
      <c r="AH329" s="531"/>
      <c r="AI329" s="531"/>
      <c r="AJ329" s="531"/>
      <c r="AK329" s="531"/>
      <c r="AL329" s="531"/>
      <c r="AO329" s="546"/>
      <c r="AP329" s="546"/>
      <c r="AQ329" s="546"/>
      <c r="AR329" s="546"/>
      <c r="AS329" s="546"/>
      <c r="AT329" s="546"/>
      <c r="AU329" s="546"/>
      <c r="AV329" s="546"/>
      <c r="AW329" s="546"/>
      <c r="AX329" s="546"/>
      <c r="AY329" s="546"/>
      <c r="AZ329" s="546"/>
      <c r="BA329" s="546"/>
      <c r="BB329" s="546"/>
      <c r="BC329" s="546"/>
      <c r="BF329" s="531" t="s">
        <v>162</v>
      </c>
    </row>
    <row r="330" spans="1:58" ht="15" customHeight="1">
      <c r="A330" s="531" t="s">
        <v>374</v>
      </c>
      <c r="B330" s="531" t="s">
        <v>375</v>
      </c>
      <c r="C330" s="530" t="s">
        <v>32</v>
      </c>
      <c r="D330" s="531" t="s">
        <v>366</v>
      </c>
      <c r="E330" s="531" t="s">
        <v>124</v>
      </c>
      <c r="F330" s="547">
        <v>2011</v>
      </c>
      <c r="G330" s="531">
        <v>55</v>
      </c>
      <c r="H330" s="531">
        <v>0</v>
      </c>
      <c r="I330" s="531">
        <v>1</v>
      </c>
      <c r="J330" s="531">
        <v>1</v>
      </c>
      <c r="K330" s="531">
        <v>0.1</v>
      </c>
      <c r="L330" s="531">
        <v>0.1</v>
      </c>
      <c r="M330" s="531">
        <v>0.1</v>
      </c>
      <c r="N330" s="531">
        <v>0.1</v>
      </c>
      <c r="O330" s="531">
        <v>0.1</v>
      </c>
      <c r="P330" s="531">
        <v>0.15</v>
      </c>
      <c r="Q330" s="531">
        <v>0.01</v>
      </c>
      <c r="R330" s="546">
        <v>0</v>
      </c>
      <c r="S330" s="546">
        <v>0</v>
      </c>
      <c r="T330" s="546">
        <v>0</v>
      </c>
      <c r="U330" s="546">
        <v>0</v>
      </c>
      <c r="V330" s="546">
        <v>0</v>
      </c>
      <c r="W330" s="546">
        <v>0</v>
      </c>
      <c r="X330" s="546">
        <v>0</v>
      </c>
      <c r="Y330" s="546">
        <v>0</v>
      </c>
      <c r="Z330" s="546">
        <v>0</v>
      </c>
      <c r="AA330" s="546">
        <v>0</v>
      </c>
      <c r="AD330" s="546"/>
      <c r="AE330" s="531"/>
      <c r="AF330" s="531"/>
      <c r="AG330" s="531"/>
      <c r="AH330" s="531"/>
      <c r="AI330" s="531"/>
      <c r="AJ330" s="531"/>
      <c r="AK330" s="531"/>
      <c r="AL330" s="531"/>
      <c r="AO330" s="546"/>
      <c r="AP330" s="546"/>
      <c r="AQ330" s="546"/>
      <c r="AR330" s="546"/>
      <c r="AS330" s="546"/>
      <c r="AT330" s="546"/>
      <c r="AU330" s="546"/>
      <c r="AV330" s="546"/>
      <c r="AW330" s="546"/>
      <c r="AX330" s="546"/>
      <c r="AY330" s="546"/>
      <c r="AZ330" s="546"/>
      <c r="BA330" s="546"/>
      <c r="BB330" s="546"/>
      <c r="BC330" s="546"/>
      <c r="BF330" s="531" t="s">
        <v>162</v>
      </c>
    </row>
    <row r="331" spans="1:58" ht="15" customHeight="1">
      <c r="A331" s="531" t="s">
        <v>376</v>
      </c>
      <c r="B331" s="531" t="s">
        <v>377</v>
      </c>
      <c r="C331" s="530" t="s">
        <v>32</v>
      </c>
      <c r="D331" s="531" t="s">
        <v>369</v>
      </c>
      <c r="E331" s="531" t="s">
        <v>124</v>
      </c>
      <c r="F331" s="547">
        <v>2011</v>
      </c>
      <c r="G331" s="531">
        <v>55</v>
      </c>
      <c r="H331" s="531">
        <v>0</v>
      </c>
      <c r="I331" s="531">
        <v>1</v>
      </c>
      <c r="J331" s="531">
        <v>1</v>
      </c>
      <c r="K331" s="531">
        <v>0.1</v>
      </c>
      <c r="L331" s="531">
        <v>0.1</v>
      </c>
      <c r="M331" s="531">
        <v>0.1</v>
      </c>
      <c r="N331" s="531">
        <v>0.1</v>
      </c>
      <c r="O331" s="531">
        <v>0.1</v>
      </c>
      <c r="P331" s="531">
        <v>0.2</v>
      </c>
      <c r="Q331" s="531">
        <v>0.01</v>
      </c>
      <c r="R331" s="546">
        <v>0</v>
      </c>
      <c r="S331" s="546">
        <v>0</v>
      </c>
      <c r="T331" s="546">
        <v>0</v>
      </c>
      <c r="U331" s="546">
        <v>0</v>
      </c>
      <c r="V331" s="546">
        <v>0</v>
      </c>
      <c r="W331" s="546">
        <v>0</v>
      </c>
      <c r="X331" s="546">
        <v>0</v>
      </c>
      <c r="Y331" s="546">
        <v>0</v>
      </c>
      <c r="Z331" s="546">
        <v>0</v>
      </c>
      <c r="AA331" s="546">
        <v>0</v>
      </c>
      <c r="AD331" s="546"/>
      <c r="AE331" s="531"/>
      <c r="AF331" s="531"/>
      <c r="AG331" s="531"/>
      <c r="AH331" s="531"/>
      <c r="AI331" s="531"/>
      <c r="AJ331" s="531"/>
      <c r="AK331" s="531"/>
      <c r="AL331" s="531"/>
      <c r="AO331" s="546"/>
      <c r="AP331" s="546"/>
      <c r="AQ331" s="546"/>
      <c r="AR331" s="546"/>
      <c r="AS331" s="546"/>
      <c r="AT331" s="546"/>
      <c r="AU331" s="546"/>
      <c r="AV331" s="546"/>
      <c r="AW331" s="546"/>
      <c r="AX331" s="546"/>
      <c r="AY331" s="546"/>
      <c r="AZ331" s="546"/>
      <c r="BA331" s="546"/>
      <c r="BB331" s="546"/>
      <c r="BC331" s="546"/>
      <c r="BF331" s="531" t="s">
        <v>162</v>
      </c>
    </row>
  </sheetData>
  <phoneticPr fontId="0" type="noConversion"/>
  <pageMargins left="0.75" right="0.75" top="1" bottom="1" header="0.5" footer="0.5"/>
  <pageSetup paperSize="9" orientation="landscape" horizontalDpi="1200"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4">
    <tabColor rgb="FFFFC000"/>
  </sheetPr>
  <dimension ref="A1:BH14"/>
  <sheetViews>
    <sheetView topLeftCell="B1" zoomScale="85" workbookViewId="0">
      <selection activeCell="AJ22" sqref="AJ22"/>
    </sheetView>
  </sheetViews>
  <sheetFormatPr defaultColWidth="26.7265625" defaultRowHeight="12.5"/>
  <cols>
    <col min="1" max="1" width="21.1796875" style="12" customWidth="1"/>
    <col min="2" max="2" width="29.81640625" style="12" bestFit="1" customWidth="1"/>
    <col min="3" max="3" width="37.7265625" style="12" bestFit="1" customWidth="1"/>
    <col min="4" max="4" width="6.26953125" style="12" bestFit="1" customWidth="1"/>
    <col min="5" max="5" width="8.26953125" style="12" bestFit="1" customWidth="1"/>
    <col min="6" max="6" width="10.453125" style="12" bestFit="1" customWidth="1"/>
    <col min="7" max="7" width="13.26953125" style="543" bestFit="1" customWidth="1"/>
    <col min="8" max="8" width="12.1796875" style="12" bestFit="1" customWidth="1"/>
    <col min="9" max="9" width="13.453125" style="12" bestFit="1" customWidth="1"/>
    <col min="10" max="10" width="11.26953125" style="12" bestFit="1" customWidth="1"/>
    <col min="11" max="11" width="5.26953125" style="12" bestFit="1" customWidth="1"/>
    <col min="12" max="21" width="17.54296875" style="12" bestFit="1" customWidth="1"/>
    <col min="22" max="22" width="11.26953125" style="12" bestFit="1" customWidth="1"/>
    <col min="23" max="24" width="15.1796875" style="12" bestFit="1" customWidth="1"/>
    <col min="25" max="26" width="12.453125" style="12" bestFit="1" customWidth="1"/>
    <col min="27" max="27" width="12.26953125" style="12" bestFit="1" customWidth="1"/>
    <col min="28" max="29" width="15.81640625" style="12" bestFit="1" customWidth="1"/>
    <col min="30" max="30" width="13.1796875" style="12" bestFit="1" customWidth="1"/>
    <col min="31" max="31" width="12.453125" style="12" bestFit="1" customWidth="1"/>
    <col min="32" max="32" width="13.26953125" style="12" bestFit="1" customWidth="1"/>
    <col min="33" max="34" width="16.54296875" style="12" bestFit="1" customWidth="1"/>
    <col min="35" max="35" width="13.7265625" style="12" bestFit="1" customWidth="1"/>
    <col min="36" max="36" width="12.453125" style="12" bestFit="1" customWidth="1"/>
    <col min="37" max="37" width="13.81640625" style="12" bestFit="1" customWidth="1"/>
    <col min="38" max="38" width="13.453125" style="12" bestFit="1" customWidth="1"/>
    <col min="39" max="39" width="26.7265625" style="12"/>
    <col min="40" max="40" width="5.1796875" style="12" bestFit="1" customWidth="1"/>
    <col min="41" max="41" width="6.7265625" style="12" bestFit="1" customWidth="1"/>
    <col min="42" max="42" width="26.7265625" style="12"/>
    <col min="43" max="44" width="18.453125" style="12" bestFit="1" customWidth="1"/>
    <col min="45" max="60" width="18.7265625" style="12" bestFit="1" customWidth="1"/>
    <col min="61" max="16384" width="26.7265625" style="12"/>
  </cols>
  <sheetData>
    <row r="1" spans="1:60" ht="13">
      <c r="A1" s="1" t="s">
        <v>70</v>
      </c>
      <c r="B1" s="12" t="s">
        <v>12</v>
      </c>
      <c r="G1" s="537"/>
      <c r="H1" s="538"/>
      <c r="I1" s="538"/>
      <c r="J1" s="538"/>
      <c r="K1" s="538"/>
      <c r="L1" s="538"/>
      <c r="M1" s="538"/>
      <c r="N1" s="538"/>
      <c r="O1" s="538"/>
      <c r="P1" s="538"/>
      <c r="Q1" s="538"/>
      <c r="R1" s="538"/>
      <c r="S1" s="538"/>
      <c r="T1" s="538"/>
      <c r="U1" s="538"/>
      <c r="V1" s="538"/>
      <c r="W1" s="538"/>
      <c r="X1" s="538"/>
      <c r="Y1" s="538"/>
      <c r="Z1" s="538"/>
      <c r="AA1" s="538"/>
      <c r="AB1" s="538"/>
      <c r="AC1" s="538"/>
      <c r="AE1" s="538"/>
      <c r="AJ1" s="538"/>
      <c r="AN1" s="538"/>
      <c r="AO1" s="538"/>
      <c r="AQ1" s="538"/>
      <c r="AR1" s="538"/>
      <c r="AS1" s="538"/>
      <c r="AT1" s="538"/>
      <c r="AU1" s="538"/>
      <c r="AV1" s="538"/>
      <c r="AW1" s="538"/>
      <c r="AX1" s="538"/>
      <c r="AY1" s="538"/>
      <c r="AZ1" s="538"/>
      <c r="BA1" s="538"/>
      <c r="BB1" s="538"/>
      <c r="BC1" s="538"/>
      <c r="BD1" s="538"/>
      <c r="BE1" s="538"/>
      <c r="BF1" s="538"/>
      <c r="BG1" s="538"/>
      <c r="BH1" s="538"/>
    </row>
    <row r="2" spans="1:60">
      <c r="G2" s="537"/>
      <c r="H2" s="538"/>
      <c r="I2" s="538"/>
      <c r="J2" s="538"/>
      <c r="K2" s="538"/>
      <c r="L2" s="538"/>
      <c r="M2" s="538"/>
      <c r="N2" s="538"/>
      <c r="O2" s="538"/>
      <c r="P2" s="538"/>
      <c r="Q2" s="538"/>
      <c r="R2" s="538"/>
      <c r="S2" s="538"/>
      <c r="T2" s="538"/>
      <c r="U2" s="538"/>
      <c r="V2" s="538"/>
      <c r="W2" s="538"/>
      <c r="X2" s="538"/>
      <c r="Y2" s="538"/>
      <c r="Z2" s="538"/>
      <c r="AA2" s="538"/>
      <c r="AB2" s="538"/>
      <c r="AE2" s="538"/>
      <c r="AJ2" s="538"/>
      <c r="AN2" s="538"/>
      <c r="AO2" s="538"/>
      <c r="AQ2" s="538"/>
      <c r="AR2" s="538"/>
      <c r="AS2" s="538"/>
      <c r="AT2" s="538"/>
      <c r="AU2" s="538"/>
      <c r="AV2" s="538"/>
      <c r="AW2" s="538"/>
      <c r="AX2" s="538"/>
      <c r="AY2" s="538"/>
      <c r="AZ2" s="538"/>
      <c r="BA2" s="538"/>
      <c r="BB2" s="538"/>
      <c r="BC2" s="538"/>
      <c r="BD2" s="538"/>
      <c r="BE2" s="538"/>
      <c r="BF2" s="538"/>
      <c r="BG2" s="538"/>
      <c r="BH2" s="538"/>
    </row>
    <row r="3" spans="1:60">
      <c r="G3" s="537"/>
      <c r="H3" s="538"/>
      <c r="I3" s="538"/>
      <c r="J3" s="538"/>
      <c r="K3" s="538"/>
      <c r="L3" s="538"/>
      <c r="M3" s="538"/>
      <c r="N3" s="538"/>
      <c r="O3" s="538"/>
      <c r="P3" s="538"/>
      <c r="Q3" s="538"/>
      <c r="R3" s="538"/>
      <c r="S3" s="538"/>
      <c r="T3" s="538"/>
      <c r="U3" s="538"/>
      <c r="V3" s="538"/>
      <c r="W3" s="538"/>
      <c r="X3" s="538"/>
      <c r="Y3" s="538"/>
      <c r="Z3" s="538"/>
      <c r="AA3" s="538"/>
      <c r="AB3" s="538"/>
      <c r="AE3" s="538"/>
      <c r="AJ3" s="538"/>
      <c r="AN3" s="538"/>
      <c r="AO3" s="538"/>
      <c r="AQ3" s="538"/>
      <c r="AR3" s="538"/>
      <c r="AS3" s="538"/>
      <c r="AT3" s="538"/>
      <c r="AU3" s="538"/>
      <c r="AV3" s="538"/>
      <c r="AW3" s="538"/>
      <c r="AX3" s="538"/>
      <c r="AY3" s="538"/>
      <c r="AZ3" s="538"/>
      <c r="BA3" s="538"/>
      <c r="BB3" s="538"/>
      <c r="BC3" s="538"/>
      <c r="BD3" s="538"/>
      <c r="BE3" s="538"/>
      <c r="BF3" s="538"/>
      <c r="BG3" s="538"/>
      <c r="BH3" s="538"/>
    </row>
    <row r="4" spans="1:60" ht="17.25" customHeight="1">
      <c r="F4" s="536" t="s">
        <v>71</v>
      </c>
      <c r="G4" s="537"/>
      <c r="H4" s="538"/>
      <c r="I4" s="538"/>
      <c r="J4" s="538"/>
      <c r="K4" s="538"/>
      <c r="L4" s="538"/>
      <c r="M4" s="538"/>
      <c r="N4" s="538"/>
      <c r="O4" s="538"/>
      <c r="P4" s="538"/>
      <c r="Q4" s="538"/>
      <c r="R4" s="538"/>
      <c r="S4" s="538"/>
      <c r="T4" s="538"/>
      <c r="U4" s="538"/>
      <c r="V4" s="538"/>
      <c r="W4" s="538"/>
      <c r="X4" s="538"/>
      <c r="Y4" s="538"/>
      <c r="Z4" s="538"/>
      <c r="AA4" s="538"/>
      <c r="AB4" s="538"/>
      <c r="AE4" s="538"/>
      <c r="AJ4" s="538"/>
      <c r="AN4" s="538"/>
      <c r="AO4" s="538"/>
      <c r="AQ4" s="538"/>
      <c r="AR4" s="538"/>
      <c r="AS4" s="538"/>
      <c r="AT4" s="538"/>
      <c r="AU4" s="538"/>
      <c r="AV4" s="538"/>
      <c r="AW4" s="538"/>
      <c r="AX4" s="538"/>
      <c r="AY4" s="538"/>
      <c r="AZ4" s="538"/>
      <c r="BA4" s="538"/>
      <c r="BB4" s="538"/>
      <c r="BC4" s="538"/>
      <c r="BD4" s="538"/>
      <c r="BE4" s="538"/>
      <c r="BF4" s="538"/>
      <c r="BG4" s="538"/>
      <c r="BH4" s="538"/>
    </row>
    <row r="5" spans="1:60" ht="15.75" customHeight="1">
      <c r="A5" s="528" t="s">
        <v>14</v>
      </c>
      <c r="B5" s="528" t="s">
        <v>7</v>
      </c>
      <c r="C5" s="528" t="s">
        <v>72</v>
      </c>
      <c r="D5" s="528" t="s">
        <v>73</v>
      </c>
      <c r="E5" s="528" t="s">
        <v>74</v>
      </c>
      <c r="F5" s="528" t="s">
        <v>75</v>
      </c>
      <c r="G5" s="528" t="s">
        <v>76</v>
      </c>
      <c r="H5" s="528" t="s">
        <v>77</v>
      </c>
      <c r="I5" s="528" t="s">
        <v>378</v>
      </c>
      <c r="J5" s="528" t="s">
        <v>79</v>
      </c>
      <c r="K5" s="528" t="s">
        <v>379</v>
      </c>
      <c r="L5" s="528" t="s">
        <v>380</v>
      </c>
      <c r="M5" s="528" t="s">
        <v>381</v>
      </c>
      <c r="N5" s="528" t="s">
        <v>382</v>
      </c>
      <c r="O5" s="528" t="s">
        <v>383</v>
      </c>
      <c r="P5" s="528" t="s">
        <v>384</v>
      </c>
      <c r="Q5" s="528" t="s">
        <v>385</v>
      </c>
      <c r="R5" s="528" t="s">
        <v>386</v>
      </c>
      <c r="S5" s="528" t="s">
        <v>387</v>
      </c>
      <c r="T5" s="528" t="s">
        <v>388</v>
      </c>
      <c r="U5" s="528" t="s">
        <v>389</v>
      </c>
      <c r="V5" s="528" t="s">
        <v>86</v>
      </c>
      <c r="W5" s="528" t="s">
        <v>390</v>
      </c>
      <c r="X5" s="528" t="s">
        <v>391</v>
      </c>
      <c r="Y5" s="528" t="s">
        <v>392</v>
      </c>
      <c r="Z5" s="528" t="s">
        <v>393</v>
      </c>
      <c r="AA5" s="528" t="s">
        <v>394</v>
      </c>
      <c r="AB5" s="528" t="s">
        <v>395</v>
      </c>
      <c r="AC5" s="528" t="s">
        <v>396</v>
      </c>
      <c r="AD5" s="528" t="s">
        <v>397</v>
      </c>
      <c r="AE5" s="528" t="s">
        <v>398</v>
      </c>
      <c r="AF5" s="528" t="s">
        <v>399</v>
      </c>
      <c r="AG5" s="528" t="s">
        <v>400</v>
      </c>
      <c r="AH5" s="528" t="s">
        <v>401</v>
      </c>
      <c r="AI5" s="528" t="s">
        <v>402</v>
      </c>
      <c r="AJ5" s="528" t="s">
        <v>403</v>
      </c>
      <c r="AK5" s="528" t="s">
        <v>404</v>
      </c>
      <c r="AL5" s="528" t="s">
        <v>87</v>
      </c>
      <c r="AN5" s="538" t="s">
        <v>405</v>
      </c>
      <c r="AO5" s="542" t="s">
        <v>406</v>
      </c>
      <c r="AQ5" s="528" t="s">
        <v>407</v>
      </c>
      <c r="AR5" s="528" t="s">
        <v>408</v>
      </c>
      <c r="AS5" s="528" t="s">
        <v>409</v>
      </c>
      <c r="AT5" s="528" t="s">
        <v>410</v>
      </c>
      <c r="AU5" s="528" t="s">
        <v>411</v>
      </c>
      <c r="AV5" s="528" t="s">
        <v>412</v>
      </c>
      <c r="AW5" s="528" t="s">
        <v>413</v>
      </c>
      <c r="AX5" s="528" t="s">
        <v>414</v>
      </c>
      <c r="AY5" s="528" t="s">
        <v>415</v>
      </c>
      <c r="AZ5" s="528" t="s">
        <v>416</v>
      </c>
      <c r="BA5" s="528" t="s">
        <v>417</v>
      </c>
      <c r="BB5" s="528" t="s">
        <v>418</v>
      </c>
      <c r="BC5" s="528" t="s">
        <v>419</v>
      </c>
      <c r="BD5" s="528" t="s">
        <v>420</v>
      </c>
      <c r="BE5" s="528" t="s">
        <v>421</v>
      </c>
      <c r="BF5" s="528" t="s">
        <v>422</v>
      </c>
      <c r="BG5" s="528" t="s">
        <v>423</v>
      </c>
      <c r="BH5" s="528" t="s">
        <v>424</v>
      </c>
    </row>
    <row r="6" spans="1:60">
      <c r="A6" s="532" t="s">
        <v>425</v>
      </c>
      <c r="B6" s="532"/>
      <c r="C6" s="532"/>
      <c r="D6" s="532"/>
      <c r="E6" s="532"/>
      <c r="F6" s="532"/>
      <c r="G6" s="586"/>
      <c r="H6" s="532"/>
      <c r="I6" s="532"/>
      <c r="J6" s="532"/>
      <c r="K6" s="532"/>
      <c r="L6" s="532"/>
      <c r="M6" s="532"/>
      <c r="N6" s="532"/>
      <c r="O6" s="532"/>
      <c r="P6" s="532"/>
      <c r="Q6" s="532"/>
      <c r="R6" s="532"/>
      <c r="S6" s="532"/>
      <c r="T6" s="532"/>
      <c r="U6" s="532"/>
      <c r="V6" s="532"/>
      <c r="W6" s="532"/>
      <c r="X6" s="532"/>
      <c r="Y6" s="532"/>
      <c r="Z6" s="532"/>
      <c r="AA6" s="532"/>
      <c r="AB6" s="532"/>
      <c r="AC6" s="532"/>
      <c r="AD6" s="532"/>
      <c r="AE6" s="532"/>
      <c r="AF6" s="532"/>
      <c r="AG6" s="532"/>
      <c r="AH6" s="532"/>
      <c r="AI6" s="532"/>
      <c r="AJ6" s="532"/>
      <c r="AK6" s="532"/>
      <c r="AL6" s="532"/>
      <c r="AQ6" s="532"/>
      <c r="AR6" s="532"/>
      <c r="AS6" s="532"/>
      <c r="AT6" s="532"/>
      <c r="AU6" s="532"/>
      <c r="AV6" s="532"/>
      <c r="AW6" s="532"/>
      <c r="AX6" s="532"/>
      <c r="AY6" s="532"/>
      <c r="AZ6" s="532"/>
      <c r="BA6" s="532"/>
      <c r="BB6" s="532"/>
      <c r="BC6" s="532"/>
      <c r="BD6" s="532"/>
      <c r="BE6" s="532"/>
      <c r="BF6" s="532"/>
      <c r="BG6" s="532"/>
      <c r="BH6" s="532"/>
    </row>
    <row r="7" spans="1:60">
      <c r="A7" s="531" t="s">
        <v>426</v>
      </c>
      <c r="B7" s="531" t="str">
        <f>"ESOLPVRES"&amp;RIGHT(G7,2)</f>
        <v>ESOLPVRES11</v>
      </c>
      <c r="C7" s="531" t="s">
        <v>427</v>
      </c>
      <c r="D7" s="531"/>
      <c r="E7" s="531" t="s">
        <v>428</v>
      </c>
      <c r="F7" s="531" t="s">
        <v>122</v>
      </c>
      <c r="G7" s="547">
        <v>2011</v>
      </c>
      <c r="H7" s="531">
        <v>30</v>
      </c>
      <c r="I7" s="531">
        <v>31.536000000000001</v>
      </c>
      <c r="J7" s="531">
        <f t="shared" ref="J7:J12" si="0">AO7/AN7</f>
        <v>0.34965034965034969</v>
      </c>
      <c r="K7" s="531">
        <v>0.1</v>
      </c>
      <c r="L7" s="585">
        <v>6546.9994999999999</v>
      </c>
      <c r="M7" s="585">
        <v>3903.1781000000001</v>
      </c>
      <c r="N7" s="585">
        <v>3453.8020999999999</v>
      </c>
      <c r="O7" s="585">
        <v>3004.4261000000001</v>
      </c>
      <c r="P7" s="585">
        <v>2839.3022000000001</v>
      </c>
      <c r="Q7" s="585">
        <v>2674.1783999999998</v>
      </c>
      <c r="R7" s="585">
        <v>2596.4180000000001</v>
      </c>
      <c r="S7" s="585">
        <v>2558.6682999999998</v>
      </c>
      <c r="T7" s="585">
        <v>2540.0679</v>
      </c>
      <c r="U7" s="585">
        <v>2530.8353000000002</v>
      </c>
      <c r="V7" s="531">
        <v>10</v>
      </c>
      <c r="W7" s="531">
        <v>0</v>
      </c>
      <c r="X7" s="531">
        <v>0.31357247061412835</v>
      </c>
      <c r="Y7" s="531">
        <v>0.31357247061412835</v>
      </c>
      <c r="Z7" s="531">
        <f>Y7*0.2</f>
        <v>6.2714494122825676E-2</v>
      </c>
      <c r="AA7" s="531">
        <v>0</v>
      </c>
      <c r="AB7" s="531">
        <v>0.30607339523151467</v>
      </c>
      <c r="AC7" s="531">
        <v>0.30607339523151467</v>
      </c>
      <c r="AD7" s="531">
        <v>0.30607339523151467</v>
      </c>
      <c r="AE7" s="531">
        <f>AD7*0.2</f>
        <v>6.1214679046302935E-2</v>
      </c>
      <c r="AF7" s="531">
        <v>0</v>
      </c>
      <c r="AG7" s="531">
        <v>0.30200089769518484</v>
      </c>
      <c r="AH7" s="531">
        <v>0.30200089769518484</v>
      </c>
      <c r="AI7" s="531">
        <v>0.30200089769518484</v>
      </c>
      <c r="AJ7" s="531">
        <f>AI7*0.2</f>
        <v>6.0400179539036973E-2</v>
      </c>
      <c r="AK7" s="531">
        <v>0</v>
      </c>
      <c r="AL7" s="531">
        <v>0.15</v>
      </c>
      <c r="AN7" s="12">
        <v>2.86</v>
      </c>
      <c r="AO7" s="12">
        <v>1</v>
      </c>
      <c r="AQ7" s="548"/>
      <c r="AR7" s="548"/>
      <c r="AS7" s="548"/>
      <c r="AT7" s="548"/>
      <c r="AU7" s="548"/>
      <c r="AV7" s="548"/>
      <c r="AW7" s="548"/>
      <c r="AX7" s="548"/>
      <c r="AY7" s="548"/>
      <c r="AZ7" s="548"/>
      <c r="BA7" s="548"/>
      <c r="BB7" s="548"/>
      <c r="BC7" s="548"/>
      <c r="BD7" s="548"/>
      <c r="BE7" s="548"/>
      <c r="BF7" s="548"/>
      <c r="BG7" s="548"/>
      <c r="BH7" s="548"/>
    </row>
    <row r="8" spans="1:60">
      <c r="A8" s="531" t="s">
        <v>65</v>
      </c>
      <c r="B8" s="531" t="str">
        <f t="shared" ref="B8:B12" si="1">"ESOLPVRES"&amp;RIGHT(G8,2)</f>
        <v>ESOLPVRES11</v>
      </c>
      <c r="C8" s="531" t="s">
        <v>427</v>
      </c>
      <c r="D8" s="531"/>
      <c r="E8" s="531" t="s">
        <v>428</v>
      </c>
      <c r="F8" s="531" t="s">
        <v>122</v>
      </c>
      <c r="G8" s="547">
        <v>2011</v>
      </c>
      <c r="H8" s="531">
        <v>30</v>
      </c>
      <c r="I8" s="531">
        <v>31.536000000000001</v>
      </c>
      <c r="J8" s="531">
        <f t="shared" si="0"/>
        <v>0.34965034965034969</v>
      </c>
      <c r="K8" s="531">
        <v>0.1</v>
      </c>
      <c r="L8" s="585">
        <v>6546.9994999999999</v>
      </c>
      <c r="M8" s="585">
        <v>3903.1781000000001</v>
      </c>
      <c r="N8" s="585">
        <v>3453.8020999999999</v>
      </c>
      <c r="O8" s="585">
        <v>3004.4261000000001</v>
      </c>
      <c r="P8" s="585">
        <v>2839.3022000000001</v>
      </c>
      <c r="Q8" s="585">
        <v>2674.1783999999998</v>
      </c>
      <c r="R8" s="585">
        <v>2596.4180000000001</v>
      </c>
      <c r="S8" s="585">
        <v>2558.6682999999998</v>
      </c>
      <c r="T8" s="585">
        <v>2540.0679</v>
      </c>
      <c r="U8" s="585">
        <v>2530.8353000000002</v>
      </c>
      <c r="V8" s="531">
        <v>10</v>
      </c>
      <c r="W8" s="531">
        <v>0</v>
      </c>
      <c r="X8" s="531">
        <v>0.31735100022049006</v>
      </c>
      <c r="Y8" s="531">
        <v>0.31735100022049006</v>
      </c>
      <c r="Z8" s="531">
        <f t="shared" ref="Z8:Z12" si="2">Y8*0.2</f>
        <v>6.3470200044098021E-2</v>
      </c>
      <c r="AA8" s="531">
        <v>0</v>
      </c>
      <c r="AB8" s="531">
        <v>0.30541736829054811</v>
      </c>
      <c r="AC8" s="531">
        <v>0.30541736829054811</v>
      </c>
      <c r="AD8" s="531">
        <v>0.30541736829054811</v>
      </c>
      <c r="AE8" s="531">
        <f t="shared" ref="AE8:AE12" si="3">AD8*0.2</f>
        <v>6.1083473658109622E-2</v>
      </c>
      <c r="AF8" s="531">
        <v>0</v>
      </c>
      <c r="AG8" s="531">
        <v>0.29271621122891978</v>
      </c>
      <c r="AH8" s="531">
        <v>0.29271621122891978</v>
      </c>
      <c r="AI8" s="531">
        <v>0.29271621122891978</v>
      </c>
      <c r="AJ8" s="531">
        <f t="shared" ref="AJ8:AJ12" si="4">AI8*0.2</f>
        <v>5.8543242245783958E-2</v>
      </c>
      <c r="AK8" s="531">
        <v>0</v>
      </c>
      <c r="AL8" s="531">
        <v>0.15</v>
      </c>
      <c r="AN8" s="12">
        <v>2.86</v>
      </c>
      <c r="AO8" s="12">
        <v>1</v>
      </c>
      <c r="AQ8" s="548">
        <f>'Rooftop Calc'!AC65</f>
        <v>7.1945835351661823E-3</v>
      </c>
      <c r="AR8" s="548">
        <f>'Rooftop Calc'!AC71</f>
        <v>0.10932800134881394</v>
      </c>
      <c r="AS8" s="548">
        <f>'Rooftop Calc'!AC77</f>
        <v>0.24496493227902819</v>
      </c>
      <c r="AT8" s="548">
        <f>'Rooftop Calc'!AC84</f>
        <v>0.43039234297918749</v>
      </c>
      <c r="AU8" s="548">
        <f>'Rooftop Calc'!AC91</f>
        <v>0.61581975367934683</v>
      </c>
      <c r="AV8" s="548">
        <f>'Rooftop Calc'!AC98</f>
        <v>0.80124716437950616</v>
      </c>
      <c r="AW8" s="548">
        <f>'Rooftop Calc'!AC105</f>
        <v>0.98667457507966549</v>
      </c>
      <c r="AX8" s="548">
        <f>'Rooftop Calc'!AC112</f>
        <v>1.1649074022446586</v>
      </c>
      <c r="AY8" s="548">
        <f>'Rooftop Calc'!AC119</f>
        <v>1.2410068115960038</v>
      </c>
      <c r="AZ8" s="548">
        <f>'Rooftop Calc'!AC126</f>
        <v>1.307223787714507</v>
      </c>
      <c r="BA8" s="548">
        <f>'Rooftop Calc'!AK77</f>
        <v>0.37640069035805945</v>
      </c>
      <c r="BB8" s="548">
        <f>'Rooftop Calc'!AK84</f>
        <v>0.64269246507195632</v>
      </c>
      <c r="BC8" s="548">
        <f>'Rooftop Calc'!AK91</f>
        <v>0.90976515408120195</v>
      </c>
      <c r="BD8" s="548">
        <f>'Rooftop Calc'!AK98</f>
        <v>1.1760569287950986</v>
      </c>
      <c r="BE8" s="548">
        <f>'Rooftop Calc'!AK105</f>
        <v>1.4431296178043442</v>
      </c>
      <c r="BF8" s="548">
        <f>'Rooftop Calc'!AK112</f>
        <v>1.7094213925182411</v>
      </c>
      <c r="BG8" s="548">
        <f>'Rooftop Calc'!AK119</f>
        <v>1.9764940815274865</v>
      </c>
      <c r="BH8" s="548">
        <f>'Rooftop Calc'!AK126</f>
        <v>2.2427858562413836</v>
      </c>
    </row>
    <row r="9" spans="1:60">
      <c r="A9" s="531" t="s">
        <v>66</v>
      </c>
      <c r="B9" s="531" t="str">
        <f t="shared" si="1"/>
        <v>ESOLPVRES11</v>
      </c>
      <c r="C9" s="531" t="s">
        <v>427</v>
      </c>
      <c r="D9" s="531"/>
      <c r="E9" s="531" t="s">
        <v>428</v>
      </c>
      <c r="F9" s="531" t="s">
        <v>122</v>
      </c>
      <c r="G9" s="547">
        <v>2011</v>
      </c>
      <c r="H9" s="531">
        <v>30</v>
      </c>
      <c r="I9" s="531">
        <v>31.536000000000001</v>
      </c>
      <c r="J9" s="531">
        <f t="shared" si="0"/>
        <v>0.34965034965034969</v>
      </c>
      <c r="K9" s="531">
        <v>0.1</v>
      </c>
      <c r="L9" s="585">
        <v>6546.9994999999999</v>
      </c>
      <c r="M9" s="585">
        <v>3903.1781000000001</v>
      </c>
      <c r="N9" s="585">
        <v>3453.8020999999999</v>
      </c>
      <c r="O9" s="585">
        <v>3004.4261000000001</v>
      </c>
      <c r="P9" s="585">
        <v>2839.3022000000001</v>
      </c>
      <c r="Q9" s="585">
        <v>2674.1783999999998</v>
      </c>
      <c r="R9" s="585">
        <v>2596.4180000000001</v>
      </c>
      <c r="S9" s="585">
        <v>2558.6682999999998</v>
      </c>
      <c r="T9" s="585">
        <v>2540.0679</v>
      </c>
      <c r="U9" s="585">
        <v>2530.8353000000002</v>
      </c>
      <c r="V9" s="531">
        <v>10</v>
      </c>
      <c r="W9" s="531">
        <v>0</v>
      </c>
      <c r="X9" s="531">
        <v>0.29713463926757661</v>
      </c>
      <c r="Y9" s="531">
        <v>0.29713463926757661</v>
      </c>
      <c r="Z9" s="531">
        <f t="shared" si="2"/>
        <v>5.9426927853515325E-2</v>
      </c>
      <c r="AA9" s="531">
        <v>0</v>
      </c>
      <c r="AB9" s="531">
        <v>0.30672516343634604</v>
      </c>
      <c r="AC9" s="531">
        <v>0.30672516343634604</v>
      </c>
      <c r="AD9" s="531">
        <v>0.30672516343634604</v>
      </c>
      <c r="AE9" s="531">
        <f t="shared" si="3"/>
        <v>6.1345032687269208E-2</v>
      </c>
      <c r="AF9" s="531">
        <v>0</v>
      </c>
      <c r="AG9" s="531">
        <v>0.26137286823123029</v>
      </c>
      <c r="AH9" s="531">
        <v>0.26137286823123029</v>
      </c>
      <c r="AI9" s="531">
        <v>0.26137286823123029</v>
      </c>
      <c r="AJ9" s="531">
        <f t="shared" si="4"/>
        <v>5.2274573646246061E-2</v>
      </c>
      <c r="AK9" s="531">
        <v>0</v>
      </c>
      <c r="AL9" s="531">
        <v>0.15</v>
      </c>
      <c r="AN9" s="12">
        <v>2.86</v>
      </c>
      <c r="AO9" s="12">
        <v>1</v>
      </c>
      <c r="AQ9" s="548">
        <f>'Rooftop Calc'!AD65</f>
        <v>3.7523355129885777E-3</v>
      </c>
      <c r="AR9" s="548">
        <f>'Rooftop Calc'!AD71</f>
        <v>7.3448493282017149E-2</v>
      </c>
      <c r="AS9" s="548">
        <f>'Rooftop Calc'!AD77</f>
        <v>0.1382006415096666</v>
      </c>
      <c r="AT9" s="548">
        <f>'Rooftop Calc'!AD84</f>
        <v>0.20768833619464028</v>
      </c>
      <c r="AU9" s="548">
        <f>'Rooftop Calc'!AD91</f>
        <v>0.27717603087961395</v>
      </c>
      <c r="AV9" s="548">
        <f>'Rooftop Calc'!AD98</f>
        <v>0.34666372556458763</v>
      </c>
      <c r="AW9" s="548">
        <f>'Rooftop Calc'!AD105</f>
        <v>0.41615142024956131</v>
      </c>
      <c r="AX9" s="548">
        <f>'Rooftop Calc'!AD112</f>
        <v>0.4818867794215464</v>
      </c>
      <c r="AY9" s="548">
        <f>'Rooftop Calc'!AD119</f>
        <v>0.47792598082450294</v>
      </c>
      <c r="AZ9" s="548">
        <f>'Rooftop Calc'!AD126</f>
        <v>0.46631224805362592</v>
      </c>
      <c r="BA9" s="548">
        <f>'Rooftop Calc'!AL77</f>
        <v>0.25287266972808764</v>
      </c>
      <c r="BB9" s="548">
        <f>'Rooftop Calc'!AL84</f>
        <v>0.43177221407928656</v>
      </c>
      <c r="BC9" s="548">
        <f>'Rooftop Calc'!AL91</f>
        <v>0.61119639052535712</v>
      </c>
      <c r="BD9" s="548">
        <f>'Rooftop Calc'!AL98</f>
        <v>0.79009593487655594</v>
      </c>
      <c r="BE9" s="548">
        <f>'Rooftop Calc'!AL105</f>
        <v>0.9695201113226265</v>
      </c>
      <c r="BF9" s="548">
        <f>'Rooftop Calc'!AL112</f>
        <v>1.1484196556738255</v>
      </c>
      <c r="BG9" s="548">
        <f>'Rooftop Calc'!AL119</f>
        <v>1.3278438321198958</v>
      </c>
      <c r="BH9" s="548">
        <f>'Rooftop Calc'!AL126</f>
        <v>1.5067433764710947</v>
      </c>
    </row>
    <row r="10" spans="1:60">
      <c r="A10" s="531" t="s">
        <v>67</v>
      </c>
      <c r="B10" s="531" t="str">
        <f t="shared" si="1"/>
        <v>ESOLPVRES11</v>
      </c>
      <c r="C10" s="531" t="s">
        <v>427</v>
      </c>
      <c r="D10" s="531"/>
      <c r="E10" s="531" t="s">
        <v>428</v>
      </c>
      <c r="F10" s="531" t="s">
        <v>122</v>
      </c>
      <c r="G10" s="547">
        <v>2011</v>
      </c>
      <c r="H10" s="531">
        <v>30</v>
      </c>
      <c r="I10" s="531">
        <v>31.536000000000001</v>
      </c>
      <c r="J10" s="531">
        <f t="shared" si="0"/>
        <v>0.34965034965034969</v>
      </c>
      <c r="K10" s="531">
        <v>0.1</v>
      </c>
      <c r="L10" s="585">
        <v>6546.9994999999999</v>
      </c>
      <c r="M10" s="585">
        <v>3903.1781000000001</v>
      </c>
      <c r="N10" s="585">
        <v>3453.8020999999999</v>
      </c>
      <c r="O10" s="585">
        <v>3004.4261000000001</v>
      </c>
      <c r="P10" s="585">
        <v>2839.3022000000001</v>
      </c>
      <c r="Q10" s="585">
        <v>2674.1783999999998</v>
      </c>
      <c r="R10" s="585">
        <v>2596.4180000000001</v>
      </c>
      <c r="S10" s="585">
        <v>2558.6682999999998</v>
      </c>
      <c r="T10" s="585">
        <v>2540.0679</v>
      </c>
      <c r="U10" s="585">
        <v>2530.8353000000002</v>
      </c>
      <c r="V10" s="531">
        <v>10</v>
      </c>
      <c r="W10" s="531">
        <v>0</v>
      </c>
      <c r="X10" s="531">
        <v>0.33039362066850508</v>
      </c>
      <c r="Y10" s="531">
        <v>0.33039362066850508</v>
      </c>
      <c r="Z10" s="531">
        <f t="shared" si="2"/>
        <v>6.6078724133701014E-2</v>
      </c>
      <c r="AA10" s="531">
        <v>0</v>
      </c>
      <c r="AB10" s="531">
        <v>0.32440091699064305</v>
      </c>
      <c r="AC10" s="531">
        <v>0.32440091699064305</v>
      </c>
      <c r="AD10" s="531">
        <v>0.32440091699064305</v>
      </c>
      <c r="AE10" s="531">
        <f t="shared" si="3"/>
        <v>6.4880183398128607E-2</v>
      </c>
      <c r="AF10" s="531">
        <v>0</v>
      </c>
      <c r="AG10" s="531">
        <v>0.34679381784356855</v>
      </c>
      <c r="AH10" s="531">
        <v>0.34679381784356855</v>
      </c>
      <c r="AI10" s="531">
        <v>0.34679381784356855</v>
      </c>
      <c r="AJ10" s="531">
        <f t="shared" si="4"/>
        <v>6.9358763568713719E-2</v>
      </c>
      <c r="AK10" s="531">
        <v>0</v>
      </c>
      <c r="AL10" s="531">
        <v>0.15</v>
      </c>
      <c r="AN10" s="12">
        <v>2.86</v>
      </c>
      <c r="AO10" s="12">
        <v>1</v>
      </c>
      <c r="AQ10" s="548">
        <f>'Rooftop Calc'!AE65</f>
        <v>1.1972253649811335E-3</v>
      </c>
      <c r="AR10" s="548">
        <f>'Rooftop Calc'!AE71</f>
        <v>9.3117528387421482E-3</v>
      </c>
      <c r="AS10" s="548">
        <f>'Rooftop Calc'!AE77</f>
        <v>1.7877615271523831E-2</v>
      </c>
      <c r="AT10" s="548">
        <f>'Rooftop Calc'!AE84</f>
        <v>2.4528867299196795E-2</v>
      </c>
      <c r="AU10" s="548">
        <f>'Rooftop Calc'!AE91</f>
        <v>3.118011932686976E-2</v>
      </c>
      <c r="AV10" s="548">
        <f>'Rooftop Calc'!AE98</f>
        <v>3.7831371354542724E-2</v>
      </c>
      <c r="AW10" s="548">
        <f>'Rooftop Calc'!AE105</f>
        <v>4.4482623382215689E-2</v>
      </c>
      <c r="AX10" s="548">
        <f>'Rooftop Calc'!AE112</f>
        <v>4.9936650044907521E-2</v>
      </c>
      <c r="AY10" s="548">
        <f>'Rooftop Calc'!AE119</f>
        <v>4.7276149233838341E-2</v>
      </c>
      <c r="AZ10" s="548">
        <f>'Rooftop Calc'!AE126</f>
        <v>4.2167162387180983E-2</v>
      </c>
      <c r="BA10" s="548">
        <f>'Rooftop Calc'!AM77</f>
        <v>3.2059034773383684E-2</v>
      </c>
      <c r="BB10" s="548">
        <f>'Rooftop Calc'!AM84</f>
        <v>5.4739804187748486E-2</v>
      </c>
      <c r="BC10" s="548">
        <f>'Rooftop Calc'!AM91</f>
        <v>7.7487086122390039E-2</v>
      </c>
      <c r="BD10" s="548">
        <f>'Rooftop Calc'!AM98</f>
        <v>0.10016785553675484</v>
      </c>
      <c r="BE10" s="548">
        <f>'Rooftop Calc'!AM105</f>
        <v>0.12291513747139636</v>
      </c>
      <c r="BF10" s="548">
        <f>'Rooftop Calc'!AM112</f>
        <v>0.14559590688576118</v>
      </c>
      <c r="BG10" s="548">
        <f>'Rooftop Calc'!AM119</f>
        <v>0.16834318882040269</v>
      </c>
      <c r="BH10" s="548">
        <f>'Rooftop Calc'!AM126</f>
        <v>0.1910239582347675</v>
      </c>
    </row>
    <row r="11" spans="1:60">
      <c r="A11" s="531" t="s">
        <v>68</v>
      </c>
      <c r="B11" s="531" t="str">
        <f t="shared" si="1"/>
        <v>ESOLPVRES11</v>
      </c>
      <c r="C11" s="531" t="s">
        <v>427</v>
      </c>
      <c r="D11" s="531"/>
      <c r="E11" s="531" t="s">
        <v>428</v>
      </c>
      <c r="F11" s="531" t="s">
        <v>122</v>
      </c>
      <c r="G11" s="547">
        <v>2011</v>
      </c>
      <c r="H11" s="531">
        <v>30</v>
      </c>
      <c r="I11" s="531">
        <v>31.536000000000001</v>
      </c>
      <c r="J11" s="531">
        <f t="shared" si="0"/>
        <v>0.34965034965034969</v>
      </c>
      <c r="K11" s="531">
        <v>0.1</v>
      </c>
      <c r="L11" s="585">
        <v>6546.9994999999999</v>
      </c>
      <c r="M11" s="585">
        <v>3903.1781000000001</v>
      </c>
      <c r="N11" s="585">
        <v>3453.8020999999999</v>
      </c>
      <c r="O11" s="585">
        <v>3004.4261000000001</v>
      </c>
      <c r="P11" s="585">
        <v>2839.3022000000001</v>
      </c>
      <c r="Q11" s="585">
        <v>2674.1783999999998</v>
      </c>
      <c r="R11" s="585">
        <v>2596.4180000000001</v>
      </c>
      <c r="S11" s="585">
        <v>2558.6682999999998</v>
      </c>
      <c r="T11" s="585">
        <v>2540.0679</v>
      </c>
      <c r="U11" s="585">
        <v>2530.8353000000002</v>
      </c>
      <c r="V11" s="531">
        <v>10</v>
      </c>
      <c r="W11" s="531">
        <v>0</v>
      </c>
      <c r="X11" s="531">
        <v>0.34379747607645139</v>
      </c>
      <c r="Y11" s="531">
        <v>0.34379747607645139</v>
      </c>
      <c r="Z11" s="531">
        <f t="shared" si="2"/>
        <v>6.8759495215290276E-2</v>
      </c>
      <c r="AA11" s="531">
        <v>0</v>
      </c>
      <c r="AB11" s="531">
        <v>0.29466039144191863</v>
      </c>
      <c r="AC11" s="531">
        <v>0.29466039144191863</v>
      </c>
      <c r="AD11" s="531">
        <v>0.29466039144191863</v>
      </c>
      <c r="AE11" s="531">
        <f t="shared" si="3"/>
        <v>5.8932078288383732E-2</v>
      </c>
      <c r="AF11" s="531">
        <v>0</v>
      </c>
      <c r="AG11" s="531">
        <v>0.36077416278414398</v>
      </c>
      <c r="AH11" s="531">
        <v>0.36077416278414398</v>
      </c>
      <c r="AI11" s="531">
        <v>0.36077416278414398</v>
      </c>
      <c r="AJ11" s="531">
        <f t="shared" si="4"/>
        <v>7.2154832556828793E-2</v>
      </c>
      <c r="AK11" s="531">
        <v>0</v>
      </c>
      <c r="AL11" s="531">
        <v>0.15</v>
      </c>
      <c r="AN11" s="12">
        <v>2.86</v>
      </c>
      <c r="AO11" s="12">
        <v>1</v>
      </c>
      <c r="AQ11" s="548">
        <f>'Rooftop Calc'!AF65</f>
        <v>1.7437956261474761E-3</v>
      </c>
      <c r="AR11" s="548">
        <f>'Rooftop Calc'!AF71</f>
        <v>0.3203455141446217</v>
      </c>
      <c r="AS11" s="548">
        <f>'Rooftop Calc'!AF77</f>
        <v>0.57042833115796643</v>
      </c>
      <c r="AT11" s="548">
        <f>'Rooftop Calc'!AF84</f>
        <v>1.0833093976719299</v>
      </c>
      <c r="AU11" s="548">
        <f>'Rooftop Calc'!AF91</f>
        <v>1.5961904641858933</v>
      </c>
      <c r="AV11" s="548">
        <f>'Rooftop Calc'!AF98</f>
        <v>2.1090715306998566</v>
      </c>
      <c r="AW11" s="548">
        <f>'Rooftop Calc'!AF105</f>
        <v>2.62195259721382</v>
      </c>
      <c r="AX11" s="548">
        <f>'Rooftop Calc'!AF112</f>
        <v>3.1330898681016359</v>
      </c>
      <c r="AY11" s="548">
        <f>'Rooftop Calc'!AF119</f>
        <v>3.3256254204709776</v>
      </c>
      <c r="AZ11" s="548">
        <f>'Rooftop Calc'!AF126</f>
        <v>3.7957449103088061</v>
      </c>
      <c r="BA11" s="548">
        <f>'Rooftop Calc'!AN77</f>
        <v>1.1029038415550547</v>
      </c>
      <c r="BB11" s="548">
        <f>'Rooftop Calc'!AN84</f>
        <v>1.8831739867215977</v>
      </c>
      <c r="BC11" s="548">
        <f>'Rooftop Calc'!AN91</f>
        <v>2.6657323141320313</v>
      </c>
      <c r="BD11" s="548">
        <f>'Rooftop Calc'!AN98</f>
        <v>3.4460024592985739</v>
      </c>
      <c r="BE11" s="548">
        <f>'Rooftop Calc'!AN105</f>
        <v>4.2285607867090071</v>
      </c>
      <c r="BF11" s="548">
        <f>'Rooftop Calc'!AN112</f>
        <v>5.0088309318755497</v>
      </c>
      <c r="BG11" s="548">
        <f>'Rooftop Calc'!AN119</f>
        <v>5.7913892592859826</v>
      </c>
      <c r="BH11" s="548">
        <f>'Rooftop Calc'!AN126</f>
        <v>6.5716594044525261</v>
      </c>
    </row>
    <row r="12" spans="1:60">
      <c r="A12" s="531" t="s">
        <v>69</v>
      </c>
      <c r="B12" s="531" t="str">
        <f t="shared" si="1"/>
        <v>ESOLPVRES11</v>
      </c>
      <c r="C12" s="531" t="s">
        <v>427</v>
      </c>
      <c r="D12" s="531"/>
      <c r="E12" s="531" t="s">
        <v>428</v>
      </c>
      <c r="F12" s="531" t="s">
        <v>122</v>
      </c>
      <c r="G12" s="547">
        <v>2011</v>
      </c>
      <c r="H12" s="531">
        <v>30</v>
      </c>
      <c r="I12" s="531">
        <v>31.536000000000001</v>
      </c>
      <c r="J12" s="531">
        <f t="shared" si="0"/>
        <v>0.34965034965034969</v>
      </c>
      <c r="K12" s="531">
        <v>0.1</v>
      </c>
      <c r="L12" s="585">
        <v>6546.9994999999999</v>
      </c>
      <c r="M12" s="585">
        <v>3903.1781000000001</v>
      </c>
      <c r="N12" s="585">
        <v>3453.8020999999999</v>
      </c>
      <c r="O12" s="585">
        <v>3004.4261000000001</v>
      </c>
      <c r="P12" s="585">
        <v>2839.3022000000001</v>
      </c>
      <c r="Q12" s="585">
        <v>2674.1783999999998</v>
      </c>
      <c r="R12" s="585">
        <v>2596.4180000000001</v>
      </c>
      <c r="S12" s="585">
        <v>2558.6682999999998</v>
      </c>
      <c r="T12" s="585">
        <v>2540.0679</v>
      </c>
      <c r="U12" s="585">
        <v>2530.8353000000002</v>
      </c>
      <c r="V12" s="531">
        <v>10</v>
      </c>
      <c r="W12" s="531">
        <v>0</v>
      </c>
      <c r="X12" s="531">
        <v>0.34054374080256677</v>
      </c>
      <c r="Y12" s="531">
        <v>0.34054374080256677</v>
      </c>
      <c r="Z12" s="531">
        <f t="shared" si="2"/>
        <v>6.8108748160513363E-2</v>
      </c>
      <c r="AA12" s="531">
        <v>0</v>
      </c>
      <c r="AB12" s="531">
        <v>0.30737100997881689</v>
      </c>
      <c r="AC12" s="531">
        <v>0.30737100997881689</v>
      </c>
      <c r="AD12" s="531">
        <v>0.30737100997881689</v>
      </c>
      <c r="AE12" s="531">
        <f t="shared" si="3"/>
        <v>6.1474201995763381E-2</v>
      </c>
      <c r="AF12" s="531">
        <v>0</v>
      </c>
      <c r="AG12" s="531">
        <v>0.32128123658006663</v>
      </c>
      <c r="AH12" s="531">
        <v>0.32128123658006663</v>
      </c>
      <c r="AI12" s="531">
        <v>0.32128123658006663</v>
      </c>
      <c r="AJ12" s="531">
        <f t="shared" si="4"/>
        <v>6.4256247316013329E-2</v>
      </c>
      <c r="AK12" s="531">
        <v>0</v>
      </c>
      <c r="AL12" s="531">
        <v>0.15</v>
      </c>
      <c r="AN12" s="12">
        <v>2.86</v>
      </c>
      <c r="AO12" s="12">
        <v>1</v>
      </c>
      <c r="AQ12" s="548">
        <f>'Rooftop Calc'!AG65</f>
        <v>1.2993032924751598E-2</v>
      </c>
      <c r="AR12" s="548">
        <f>'Rooftop Calc'!AG71</f>
        <v>0.17523498352461039</v>
      </c>
      <c r="AS12" s="548">
        <f>'Rooftop Calc'!AG77</f>
        <v>0.47194745859662995</v>
      </c>
      <c r="AT12" s="548">
        <f>'Rooftop Calc'!AG84</f>
        <v>0.89934985743714302</v>
      </c>
      <c r="AU12" s="548">
        <f>'Rooftop Calc'!AG91</f>
        <v>1.3267522562776561</v>
      </c>
      <c r="AV12" s="548">
        <f>'Rooftop Calc'!AG98</f>
        <v>1.7541546551181693</v>
      </c>
      <c r="AW12" s="548">
        <f>'Rooftop Calc'!AG105</f>
        <v>2.1815570539586822</v>
      </c>
      <c r="AX12" s="548">
        <f>'Rooftop Calc'!AG112</f>
        <v>2.5959664198744434</v>
      </c>
      <c r="AY12" s="548">
        <f>'Rooftop Calc'!AG119</f>
        <v>2.848133835190346</v>
      </c>
      <c r="AZ12" s="548">
        <f>'Rooftop Calc'!AG126</f>
        <v>3.1386940227732558</v>
      </c>
      <c r="BA12" s="548">
        <f>'Rooftop Calc'!AO77</f>
        <v>0.60330901470615872</v>
      </c>
      <c r="BB12" s="548">
        <f>'Rooftop Calc'!AO84</f>
        <v>1.0301313674339598</v>
      </c>
      <c r="BC12" s="548">
        <f>'Rooftop Calc'!AO91</f>
        <v>1.4582053986155081</v>
      </c>
      <c r="BD12" s="548">
        <f>'Rooftop Calc'!AO98</f>
        <v>1.8850277513433091</v>
      </c>
      <c r="BE12" s="548">
        <f>'Rooftop Calc'!AO105</f>
        <v>2.3131017825248574</v>
      </c>
      <c r="BF12" s="548">
        <f>'Rooftop Calc'!AO112</f>
        <v>2.7399241352526587</v>
      </c>
      <c r="BG12" s="548">
        <f>'Rooftop Calc'!AO119</f>
        <v>3.1679981664342067</v>
      </c>
      <c r="BH12" s="548">
        <f>'Rooftop Calc'!AO126</f>
        <v>3.594820519162008</v>
      </c>
    </row>
    <row r="13" spans="1:60">
      <c r="A13" s="531" t="s">
        <v>162</v>
      </c>
      <c r="B13" s="531"/>
      <c r="C13" s="531"/>
      <c r="D13" s="531"/>
      <c r="E13" s="531"/>
      <c r="F13" s="531"/>
      <c r="G13" s="547"/>
      <c r="H13" s="531"/>
      <c r="I13" s="531"/>
      <c r="J13" s="531"/>
      <c r="K13" s="531"/>
      <c r="L13" s="531"/>
      <c r="M13" s="531"/>
      <c r="N13" s="531"/>
      <c r="O13" s="531"/>
      <c r="P13" s="531"/>
      <c r="Q13" s="531"/>
      <c r="R13" s="531"/>
      <c r="S13" s="531"/>
      <c r="T13" s="531"/>
      <c r="U13" s="531"/>
      <c r="V13" s="531"/>
      <c r="W13" s="531"/>
      <c r="X13" s="531"/>
      <c r="Y13" s="531"/>
      <c r="Z13" s="531"/>
      <c r="AA13" s="531"/>
      <c r="AB13" s="531"/>
      <c r="AC13" s="531"/>
      <c r="AD13" s="531"/>
      <c r="AE13" s="531"/>
      <c r="AF13" s="531"/>
      <c r="AG13" s="531"/>
      <c r="AH13" s="531"/>
      <c r="AI13" s="531"/>
      <c r="AJ13" s="531"/>
      <c r="AK13" s="531"/>
      <c r="AL13" s="531"/>
      <c r="AQ13" s="548">
        <f>SUM(AQ8:AQ12)</f>
        <v>2.6880972964034966E-2</v>
      </c>
      <c r="AR13" s="548">
        <f t="shared" ref="AR13:AZ13" si="5">SUM(AR8:AR12)</f>
        <v>0.68766874513880538</v>
      </c>
      <c r="AS13" s="548">
        <f t="shared" si="5"/>
        <v>1.4434189788148148</v>
      </c>
      <c r="AT13" s="548">
        <f t="shared" si="5"/>
        <v>2.6452688015820973</v>
      </c>
      <c r="AU13" s="548">
        <f t="shared" si="5"/>
        <v>3.8471186243493802</v>
      </c>
      <c r="AV13" s="548">
        <f t="shared" si="5"/>
        <v>5.0489684471166623</v>
      </c>
      <c r="AW13" s="548">
        <f t="shared" si="5"/>
        <v>6.2508182698839452</v>
      </c>
      <c r="AX13" s="548">
        <f t="shared" si="5"/>
        <v>7.4257871196871914</v>
      </c>
      <c r="AY13" s="548">
        <f t="shared" si="5"/>
        <v>7.9399681973156682</v>
      </c>
      <c r="AZ13" s="548">
        <f t="shared" si="5"/>
        <v>8.7501421312373751</v>
      </c>
      <c r="BA13" s="548">
        <f t="shared" ref="BA13" si="6">SUM(BA8:BA12)</f>
        <v>2.3675452511207444</v>
      </c>
      <c r="BB13" s="548">
        <f t="shared" ref="BB13" si="7">SUM(BB8:BB12)</f>
        <v>4.0425098374945492</v>
      </c>
      <c r="BC13" s="548">
        <f t="shared" ref="BC13" si="8">SUM(BC8:BC12)</f>
        <v>5.7223863434764883</v>
      </c>
      <c r="BD13" s="548">
        <f t="shared" ref="BD13" si="9">SUM(BD8:BD12)</f>
        <v>7.3973509298502931</v>
      </c>
      <c r="BE13" s="548">
        <f t="shared" ref="BE13" si="10">SUM(BE8:BE12)</f>
        <v>9.0772274358322314</v>
      </c>
      <c r="BF13" s="548">
        <f t="shared" ref="BF13" si="11">SUM(BF8:BF12)</f>
        <v>10.752192022206037</v>
      </c>
      <c r="BG13" s="548">
        <f t="shared" ref="BG13" si="12">SUM(BG8:BG12)</f>
        <v>12.432068528187973</v>
      </c>
      <c r="BH13" s="548">
        <f t="shared" ref="BH13" si="13">SUM(BH8:BH12)</f>
        <v>14.10703311456178</v>
      </c>
    </row>
    <row r="14" spans="1:60">
      <c r="A14" s="531" t="s">
        <v>162</v>
      </c>
      <c r="B14" s="531"/>
      <c r="C14" s="531"/>
      <c r="D14" s="531"/>
      <c r="E14" s="531"/>
      <c r="F14" s="531"/>
      <c r="G14" s="547"/>
      <c r="H14" s="531"/>
      <c r="I14" s="531"/>
      <c r="J14" s="531"/>
      <c r="K14" s="531"/>
      <c r="L14" s="531"/>
      <c r="M14" s="531"/>
      <c r="N14" s="531"/>
      <c r="O14" s="531"/>
      <c r="P14" s="531"/>
      <c r="Q14" s="531"/>
      <c r="R14" s="531"/>
      <c r="S14" s="531"/>
      <c r="T14" s="531"/>
      <c r="U14" s="531"/>
      <c r="V14" s="531"/>
      <c r="W14" s="531"/>
      <c r="X14" s="531"/>
      <c r="Y14" s="531"/>
      <c r="Z14" s="531"/>
      <c r="AA14" s="531"/>
      <c r="AB14" s="531"/>
      <c r="AC14" s="531"/>
      <c r="AD14" s="531"/>
      <c r="AE14" s="531"/>
      <c r="AF14" s="531"/>
      <c r="AG14" s="531"/>
      <c r="AH14" s="531"/>
      <c r="AI14" s="531"/>
      <c r="AJ14" s="531"/>
      <c r="AK14" s="531"/>
      <c r="AL14" s="531"/>
      <c r="AQ14" s="548"/>
      <c r="AR14" s="548"/>
      <c r="AS14" s="548"/>
      <c r="AT14" s="548"/>
      <c r="AU14" s="548"/>
      <c r="AV14" s="548"/>
      <c r="AW14" s="548"/>
      <c r="AX14" s="548"/>
      <c r="AY14" s="548"/>
      <c r="AZ14" s="548"/>
      <c r="BA14" s="548"/>
      <c r="BB14" s="548"/>
      <c r="BC14" s="548"/>
      <c r="BD14" s="548"/>
      <c r="BE14" s="548"/>
      <c r="BF14" s="548"/>
      <c r="BG14" s="548"/>
      <c r="BH14" s="548"/>
    </row>
  </sheetData>
  <pageMargins left="0.75" right="0.75" top="1" bottom="1" header="0.5" footer="0.5"/>
  <pageSetup paperSize="9" orientation="landscape" horizontalDpi="1200"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21">
    <tabColor rgb="FFFFC000"/>
  </sheetPr>
  <dimension ref="A1:GL234"/>
  <sheetViews>
    <sheetView zoomScale="80" zoomScaleNormal="80" workbookViewId="0">
      <pane xSplit="6" ySplit="5" topLeftCell="G6" activePane="bottomRight" state="frozen"/>
      <selection pane="topRight" activeCell="C33" sqref="C33"/>
      <selection pane="bottomLeft" activeCell="C33" sqref="C33"/>
      <selection pane="bottomRight" activeCell="M26" sqref="M26"/>
    </sheetView>
  </sheetViews>
  <sheetFormatPr defaultColWidth="9.26953125" defaultRowHeight="13"/>
  <cols>
    <col min="1" max="1" width="12.7265625" bestFit="1" customWidth="1"/>
    <col min="2" max="2" width="29.26953125" bestFit="1" customWidth="1"/>
    <col min="3" max="3" width="18.7265625" bestFit="1" customWidth="1"/>
    <col min="4" max="4" width="6.26953125" bestFit="1" customWidth="1"/>
    <col min="5" max="5" width="8.453125" bestFit="1" customWidth="1"/>
    <col min="6" max="6" width="10.453125" bestFit="1" customWidth="1"/>
    <col min="7" max="7" width="11" style="559" bestFit="1" customWidth="1"/>
    <col min="8" max="8" width="9.26953125" style="559" bestFit="1" customWidth="1"/>
    <col min="9" max="9" width="7.81640625" style="559" bestFit="1" customWidth="1"/>
    <col min="10" max="11" width="17.26953125" style="559" bestFit="1" customWidth="1"/>
    <col min="12" max="13" width="17.54296875" style="559" bestFit="1" customWidth="1"/>
    <col min="14" max="17" width="18.7265625" style="559" bestFit="1" customWidth="1"/>
    <col min="18" max="19" width="17.453125" style="559" bestFit="1" customWidth="1"/>
    <col min="20" max="21" width="16.26953125" style="559" bestFit="1" customWidth="1"/>
    <col min="22" max="23" width="17.26953125" style="559" bestFit="1" customWidth="1"/>
    <col min="24" max="25" width="17.54296875" style="559" bestFit="1" customWidth="1"/>
    <col min="26" max="27" width="16" style="559" bestFit="1" customWidth="1"/>
    <col min="28" max="29" width="16.26953125" style="559" bestFit="1" customWidth="1"/>
    <col min="30" max="31" width="17.26953125" style="559" bestFit="1" customWidth="1"/>
    <col min="32" max="32" width="13.26953125" style="559" bestFit="1" customWidth="1"/>
    <col min="33" max="33" width="13.54296875" style="559" bestFit="1" customWidth="1"/>
    <col min="34" max="34" width="14.7265625" style="559" bestFit="1" customWidth="1"/>
    <col min="35" max="35" width="13.26953125" style="559" bestFit="1" customWidth="1"/>
    <col min="36" max="36" width="15.54296875" style="559" bestFit="1" customWidth="1"/>
    <col min="37" max="194" width="9.26953125" style="559"/>
  </cols>
  <sheetData>
    <row r="1" spans="1:36">
      <c r="A1" s="1" t="s">
        <v>70</v>
      </c>
      <c r="B1" s="12" t="s">
        <v>12</v>
      </c>
    </row>
    <row r="4" spans="1:36" ht="17.25" customHeight="1">
      <c r="F4" s="536" t="s">
        <v>433</v>
      </c>
    </row>
    <row r="5" spans="1:36" ht="15.75" customHeight="1">
      <c r="A5" s="528" t="s">
        <v>14</v>
      </c>
      <c r="B5" s="528" t="s">
        <v>7</v>
      </c>
      <c r="C5" s="528" t="s">
        <v>72</v>
      </c>
      <c r="D5" s="528" t="s">
        <v>73</v>
      </c>
      <c r="E5" s="528" t="s">
        <v>74</v>
      </c>
      <c r="F5" s="528" t="s">
        <v>75</v>
      </c>
      <c r="G5" s="528" t="s">
        <v>76</v>
      </c>
      <c r="H5" s="528" t="s">
        <v>434</v>
      </c>
      <c r="I5" s="528" t="s">
        <v>79</v>
      </c>
      <c r="J5" s="528" t="s">
        <v>435</v>
      </c>
      <c r="K5" s="528" t="s">
        <v>436</v>
      </c>
      <c r="L5" s="528" t="s">
        <v>437</v>
      </c>
      <c r="M5" s="528" t="s">
        <v>438</v>
      </c>
      <c r="N5" s="528" t="s">
        <v>439</v>
      </c>
      <c r="O5" s="528" t="s">
        <v>440</v>
      </c>
      <c r="P5" s="528" t="s">
        <v>441</v>
      </c>
      <c r="Q5" s="528" t="s">
        <v>442</v>
      </c>
      <c r="R5" s="528" t="s">
        <v>443</v>
      </c>
      <c r="S5" s="528" t="s">
        <v>444</v>
      </c>
      <c r="T5" s="528" t="s">
        <v>445</v>
      </c>
      <c r="U5" s="528" t="s">
        <v>446</v>
      </c>
      <c r="V5" s="528" t="s">
        <v>447</v>
      </c>
      <c r="W5" s="528" t="s">
        <v>448</v>
      </c>
      <c r="X5" s="528" t="s">
        <v>449</v>
      </c>
      <c r="Y5" s="528" t="s">
        <v>450</v>
      </c>
      <c r="Z5" s="528" t="s">
        <v>451</v>
      </c>
      <c r="AA5" s="528" t="s">
        <v>452</v>
      </c>
      <c r="AB5" s="528" t="s">
        <v>453</v>
      </c>
      <c r="AC5" s="528" t="s">
        <v>454</v>
      </c>
      <c r="AD5" s="528" t="s">
        <v>455</v>
      </c>
      <c r="AE5" s="528" t="s">
        <v>456</v>
      </c>
      <c r="AF5" s="528" t="s">
        <v>457</v>
      </c>
      <c r="AG5" s="528" t="s">
        <v>458</v>
      </c>
      <c r="AH5" s="528" t="s">
        <v>459</v>
      </c>
      <c r="AI5" s="528" t="s">
        <v>460</v>
      </c>
      <c r="AJ5" s="528" t="s">
        <v>461</v>
      </c>
    </row>
    <row r="6" spans="1:36" s="559" customFormat="1">
      <c r="A6" s="567" t="s">
        <v>462</v>
      </c>
      <c r="B6" s="567"/>
      <c r="C6" s="567"/>
      <c r="D6" s="568"/>
      <c r="E6" s="569"/>
      <c r="F6" s="569"/>
      <c r="G6" s="570"/>
      <c r="H6" s="570"/>
      <c r="I6" s="570"/>
      <c r="J6" s="571"/>
      <c r="K6" s="571"/>
      <c r="L6" s="571"/>
      <c r="M6" s="571"/>
      <c r="N6" s="571"/>
      <c r="O6" s="571"/>
      <c r="P6" s="571"/>
      <c r="Q6" s="571"/>
      <c r="R6" s="571"/>
      <c r="S6" s="571"/>
      <c r="T6" s="571"/>
      <c r="U6" s="571"/>
      <c r="V6" s="571"/>
      <c r="W6" s="571"/>
      <c r="X6" s="571"/>
      <c r="Y6" s="571"/>
      <c r="Z6" s="571"/>
      <c r="AA6" s="571"/>
      <c r="AB6" s="571"/>
      <c r="AC6" s="571"/>
      <c r="AD6" s="571"/>
      <c r="AE6" s="571"/>
      <c r="AF6" s="567"/>
      <c r="AG6" s="567"/>
      <c r="AH6" s="567"/>
      <c r="AI6" s="567"/>
      <c r="AJ6" s="567"/>
    </row>
    <row r="7" spans="1:36" s="559" customFormat="1">
      <c r="A7" s="560" t="s">
        <v>162</v>
      </c>
      <c r="B7" s="560" t="s">
        <v>463</v>
      </c>
      <c r="C7" s="560" t="s">
        <v>464</v>
      </c>
      <c r="D7" s="561" t="s">
        <v>32</v>
      </c>
      <c r="E7" s="562" t="s">
        <v>465</v>
      </c>
      <c r="F7" s="562" t="s">
        <v>466</v>
      </c>
      <c r="G7" s="563">
        <v>2010</v>
      </c>
      <c r="H7" s="563">
        <v>55</v>
      </c>
      <c r="I7" s="563">
        <v>1</v>
      </c>
      <c r="J7" s="564">
        <f>EmisCO2Coef!D19</f>
        <v>0.10060378499999999</v>
      </c>
      <c r="K7" s="564">
        <f>J7</f>
        <v>0.10060378499999999</v>
      </c>
      <c r="L7" s="564"/>
      <c r="M7" s="564"/>
      <c r="N7" s="564"/>
      <c r="O7" s="564"/>
      <c r="P7" s="564"/>
      <c r="Q7" s="564"/>
      <c r="R7" s="564"/>
      <c r="S7" s="564"/>
      <c r="T7" s="564"/>
      <c r="U7" s="564"/>
      <c r="V7" s="564"/>
      <c r="W7" s="564"/>
      <c r="X7" s="564"/>
      <c r="Y7" s="564"/>
      <c r="Z7" s="564"/>
      <c r="AA7" s="564"/>
      <c r="AB7" s="564"/>
      <c r="AC7" s="564"/>
      <c r="AD7" s="564"/>
      <c r="AE7" s="564"/>
      <c r="AF7" s="560"/>
      <c r="AG7" s="560"/>
      <c r="AH7" s="560"/>
      <c r="AI7" s="560"/>
      <c r="AJ7" s="560"/>
    </row>
    <row r="8" spans="1:36" s="559" customFormat="1">
      <c r="A8" s="560" t="s">
        <v>37</v>
      </c>
      <c r="B8" s="560" t="s">
        <v>467</v>
      </c>
      <c r="C8" s="560" t="s">
        <v>468</v>
      </c>
      <c r="D8" s="561" t="s">
        <v>32</v>
      </c>
      <c r="E8" s="562" t="s">
        <v>469</v>
      </c>
      <c r="F8" s="562" t="s">
        <v>125</v>
      </c>
      <c r="G8" s="563">
        <v>2010</v>
      </c>
      <c r="H8" s="563">
        <v>55</v>
      </c>
      <c r="I8" s="563">
        <v>1</v>
      </c>
      <c r="J8" s="565">
        <f>EmisCO2Coef!D9</f>
        <v>5.5983606000000005E-2</v>
      </c>
      <c r="K8" s="565">
        <f>J8</f>
        <v>5.5983606000000005E-2</v>
      </c>
      <c r="L8" s="565">
        <f>EmisRes!H6</f>
        <v>3.9275865139168441E-2</v>
      </c>
      <c r="M8" s="565">
        <f>L8</f>
        <v>3.9275865139168441E-2</v>
      </c>
      <c r="N8" s="565">
        <f>EmisRes!I6</f>
        <v>2.1727074332305945E-4</v>
      </c>
      <c r="O8" s="565">
        <f>N8</f>
        <v>2.1727074332305945E-4</v>
      </c>
      <c r="P8" s="565">
        <f>EmisRes!J6</f>
        <v>1.7966619159406839E-4</v>
      </c>
      <c r="Q8" s="565">
        <f>P8</f>
        <v>1.7966619159406839E-4</v>
      </c>
      <c r="R8" s="565">
        <f>EmisRes!K6</f>
        <v>2.2980559389938981E-3</v>
      </c>
      <c r="S8" s="565">
        <f>R8</f>
        <v>2.2980559389938981E-3</v>
      </c>
      <c r="T8" s="565">
        <f>EmisRes!L6</f>
        <v>1.6713134101773802E-2</v>
      </c>
      <c r="U8" s="565">
        <f>T8</f>
        <v>1.6713134101773802E-2</v>
      </c>
      <c r="V8" s="565">
        <f>EmisRes!M6</f>
        <v>4.7390856133350664E-3</v>
      </c>
      <c r="W8" s="565">
        <f>V8</f>
        <v>4.7390856133350664E-3</v>
      </c>
      <c r="X8" s="565">
        <f>EmisRes!N6</f>
        <v>9.4781712266701334E-5</v>
      </c>
      <c r="Y8" s="565">
        <f>X8</f>
        <v>9.4781712266701334E-5</v>
      </c>
      <c r="Z8" s="566" t="e">
        <f>P8*#REF!</f>
        <v>#REF!</v>
      </c>
      <c r="AA8" s="565" t="e">
        <f>Z8</f>
        <v>#REF!</v>
      </c>
      <c r="AB8" s="566" t="e">
        <f>R8*#REF!</f>
        <v>#REF!</v>
      </c>
      <c r="AC8" s="565" t="e">
        <f>AB8</f>
        <v>#REF!</v>
      </c>
      <c r="AD8" s="565">
        <f>EmisRes!G6</f>
        <v>2.5069701152660706E-4</v>
      </c>
      <c r="AE8" s="565">
        <f>AD8</f>
        <v>2.5069701152660706E-4</v>
      </c>
      <c r="AF8" s="560">
        <f>J8*1000</f>
        <v>55.983606000000002</v>
      </c>
      <c r="AG8" s="564">
        <f>L8</f>
        <v>3.9275865139168441E-2</v>
      </c>
      <c r="AH8" s="564">
        <f t="shared" ref="AH8:AH12" si="0">N8</f>
        <v>2.1727074332305945E-4</v>
      </c>
      <c r="AI8" s="564">
        <f>AD8</f>
        <v>2.5069701152660706E-4</v>
      </c>
      <c r="AJ8" s="564">
        <f>AG8</f>
        <v>3.9275865139168441E-2</v>
      </c>
    </row>
    <row r="9" spans="1:36" s="559" customFormat="1">
      <c r="A9" s="560" t="s">
        <v>162</v>
      </c>
      <c r="B9" s="560" t="s">
        <v>470</v>
      </c>
      <c r="C9" s="560" t="s">
        <v>471</v>
      </c>
      <c r="D9" s="561" t="s">
        <v>32</v>
      </c>
      <c r="E9" s="562" t="s">
        <v>472</v>
      </c>
      <c r="F9" s="562" t="s">
        <v>473</v>
      </c>
      <c r="G9" s="563">
        <v>2010</v>
      </c>
      <c r="H9" s="563">
        <v>55</v>
      </c>
      <c r="I9" s="563">
        <v>1</v>
      </c>
      <c r="J9" s="565"/>
      <c r="K9" s="565"/>
      <c r="L9" s="565">
        <f>EmisRes!H5</f>
        <v>0.12680825708658253</v>
      </c>
      <c r="M9" s="565">
        <f>L9</f>
        <v>0.12680825708658253</v>
      </c>
      <c r="N9" s="565">
        <f>EmisRes!I5</f>
        <v>0.70373708963144821</v>
      </c>
      <c r="O9" s="565">
        <f>N9</f>
        <v>0.70373708963144821</v>
      </c>
      <c r="P9" s="565">
        <f>EmisRes!J5</f>
        <v>0.6052138970830454</v>
      </c>
      <c r="Q9" s="565">
        <f>P9</f>
        <v>0.6052138970830454</v>
      </c>
      <c r="R9" s="565">
        <f>EmisRes!K5</f>
        <v>1.1519337812962567</v>
      </c>
      <c r="S9" s="565">
        <f>R9</f>
        <v>1.1519337812962567</v>
      </c>
      <c r="T9" s="565">
        <f>EmisRes!L5</f>
        <v>5.1881544168748119</v>
      </c>
      <c r="U9" s="565">
        <f>T9</f>
        <v>5.1881544168748119</v>
      </c>
      <c r="V9" s="565">
        <f>EmisRes!M5</f>
        <v>0.18729739993150055</v>
      </c>
      <c r="W9" s="565">
        <f>V9</f>
        <v>0.18729739993150055</v>
      </c>
      <c r="X9" s="565">
        <f>EmisRes!N5</f>
        <v>3.9808319152014561E-3</v>
      </c>
      <c r="Y9" s="565">
        <f>X9</f>
        <v>3.9808319152014561E-3</v>
      </c>
      <c r="Z9" s="566" t="e">
        <f>P9*#REF!</f>
        <v>#REF!</v>
      </c>
      <c r="AA9" s="565" t="e">
        <f>Z9</f>
        <v>#REF!</v>
      </c>
      <c r="AB9" s="566" t="e">
        <f>R9*#REF!</f>
        <v>#REF!</v>
      </c>
      <c r="AC9" s="565" t="e">
        <f>AB9</f>
        <v>#REF!</v>
      </c>
      <c r="AD9" s="565">
        <f>EmisRes!G5</f>
        <v>1.0748065374927783E-2</v>
      </c>
      <c r="AE9" s="565">
        <f>AD9</f>
        <v>1.0748065374927783E-2</v>
      </c>
      <c r="AF9" s="560">
        <f>J9*1000</f>
        <v>0</v>
      </c>
      <c r="AG9" s="564">
        <f>L9</f>
        <v>0.12680825708658253</v>
      </c>
      <c r="AH9" s="564">
        <f t="shared" si="0"/>
        <v>0.70373708963144821</v>
      </c>
      <c r="AI9" s="564">
        <f>AD9</f>
        <v>1.0748065374927783E-2</v>
      </c>
      <c r="AJ9" s="564">
        <f t="shared" ref="AJ9:AJ12" si="1">AG9</f>
        <v>0.12680825708658253</v>
      </c>
    </row>
    <row r="10" spans="1:36" s="559" customFormat="1">
      <c r="A10" s="560" t="s">
        <v>37</v>
      </c>
      <c r="B10" s="560" t="s">
        <v>474</v>
      </c>
      <c r="C10" s="560" t="s">
        <v>475</v>
      </c>
      <c r="D10" s="561" t="s">
        <v>32</v>
      </c>
      <c r="E10" s="562" t="s">
        <v>476</v>
      </c>
      <c r="F10" s="562" t="s">
        <v>126</v>
      </c>
      <c r="G10" s="563">
        <v>2010</v>
      </c>
      <c r="H10" s="563">
        <v>55</v>
      </c>
      <c r="I10" s="563">
        <v>1</v>
      </c>
      <c r="J10" s="565">
        <f>EmisCO2Coef!D10</f>
        <v>7.7180565000000007E-2</v>
      </c>
      <c r="K10" s="565">
        <f>J10</f>
        <v>7.7180565000000007E-2</v>
      </c>
      <c r="L10" s="565">
        <f>EmisRes!H7</f>
        <v>5.5800635763898224E-2</v>
      </c>
      <c r="M10" s="565">
        <f>L10</f>
        <v>5.5800635763898224E-2</v>
      </c>
      <c r="N10" s="565">
        <f>EmisRes!I7</f>
        <v>7.3780840621154318E-3</v>
      </c>
      <c r="O10" s="565">
        <f>N10</f>
        <v>7.3780840621154318E-3</v>
      </c>
      <c r="P10" s="565">
        <f>EmisRes!J7</f>
        <v>6.6030752320612894E-3</v>
      </c>
      <c r="Q10" s="565">
        <f>P10</f>
        <v>6.6030752320612894E-3</v>
      </c>
      <c r="R10" s="565">
        <f>EmisRes!K7</f>
        <v>2.1700247241515976E-3</v>
      </c>
      <c r="S10" s="565">
        <f>R10</f>
        <v>2.1700247241515976E-3</v>
      </c>
      <c r="T10" s="565">
        <f>EmisRes!L7</f>
        <v>1.5500176601082839E-2</v>
      </c>
      <c r="U10" s="565">
        <f>T10</f>
        <v>1.5500176601082839E-2</v>
      </c>
      <c r="V10" s="565">
        <f>EmisRes!M7</f>
        <v>5.5180628699854906E-3</v>
      </c>
      <c r="W10" s="565">
        <f>V10</f>
        <v>5.5180628699854906E-3</v>
      </c>
      <c r="X10" s="565">
        <f>EmisRes!N7</f>
        <v>5.6869027360020798E-4</v>
      </c>
      <c r="Y10" s="565">
        <f>X10</f>
        <v>5.6869027360020798E-4</v>
      </c>
      <c r="Z10" s="566" t="e">
        <f>P10*#REF!</f>
        <v>#REF!</v>
      </c>
      <c r="AA10" s="565" t="e">
        <f>Z10</f>
        <v>#REF!</v>
      </c>
      <c r="AB10" s="566" t="e">
        <f>R10*#REF!</f>
        <v>#REF!</v>
      </c>
      <c r="AC10" s="565" t="e">
        <f>AB10</f>
        <v>#REF!</v>
      </c>
      <c r="AD10" s="565">
        <f>EmisRes!G7</f>
        <v>0.13206150464122579</v>
      </c>
      <c r="AE10" s="565">
        <f>AD10</f>
        <v>0.13206150464122579</v>
      </c>
      <c r="AF10" s="560">
        <f>J10*1000</f>
        <v>77.180565000000001</v>
      </c>
      <c r="AG10" s="564">
        <f>L10</f>
        <v>5.5800635763898224E-2</v>
      </c>
      <c r="AH10" s="564">
        <f t="shared" si="0"/>
        <v>7.3780840621154318E-3</v>
      </c>
      <c r="AI10" s="564">
        <f>AD10</f>
        <v>0.13206150464122579</v>
      </c>
      <c r="AJ10" s="564">
        <f t="shared" si="1"/>
        <v>5.5800635763898224E-2</v>
      </c>
    </row>
    <row r="11" spans="1:36" s="559" customFormat="1">
      <c r="A11" s="560" t="s">
        <v>162</v>
      </c>
      <c r="B11" s="560" t="s">
        <v>477</v>
      </c>
      <c r="C11" s="560" t="s">
        <v>478</v>
      </c>
      <c r="D11" s="561" t="s">
        <v>32</v>
      </c>
      <c r="E11" s="562" t="s">
        <v>479</v>
      </c>
      <c r="F11" s="562" t="s">
        <v>480</v>
      </c>
      <c r="G11" s="563">
        <v>2010</v>
      </c>
      <c r="H11" s="563">
        <v>55</v>
      </c>
      <c r="I11" s="563">
        <v>1</v>
      </c>
      <c r="J11" s="565">
        <f>EmisCO2Coef!D12</f>
        <v>7.6294280999999992E-2</v>
      </c>
      <c r="K11" s="565">
        <f>J11</f>
        <v>7.6294280999999992E-2</v>
      </c>
      <c r="L11" s="565">
        <f>EmisRes!H9</f>
        <v>5.7326049969084157E-2</v>
      </c>
      <c r="M11" s="565">
        <f>L11</f>
        <v>5.7326049969084157E-2</v>
      </c>
      <c r="N11" s="565">
        <f>EmisRes!I23</f>
        <v>7.2612996627506596E-3</v>
      </c>
      <c r="O11" s="565">
        <f>N11</f>
        <v>7.2612996627506596E-3</v>
      </c>
      <c r="P11" s="565">
        <f>EmisRes!J23</f>
        <v>6.5288001353679169E-3</v>
      </c>
      <c r="Q11" s="565">
        <f>P11</f>
        <v>6.5288001353679169E-3</v>
      </c>
      <c r="R11" s="565">
        <f>EmisRes!K23</f>
        <v>2.140172532179142E-3</v>
      </c>
      <c r="S11" s="565">
        <f>R11</f>
        <v>2.140172532179142E-3</v>
      </c>
      <c r="T11" s="565">
        <f>EmisRes!L23</f>
        <v>1.5923902769190042E-2</v>
      </c>
      <c r="U11" s="565">
        <f>T11</f>
        <v>1.5923902769190042E-2</v>
      </c>
      <c r="V11" s="565">
        <f>EmisRes!M23</f>
        <v>5.6689093858316554E-3</v>
      </c>
      <c r="W11" s="565">
        <f>V11</f>
        <v>5.6689093858316554E-3</v>
      </c>
      <c r="X11" s="565">
        <f>EmisRes!N23</f>
        <v>5.6869027360020798E-4</v>
      </c>
      <c r="Y11" s="565">
        <f>X11</f>
        <v>5.6869027360020798E-4</v>
      </c>
      <c r="Z11" s="566" t="e">
        <f>P11*#REF!</f>
        <v>#REF!</v>
      </c>
      <c r="AA11" s="565" t="e">
        <f>Z11</f>
        <v>#REF!</v>
      </c>
      <c r="AB11" s="566" t="e">
        <f>R11*#REF!</f>
        <v>#REF!</v>
      </c>
      <c r="AC11" s="565" t="e">
        <f>AB11</f>
        <v>#REF!</v>
      </c>
      <c r="AD11" s="565">
        <f>EmisRes!G23</f>
        <v>0.13567165159349917</v>
      </c>
      <c r="AE11" s="565">
        <f>AD11</f>
        <v>0.13567165159349917</v>
      </c>
      <c r="AF11" s="560">
        <f>J11*1000</f>
        <v>76.294280999999998</v>
      </c>
      <c r="AG11" s="564">
        <f>L11</f>
        <v>5.7326049969084157E-2</v>
      </c>
      <c r="AH11" s="564">
        <f t="shared" si="0"/>
        <v>7.2612996627506596E-3</v>
      </c>
      <c r="AI11" s="564">
        <f>AD11</f>
        <v>0.13567165159349917</v>
      </c>
      <c r="AJ11" s="564">
        <f t="shared" si="1"/>
        <v>5.7326049969084157E-2</v>
      </c>
    </row>
    <row r="12" spans="1:36" s="559" customFormat="1">
      <c r="A12" s="560" t="s">
        <v>162</v>
      </c>
      <c r="B12" s="560" t="s">
        <v>481</v>
      </c>
      <c r="C12" s="560" t="s">
        <v>482</v>
      </c>
      <c r="D12" s="561" t="s">
        <v>32</v>
      </c>
      <c r="E12" s="562" t="s">
        <v>483</v>
      </c>
      <c r="F12" s="562" t="s">
        <v>331</v>
      </c>
      <c r="G12" s="563">
        <v>2010</v>
      </c>
      <c r="H12" s="563">
        <v>55</v>
      </c>
      <c r="I12" s="563">
        <v>1</v>
      </c>
      <c r="J12" s="565">
        <f>EmisCO2Coef!D13</f>
        <v>6.5711627999999994E-2</v>
      </c>
      <c r="K12" s="565">
        <f>J12</f>
        <v>6.5711627999999994E-2</v>
      </c>
      <c r="L12" s="565">
        <f>EmisRes!H8</f>
        <v>6.2863259097865581E-2</v>
      </c>
      <c r="M12" s="565">
        <f>L12</f>
        <v>6.2863259097865581E-2</v>
      </c>
      <c r="N12" s="565">
        <f>EmisRes!I22</f>
        <v>2.3456439961890146E-4</v>
      </c>
      <c r="O12" s="565">
        <f>N12</f>
        <v>2.3456439961890146E-4</v>
      </c>
      <c r="P12" s="565">
        <f>EmisRes!J22</f>
        <v>1.8765151969512116E-4</v>
      </c>
      <c r="Q12" s="565">
        <f>P12</f>
        <v>1.8765151969512116E-4</v>
      </c>
      <c r="R12" s="565">
        <f>EmisRes!K22</f>
        <v>2.439469756036575E-3</v>
      </c>
      <c r="S12" s="565">
        <f>R12</f>
        <v>2.439469756036575E-3</v>
      </c>
      <c r="T12" s="565">
        <f>EmisRes!L22</f>
        <v>1.782689437103651E-2</v>
      </c>
      <c r="U12" s="565">
        <f>T12</f>
        <v>1.782689437103651E-2</v>
      </c>
      <c r="V12" s="565">
        <f>EmisRes!M22</f>
        <v>1.0425988349337147E-2</v>
      </c>
      <c r="W12" s="565">
        <f>V12</f>
        <v>1.0425988349337147E-2</v>
      </c>
      <c r="X12" s="565">
        <f>EmisRes!N22</f>
        <v>5.6869027360020798E-4</v>
      </c>
      <c r="Y12" s="565">
        <f>X12</f>
        <v>5.6869027360020798E-4</v>
      </c>
      <c r="Z12" s="566" t="e">
        <f>P12*#REF!</f>
        <v>#REF!</v>
      </c>
      <c r="AA12" s="565" t="e">
        <f>Z12</f>
        <v>#REF!</v>
      </c>
      <c r="AB12" s="566" t="e">
        <f>R12*#REF!</f>
        <v>#REF!</v>
      </c>
      <c r="AC12" s="565" t="e">
        <f>AB12</f>
        <v>#REF!</v>
      </c>
      <c r="AD12" s="565">
        <f>EmisRes!G22</f>
        <v>2.8147727954268173E-4</v>
      </c>
      <c r="AE12" s="565">
        <f>AD12</f>
        <v>2.8147727954268173E-4</v>
      </c>
      <c r="AF12" s="560">
        <f>J12*1000</f>
        <v>65.71162799999999</v>
      </c>
      <c r="AG12" s="564">
        <f>L12</f>
        <v>6.2863259097865581E-2</v>
      </c>
      <c r="AH12" s="564">
        <f t="shared" si="0"/>
        <v>2.3456439961890146E-4</v>
      </c>
      <c r="AI12" s="564">
        <f>AD12</f>
        <v>2.8147727954268173E-4</v>
      </c>
      <c r="AJ12" s="564">
        <f t="shared" si="1"/>
        <v>6.2863259097865581E-2</v>
      </c>
    </row>
    <row r="13" spans="1:36" s="559" customFormat="1">
      <c r="A13" s="560" t="s">
        <v>484</v>
      </c>
      <c r="B13" s="560"/>
      <c r="C13" s="560"/>
      <c r="D13" s="561"/>
      <c r="E13" s="562"/>
      <c r="F13" s="562"/>
      <c r="G13" s="563"/>
      <c r="H13" s="563"/>
      <c r="I13" s="563"/>
      <c r="J13" s="564"/>
      <c r="K13" s="564"/>
      <c r="L13" s="564"/>
      <c r="M13" s="564"/>
      <c r="N13" s="564"/>
      <c r="O13" s="564"/>
      <c r="P13" s="564"/>
      <c r="Q13" s="564"/>
      <c r="R13" s="564"/>
      <c r="S13" s="564"/>
      <c r="T13" s="564"/>
      <c r="U13" s="564"/>
      <c r="V13" s="564"/>
      <c r="W13" s="564"/>
      <c r="X13" s="564"/>
      <c r="Y13" s="564"/>
      <c r="Z13" s="564"/>
      <c r="AA13" s="564"/>
      <c r="AB13" s="564"/>
      <c r="AC13" s="564"/>
      <c r="AD13" s="564"/>
      <c r="AE13" s="564"/>
      <c r="AF13" s="560"/>
      <c r="AG13" s="560"/>
      <c r="AH13" s="560"/>
      <c r="AI13" s="560"/>
      <c r="AJ13" s="560"/>
    </row>
    <row r="14" spans="1:36">
      <c r="A14" s="12"/>
      <c r="B14" s="12"/>
      <c r="C14" s="12"/>
      <c r="D14" s="524"/>
      <c r="E14" s="8"/>
      <c r="F14" s="8"/>
    </row>
    <row r="15" spans="1:36">
      <c r="A15" s="12"/>
      <c r="B15" s="12"/>
      <c r="C15" s="12"/>
      <c r="D15" s="524"/>
      <c r="E15" s="8"/>
      <c r="F15" s="8"/>
    </row>
    <row r="16" spans="1:36">
      <c r="A16" s="1"/>
      <c r="D16" s="524"/>
    </row>
    <row r="17" spans="1:6">
      <c r="A17" s="12"/>
      <c r="B17" s="12"/>
      <c r="C17" s="12"/>
      <c r="D17" s="524"/>
      <c r="E17" s="8"/>
      <c r="F17" s="8"/>
    </row>
    <row r="18" spans="1:6">
      <c r="A18" s="12"/>
      <c r="B18" s="12"/>
      <c r="C18" s="12"/>
      <c r="D18" s="524"/>
      <c r="E18" s="8"/>
      <c r="F18" s="8"/>
    </row>
    <row r="19" spans="1:6">
      <c r="A19" s="12"/>
      <c r="B19" s="12"/>
      <c r="C19" s="12"/>
      <c r="D19" s="524"/>
      <c r="E19" s="8"/>
      <c r="F19" s="8"/>
    </row>
    <row r="20" spans="1:6">
      <c r="A20" s="12"/>
      <c r="B20" s="12"/>
      <c r="C20" s="12"/>
      <c r="D20" s="524"/>
      <c r="E20" s="8"/>
      <c r="F20" s="8"/>
    </row>
    <row r="21" spans="1:6">
      <c r="A21" s="12"/>
      <c r="B21" s="12"/>
      <c r="C21" s="12"/>
      <c r="D21" s="524"/>
      <c r="E21" s="8"/>
      <c r="F21" s="8"/>
    </row>
    <row r="22" spans="1:6">
      <c r="A22" s="12"/>
      <c r="B22" s="12"/>
      <c r="C22" s="12"/>
      <c r="D22" s="524"/>
      <c r="E22" s="8"/>
      <c r="F22" s="8"/>
    </row>
    <row r="23" spans="1:6">
      <c r="A23" s="12"/>
      <c r="B23" s="12"/>
      <c r="C23" s="12"/>
      <c r="D23" s="524"/>
      <c r="E23" s="8"/>
      <c r="F23" s="8"/>
    </row>
    <row r="24" spans="1:6">
      <c r="A24" s="12"/>
      <c r="B24" s="12"/>
      <c r="C24" s="12"/>
      <c r="D24" s="524"/>
      <c r="E24" s="8"/>
      <c r="F24" s="8"/>
    </row>
    <row r="25" spans="1:6">
      <c r="A25" s="12"/>
      <c r="B25" s="12"/>
      <c r="C25" s="12"/>
      <c r="D25" s="524"/>
      <c r="E25" s="8"/>
      <c r="F25" s="8"/>
    </row>
    <row r="26" spans="1:6">
      <c r="A26" s="1"/>
      <c r="D26" s="524"/>
      <c r="E26" s="8"/>
      <c r="F26" s="8"/>
    </row>
    <row r="27" spans="1:6">
      <c r="A27" s="12"/>
      <c r="B27" s="12"/>
      <c r="C27" s="12"/>
      <c r="D27" s="524"/>
      <c r="E27" s="8"/>
      <c r="F27" s="8"/>
    </row>
    <row r="28" spans="1:6">
      <c r="A28" s="12"/>
      <c r="B28" s="12"/>
      <c r="C28" s="12"/>
      <c r="D28" s="524"/>
      <c r="E28" s="8"/>
      <c r="F28" s="8"/>
    </row>
    <row r="29" spans="1:6">
      <c r="A29" s="12"/>
      <c r="B29" s="12"/>
      <c r="C29" s="12"/>
      <c r="D29" s="524"/>
      <c r="E29" s="8"/>
      <c r="F29" s="8"/>
    </row>
    <row r="30" spans="1:6">
      <c r="A30" s="12"/>
      <c r="B30" s="12"/>
      <c r="C30" s="12"/>
      <c r="D30" s="524"/>
      <c r="E30" s="8"/>
      <c r="F30" s="8"/>
    </row>
    <row r="31" spans="1:6">
      <c r="A31" s="12"/>
      <c r="B31" s="12"/>
      <c r="C31" s="12"/>
      <c r="D31" s="524"/>
      <c r="E31" s="8"/>
      <c r="F31" s="8"/>
    </row>
    <row r="32" spans="1:6">
      <c r="A32" s="12"/>
      <c r="B32" s="12"/>
      <c r="C32" s="12"/>
      <c r="D32" s="524"/>
      <c r="E32" s="8"/>
      <c r="F32" s="8"/>
    </row>
    <row r="33" spans="1:6">
      <c r="A33" s="1"/>
      <c r="D33" s="524"/>
      <c r="F33" s="8"/>
    </row>
    <row r="34" spans="1:6">
      <c r="A34" s="12"/>
      <c r="B34" s="12"/>
      <c r="C34" s="12"/>
      <c r="D34" s="524"/>
      <c r="E34" s="8"/>
      <c r="F34" s="8"/>
    </row>
    <row r="35" spans="1:6">
      <c r="A35" s="12"/>
      <c r="B35" s="12"/>
      <c r="C35" s="12"/>
      <c r="D35" s="524"/>
      <c r="E35" s="8"/>
      <c r="F35" s="8"/>
    </row>
    <row r="36" spans="1:6">
      <c r="A36" s="12"/>
      <c r="B36" s="12"/>
      <c r="C36" s="12"/>
      <c r="D36" s="524"/>
      <c r="E36" s="8"/>
      <c r="F36" s="8"/>
    </row>
    <row r="37" spans="1:6">
      <c r="A37" s="12"/>
      <c r="B37" s="12"/>
      <c r="C37" s="12"/>
      <c r="D37" s="524"/>
      <c r="E37" s="8"/>
      <c r="F37" s="8"/>
    </row>
    <row r="38" spans="1:6">
      <c r="A38" s="12"/>
      <c r="B38" s="12"/>
      <c r="C38" s="12"/>
      <c r="D38" s="524"/>
      <c r="E38" s="8"/>
      <c r="F38" s="8"/>
    </row>
    <row r="39" spans="1:6">
      <c r="A39" s="1"/>
      <c r="D39" s="524"/>
      <c r="F39" s="8"/>
    </row>
    <row r="40" spans="1:6">
      <c r="A40" s="12"/>
      <c r="B40" s="12"/>
      <c r="C40" s="12"/>
      <c r="D40" s="524"/>
      <c r="E40" s="8"/>
      <c r="F40" s="8"/>
    </row>
    <row r="41" spans="1:6">
      <c r="A41" s="12"/>
      <c r="B41" s="12"/>
      <c r="C41" s="12"/>
      <c r="D41" s="524"/>
      <c r="E41" s="8"/>
      <c r="F41" s="8"/>
    </row>
    <row r="42" spans="1:6">
      <c r="A42" s="12"/>
      <c r="B42" s="12"/>
      <c r="C42" s="12"/>
      <c r="D42" s="524"/>
      <c r="E42" s="8"/>
      <c r="F42" s="8"/>
    </row>
    <row r="43" spans="1:6">
      <c r="A43" s="12"/>
      <c r="B43" s="12"/>
      <c r="C43" s="12"/>
      <c r="D43" s="524"/>
      <c r="E43" s="8"/>
      <c r="F43" s="8"/>
    </row>
    <row r="44" spans="1:6">
      <c r="A44" s="12"/>
      <c r="B44" s="12"/>
      <c r="C44" s="12"/>
      <c r="D44" s="524"/>
      <c r="E44" s="8"/>
      <c r="F44" s="8"/>
    </row>
    <row r="45" spans="1:6">
      <c r="A45" s="12"/>
      <c r="B45" s="12"/>
      <c r="C45" s="12"/>
      <c r="D45" s="524"/>
      <c r="E45" s="8"/>
      <c r="F45" s="8"/>
    </row>
    <row r="46" spans="1:6">
      <c r="A46" s="12"/>
      <c r="B46" s="12"/>
      <c r="C46" s="12"/>
      <c r="D46" s="524"/>
      <c r="E46" s="8"/>
      <c r="F46" s="8"/>
    </row>
    <row r="47" spans="1:6">
      <c r="A47" s="12"/>
      <c r="B47" s="12"/>
      <c r="C47" s="12"/>
      <c r="D47" s="524"/>
      <c r="E47" s="8"/>
      <c r="F47" s="8"/>
    </row>
    <row r="48" spans="1:6">
      <c r="A48" s="1"/>
      <c r="D48" s="524"/>
      <c r="F48" s="8"/>
    </row>
    <row r="49" spans="1:6">
      <c r="A49" s="12"/>
      <c r="B49" s="12"/>
      <c r="C49" s="12"/>
      <c r="D49" s="524"/>
      <c r="E49" s="8"/>
      <c r="F49" s="8"/>
    </row>
    <row r="50" spans="1:6">
      <c r="A50" s="12"/>
      <c r="B50" s="12"/>
      <c r="C50" s="12"/>
      <c r="D50" s="524"/>
      <c r="E50" s="8"/>
      <c r="F50" s="8"/>
    </row>
    <row r="51" spans="1:6">
      <c r="A51" s="12"/>
      <c r="B51" s="12"/>
      <c r="C51" s="12"/>
      <c r="D51" s="524"/>
      <c r="E51" s="8"/>
      <c r="F51" s="8"/>
    </row>
    <row r="52" spans="1:6">
      <c r="A52" s="12"/>
      <c r="B52" s="12"/>
      <c r="C52" s="12"/>
      <c r="D52" s="524"/>
      <c r="E52" s="8"/>
      <c r="F52" s="8"/>
    </row>
    <row r="53" spans="1:6">
      <c r="A53" s="12"/>
      <c r="B53" s="12"/>
      <c r="C53" s="12"/>
      <c r="D53" s="524"/>
      <c r="E53" s="8"/>
      <c r="F53" s="8"/>
    </row>
    <row r="54" spans="1:6">
      <c r="A54" s="1"/>
      <c r="D54" s="524"/>
      <c r="F54" s="8"/>
    </row>
    <row r="55" spans="1:6">
      <c r="A55" s="12"/>
      <c r="B55" s="12"/>
      <c r="C55" s="12"/>
      <c r="D55" s="524"/>
      <c r="E55" s="8"/>
      <c r="F55" s="8"/>
    </row>
    <row r="56" spans="1:6">
      <c r="A56" s="12"/>
      <c r="B56" s="12"/>
      <c r="C56" s="12"/>
      <c r="D56" s="524"/>
      <c r="E56" s="8"/>
      <c r="F56" s="8"/>
    </row>
    <row r="57" spans="1:6">
      <c r="A57" s="12"/>
      <c r="B57" s="12"/>
      <c r="C57" s="12"/>
      <c r="D57" s="524"/>
      <c r="E57" s="8"/>
      <c r="F57" s="8"/>
    </row>
    <row r="58" spans="1:6">
      <c r="A58" s="12"/>
      <c r="B58" s="12"/>
      <c r="C58" s="12"/>
      <c r="D58" s="524"/>
      <c r="E58" s="8"/>
      <c r="F58" s="8"/>
    </row>
    <row r="59" spans="1:6">
      <c r="A59" s="12"/>
      <c r="B59" s="12"/>
      <c r="C59" s="12"/>
      <c r="D59" s="524"/>
      <c r="E59" s="8"/>
      <c r="F59" s="8"/>
    </row>
    <row r="60" spans="1:6">
      <c r="A60" s="12"/>
      <c r="B60" s="12"/>
      <c r="C60" s="12"/>
      <c r="D60" s="524"/>
      <c r="E60" s="8"/>
      <c r="F60" s="8"/>
    </row>
    <row r="61" spans="1:6">
      <c r="A61" s="12"/>
      <c r="B61" s="12"/>
      <c r="C61" s="12"/>
      <c r="D61" s="524"/>
      <c r="E61" s="8"/>
      <c r="F61" s="8"/>
    </row>
    <row r="62" spans="1:6">
      <c r="A62" s="1"/>
      <c r="D62" s="524"/>
      <c r="F62" s="8"/>
    </row>
    <row r="63" spans="1:6">
      <c r="A63" s="12"/>
      <c r="B63" s="12"/>
      <c r="C63" s="12"/>
      <c r="D63" s="524"/>
      <c r="E63" s="8"/>
      <c r="F63" s="8"/>
    </row>
    <row r="64" spans="1:6">
      <c r="A64" s="12"/>
      <c r="B64" s="12"/>
      <c r="C64" s="12"/>
      <c r="D64" s="524"/>
      <c r="E64" s="8"/>
      <c r="F64" s="8"/>
    </row>
    <row r="65" spans="1:6">
      <c r="A65" s="1"/>
      <c r="D65" s="524"/>
      <c r="F65" s="8"/>
    </row>
    <row r="66" spans="1:6">
      <c r="A66" s="12"/>
      <c r="B66" s="12"/>
      <c r="C66" s="12"/>
      <c r="D66" s="524"/>
      <c r="E66" s="8"/>
      <c r="F66" s="8"/>
    </row>
    <row r="67" spans="1:6">
      <c r="A67" s="12"/>
      <c r="B67" s="12"/>
      <c r="C67" s="12"/>
      <c r="D67" s="524"/>
      <c r="E67" s="8"/>
      <c r="F67" s="8"/>
    </row>
    <row r="68" spans="1:6">
      <c r="A68" s="12"/>
      <c r="B68" s="12"/>
      <c r="C68" s="12"/>
      <c r="D68" s="524"/>
      <c r="E68" s="8"/>
      <c r="F68" s="8"/>
    </row>
    <row r="69" spans="1:6">
      <c r="A69" s="12"/>
      <c r="B69" s="12"/>
      <c r="C69" s="12"/>
      <c r="D69" s="524"/>
      <c r="E69" s="8"/>
      <c r="F69" s="8"/>
    </row>
    <row r="70" spans="1:6">
      <c r="A70" s="12"/>
      <c r="B70" s="12"/>
      <c r="C70" s="12"/>
      <c r="D70" s="524"/>
      <c r="E70" s="8"/>
      <c r="F70" s="8"/>
    </row>
    <row r="71" spans="1:6">
      <c r="A71" s="12"/>
      <c r="B71" s="12"/>
      <c r="C71" s="12"/>
      <c r="D71" s="524"/>
      <c r="E71" s="8"/>
      <c r="F71" s="8"/>
    </row>
    <row r="72" spans="1:6">
      <c r="A72" s="12"/>
      <c r="B72" s="12"/>
      <c r="C72" s="12"/>
      <c r="D72" s="524"/>
      <c r="E72" s="8"/>
      <c r="F72" s="8"/>
    </row>
    <row r="73" spans="1:6">
      <c r="A73" s="1"/>
      <c r="D73" s="524"/>
      <c r="F73" s="8"/>
    </row>
    <row r="74" spans="1:6">
      <c r="A74" s="12"/>
      <c r="B74" s="12"/>
      <c r="C74" s="12"/>
      <c r="D74" s="524"/>
      <c r="E74" s="8"/>
      <c r="F74" s="8"/>
    </row>
    <row r="75" spans="1:6">
      <c r="A75" s="12"/>
      <c r="B75" s="12"/>
      <c r="C75" s="12"/>
      <c r="D75" s="524"/>
      <c r="E75" s="8"/>
      <c r="F75" s="8"/>
    </row>
    <row r="76" spans="1:6">
      <c r="A76" s="1"/>
      <c r="D76" s="524"/>
      <c r="E76" s="8"/>
      <c r="F76" s="8"/>
    </row>
    <row r="77" spans="1:6">
      <c r="A77" s="1"/>
      <c r="D77" s="524"/>
      <c r="E77" s="8"/>
    </row>
    <row r="78" spans="1:6">
      <c r="A78" s="12"/>
      <c r="B78" s="12"/>
      <c r="C78" s="12"/>
      <c r="D78" s="524"/>
      <c r="E78" s="8"/>
      <c r="F78" s="8"/>
    </row>
    <row r="79" spans="1:6">
      <c r="A79" s="12"/>
      <c r="B79" s="12"/>
      <c r="C79" s="12"/>
      <c r="D79" s="524"/>
      <c r="E79" s="8"/>
      <c r="F79" s="8"/>
    </row>
    <row r="80" spans="1:6">
      <c r="A80" s="12"/>
      <c r="B80" s="12"/>
      <c r="C80" s="12"/>
      <c r="D80" s="524"/>
      <c r="E80" s="8"/>
      <c r="F80" s="8"/>
    </row>
    <row r="81" spans="1:6">
      <c r="A81" s="12"/>
      <c r="B81" s="12"/>
      <c r="C81" s="12"/>
      <c r="D81" s="524"/>
      <c r="E81" s="8"/>
      <c r="F81" s="8"/>
    </row>
    <row r="82" spans="1:6">
      <c r="A82" s="12"/>
      <c r="B82" s="12"/>
      <c r="C82" s="12"/>
      <c r="D82" s="524"/>
      <c r="E82" s="8"/>
      <c r="F82" s="8"/>
    </row>
    <row r="83" spans="1:6">
      <c r="A83" s="12"/>
      <c r="B83" s="12"/>
      <c r="C83" s="12"/>
      <c r="D83" s="524"/>
      <c r="E83" s="8"/>
      <c r="F83" s="8"/>
    </row>
    <row r="84" spans="1:6">
      <c r="A84" s="1"/>
      <c r="D84" s="524"/>
      <c r="F84" s="8"/>
    </row>
    <row r="85" spans="1:6">
      <c r="A85" s="12"/>
      <c r="B85" s="12"/>
      <c r="C85" s="12"/>
      <c r="D85" s="524"/>
      <c r="E85" s="8"/>
      <c r="F85" s="8"/>
    </row>
    <row r="86" spans="1:6">
      <c r="A86" s="12"/>
      <c r="B86" s="12"/>
      <c r="C86" s="12"/>
      <c r="D86" s="524"/>
      <c r="E86" s="8"/>
      <c r="F86" s="8"/>
    </row>
    <row r="87" spans="1:6">
      <c r="A87" s="12"/>
      <c r="B87" s="12"/>
      <c r="C87" s="12"/>
      <c r="D87" s="524"/>
      <c r="E87" s="8"/>
      <c r="F87" s="8"/>
    </row>
    <row r="88" spans="1:6">
      <c r="A88" s="12"/>
      <c r="B88" s="12"/>
      <c r="C88" s="12"/>
      <c r="D88" s="524"/>
      <c r="E88" s="8"/>
      <c r="F88" s="8"/>
    </row>
    <row r="89" spans="1:6">
      <c r="A89" s="12"/>
      <c r="B89" s="12"/>
      <c r="C89" s="12"/>
      <c r="D89" s="524"/>
      <c r="E89" s="8"/>
      <c r="F89" s="8"/>
    </row>
    <row r="90" spans="1:6">
      <c r="A90" s="12"/>
      <c r="B90" s="12"/>
      <c r="C90" s="12"/>
      <c r="D90" s="524"/>
      <c r="E90" s="8"/>
      <c r="F90" s="8"/>
    </row>
    <row r="91" spans="1:6">
      <c r="A91" s="12"/>
      <c r="B91" s="12"/>
      <c r="C91" s="12"/>
      <c r="D91" s="524"/>
      <c r="E91" s="8"/>
      <c r="F91" s="8"/>
    </row>
    <row r="92" spans="1:6">
      <c r="A92" s="12"/>
      <c r="B92" s="12"/>
      <c r="C92" s="12"/>
      <c r="D92" s="524"/>
      <c r="E92" s="8"/>
      <c r="F92" s="8"/>
    </row>
    <row r="93" spans="1:6">
      <c r="A93" s="12"/>
      <c r="B93" s="12"/>
      <c r="C93" s="12"/>
      <c r="D93" s="524"/>
      <c r="E93" s="8"/>
      <c r="F93" s="8"/>
    </row>
    <row r="94" spans="1:6">
      <c r="A94" s="1"/>
      <c r="D94" s="524"/>
      <c r="F94" s="8"/>
    </row>
    <row r="95" spans="1:6">
      <c r="A95" s="12"/>
      <c r="B95" s="12"/>
      <c r="C95" s="12"/>
      <c r="D95" s="524"/>
      <c r="E95" s="8"/>
      <c r="F95" s="8"/>
    </row>
    <row r="96" spans="1:6">
      <c r="A96" s="12"/>
      <c r="B96" s="12"/>
      <c r="C96" s="12"/>
      <c r="D96" s="524"/>
      <c r="E96" s="8"/>
      <c r="F96" s="8"/>
    </row>
    <row r="97" spans="1:6">
      <c r="A97" s="12"/>
      <c r="B97" s="12"/>
      <c r="C97" s="12"/>
      <c r="D97" s="524"/>
      <c r="E97" s="8"/>
      <c r="F97" s="8"/>
    </row>
    <row r="98" spans="1:6">
      <c r="A98" s="12"/>
      <c r="B98" s="12"/>
      <c r="C98" s="12"/>
      <c r="D98" s="524"/>
      <c r="E98" s="8"/>
      <c r="F98" s="8"/>
    </row>
    <row r="99" spans="1:6">
      <c r="A99" s="12"/>
      <c r="B99" s="12"/>
      <c r="C99" s="12"/>
      <c r="D99" s="524"/>
      <c r="E99" s="8"/>
      <c r="F99" s="8"/>
    </row>
    <row r="100" spans="1:6">
      <c r="A100" s="12"/>
      <c r="B100" s="12"/>
      <c r="C100" s="12"/>
      <c r="D100" s="524"/>
      <c r="E100" s="8"/>
      <c r="F100" s="8"/>
    </row>
    <row r="101" spans="1:6">
      <c r="A101" s="12"/>
      <c r="B101" s="12"/>
      <c r="C101" s="12"/>
      <c r="D101" s="524"/>
      <c r="E101" s="8"/>
      <c r="F101" s="8"/>
    </row>
    <row r="102" spans="1:6">
      <c r="A102" s="12"/>
      <c r="B102" s="12"/>
      <c r="C102" s="12"/>
      <c r="D102" s="524"/>
      <c r="E102" s="8"/>
      <c r="F102" s="8"/>
    </row>
    <row r="103" spans="1:6">
      <c r="A103" s="12"/>
      <c r="B103" s="12"/>
      <c r="C103" s="12"/>
      <c r="D103" s="524"/>
      <c r="E103" s="8"/>
      <c r="F103" s="8"/>
    </row>
    <row r="104" spans="1:6">
      <c r="A104" s="12"/>
      <c r="B104" s="12"/>
      <c r="C104" s="12"/>
      <c r="D104" s="524"/>
      <c r="E104" s="8"/>
      <c r="F104" s="8"/>
    </row>
    <row r="105" spans="1:6">
      <c r="A105" s="12"/>
      <c r="B105" s="12"/>
      <c r="C105" s="12"/>
      <c r="D105" s="524"/>
      <c r="E105" s="8"/>
      <c r="F105" s="8"/>
    </row>
    <row r="106" spans="1:6">
      <c r="A106" s="12"/>
      <c r="B106" s="12"/>
      <c r="C106" s="12"/>
      <c r="D106" s="524"/>
      <c r="E106" s="8"/>
      <c r="F106" s="8"/>
    </row>
    <row r="107" spans="1:6">
      <c r="A107" s="12"/>
      <c r="B107" s="12"/>
      <c r="C107" s="12"/>
      <c r="D107" s="524"/>
      <c r="E107" s="8"/>
      <c r="F107" s="8"/>
    </row>
    <row r="108" spans="1:6">
      <c r="A108" s="12"/>
      <c r="B108" s="12"/>
      <c r="C108" s="12"/>
      <c r="D108" s="524"/>
      <c r="E108" s="8"/>
      <c r="F108" s="8"/>
    </row>
    <row r="109" spans="1:6">
      <c r="A109" s="1"/>
      <c r="D109" s="524"/>
      <c r="F109" s="8"/>
    </row>
    <row r="110" spans="1:6">
      <c r="A110" s="12"/>
      <c r="B110" s="12"/>
      <c r="C110" s="12"/>
      <c r="D110" s="524"/>
      <c r="E110" s="8"/>
      <c r="F110" s="8"/>
    </row>
    <row r="111" spans="1:6">
      <c r="A111" s="12"/>
      <c r="B111" s="12"/>
      <c r="C111" s="12"/>
      <c r="D111" s="524"/>
      <c r="E111" s="8"/>
      <c r="F111" s="8"/>
    </row>
    <row r="112" spans="1:6">
      <c r="A112" s="12"/>
      <c r="B112" s="12"/>
      <c r="C112" s="12"/>
      <c r="D112" s="524"/>
      <c r="E112" s="8"/>
      <c r="F112" s="8"/>
    </row>
    <row r="113" spans="1:6">
      <c r="A113" s="12"/>
      <c r="B113" s="12"/>
      <c r="C113" s="12"/>
      <c r="D113" s="524"/>
      <c r="E113" s="8"/>
      <c r="F113" s="8"/>
    </row>
    <row r="114" spans="1:6">
      <c r="A114" s="12"/>
      <c r="B114" s="12"/>
      <c r="C114" s="12"/>
      <c r="D114" s="524"/>
      <c r="E114" s="8"/>
      <c r="F114" s="8"/>
    </row>
    <row r="115" spans="1:6">
      <c r="A115" s="12"/>
      <c r="B115" s="12"/>
      <c r="C115" s="12"/>
      <c r="D115" s="524"/>
      <c r="E115" s="8"/>
      <c r="F115" s="8"/>
    </row>
    <row r="116" spans="1:6">
      <c r="A116" s="12"/>
      <c r="B116" s="12"/>
      <c r="C116" s="12"/>
      <c r="D116" s="524"/>
      <c r="E116" s="8"/>
      <c r="F116" s="8"/>
    </row>
    <row r="117" spans="1:6">
      <c r="A117" s="1"/>
      <c r="D117" s="524"/>
      <c r="F117" s="8"/>
    </row>
    <row r="118" spans="1:6">
      <c r="A118" s="12"/>
      <c r="B118" s="12"/>
      <c r="C118" s="12"/>
      <c r="D118" s="524"/>
      <c r="E118" s="8"/>
      <c r="F118" s="8"/>
    </row>
    <row r="119" spans="1:6">
      <c r="A119" s="12"/>
      <c r="B119" s="12"/>
      <c r="C119" s="12"/>
      <c r="D119" s="524"/>
      <c r="E119" s="8"/>
      <c r="F119" s="8"/>
    </row>
    <row r="120" spans="1:6">
      <c r="A120" s="1"/>
      <c r="D120" s="524"/>
    </row>
    <row r="121" spans="1:6">
      <c r="A121" s="1"/>
      <c r="D121" s="524"/>
    </row>
    <row r="122" spans="1:6">
      <c r="A122" s="12"/>
      <c r="B122" s="12"/>
      <c r="C122" s="12"/>
      <c r="D122" s="524"/>
      <c r="E122" s="8"/>
      <c r="F122" s="8"/>
    </row>
    <row r="123" spans="1:6">
      <c r="A123" s="12"/>
      <c r="B123" s="12"/>
      <c r="C123" s="12"/>
      <c r="D123" s="524"/>
      <c r="E123" s="8"/>
      <c r="F123" s="8"/>
    </row>
    <row r="124" spans="1:6">
      <c r="A124" s="12"/>
      <c r="B124" s="12"/>
      <c r="C124" s="12"/>
      <c r="D124" s="524"/>
      <c r="E124" s="8"/>
      <c r="F124" s="8"/>
    </row>
    <row r="125" spans="1:6">
      <c r="A125" s="12"/>
      <c r="B125" s="12"/>
      <c r="C125" s="12"/>
      <c r="D125" s="524"/>
      <c r="E125" s="8"/>
      <c r="F125" s="8"/>
    </row>
    <row r="126" spans="1:6">
      <c r="A126" s="12"/>
      <c r="B126" s="12"/>
      <c r="C126" s="12"/>
      <c r="D126" s="524"/>
      <c r="E126" s="8"/>
      <c r="F126" s="8"/>
    </row>
    <row r="127" spans="1:6">
      <c r="A127" s="12"/>
      <c r="B127" s="12"/>
      <c r="C127" s="12"/>
      <c r="D127" s="524"/>
      <c r="E127" s="8"/>
      <c r="F127" s="8"/>
    </row>
    <row r="128" spans="1:6">
      <c r="A128" s="12"/>
      <c r="B128" s="12"/>
      <c r="C128" s="12"/>
      <c r="D128" s="524"/>
      <c r="E128" s="8"/>
      <c r="F128" s="8"/>
    </row>
    <row r="129" spans="1:6">
      <c r="A129" s="12"/>
      <c r="B129" s="12"/>
      <c r="C129" s="12"/>
      <c r="D129" s="524"/>
      <c r="E129" s="8"/>
      <c r="F129" s="8"/>
    </row>
    <row r="130" spans="1:6">
      <c r="A130" s="12"/>
      <c r="B130" s="12"/>
      <c r="C130" s="12"/>
      <c r="D130" s="524"/>
      <c r="E130" s="8"/>
      <c r="F130" s="8"/>
    </row>
    <row r="131" spans="1:6">
      <c r="A131" s="1"/>
      <c r="D131" s="524"/>
    </row>
    <row r="132" spans="1:6">
      <c r="A132" s="12"/>
      <c r="B132" s="12"/>
      <c r="C132" s="12"/>
      <c r="D132" s="524"/>
      <c r="E132" s="8"/>
      <c r="F132" s="8"/>
    </row>
    <row r="133" spans="1:6">
      <c r="A133" s="12"/>
      <c r="B133" s="12"/>
      <c r="C133" s="12"/>
      <c r="D133" s="524"/>
      <c r="E133" s="8"/>
      <c r="F133" s="8"/>
    </row>
    <row r="134" spans="1:6">
      <c r="A134" s="12"/>
      <c r="B134" s="12"/>
      <c r="C134" s="12"/>
      <c r="D134" s="524"/>
      <c r="E134" s="8"/>
      <c r="F134" s="8"/>
    </row>
    <row r="135" spans="1:6">
      <c r="A135" s="12"/>
      <c r="B135" s="12"/>
      <c r="C135" s="12"/>
      <c r="D135" s="524"/>
      <c r="E135" s="8"/>
      <c r="F135" s="8"/>
    </row>
    <row r="136" spans="1:6">
      <c r="A136" s="12"/>
      <c r="B136" s="12"/>
      <c r="C136" s="12"/>
      <c r="D136" s="524"/>
      <c r="E136" s="8"/>
      <c r="F136" s="8"/>
    </row>
    <row r="137" spans="1:6">
      <c r="A137" s="12"/>
      <c r="B137" s="12"/>
      <c r="C137" s="12"/>
      <c r="D137" s="524"/>
      <c r="E137" s="8"/>
      <c r="F137" s="8"/>
    </row>
    <row r="138" spans="1:6">
      <c r="A138" s="12"/>
      <c r="B138" s="12"/>
      <c r="C138" s="12"/>
      <c r="D138" s="524"/>
      <c r="E138" s="8"/>
      <c r="F138" s="8"/>
    </row>
    <row r="139" spans="1:6">
      <c r="A139" s="12"/>
      <c r="B139" s="12"/>
      <c r="C139" s="12"/>
      <c r="D139" s="524"/>
      <c r="E139" s="8"/>
      <c r="F139" s="8"/>
    </row>
    <row r="140" spans="1:6">
      <c r="A140" s="12"/>
      <c r="B140" s="12"/>
      <c r="C140" s="12"/>
      <c r="D140" s="524"/>
      <c r="E140" s="8"/>
      <c r="F140" s="8"/>
    </row>
    <row r="141" spans="1:6">
      <c r="A141" s="1"/>
      <c r="D141" s="524"/>
    </row>
    <row r="142" spans="1:6">
      <c r="A142" s="12"/>
      <c r="B142" s="12"/>
      <c r="C142" s="12"/>
      <c r="D142" s="524"/>
      <c r="E142" s="8"/>
      <c r="F142" s="8"/>
    </row>
    <row r="143" spans="1:6">
      <c r="A143" s="12"/>
      <c r="B143" s="12"/>
      <c r="C143" s="12"/>
      <c r="D143" s="524"/>
      <c r="E143" s="8"/>
      <c r="F143" s="8"/>
    </row>
    <row r="144" spans="1:6">
      <c r="A144" s="12"/>
      <c r="B144" s="12"/>
      <c r="C144" s="12"/>
      <c r="D144" s="524"/>
      <c r="E144" s="8"/>
      <c r="F144" s="8"/>
    </row>
    <row r="145" spans="1:6">
      <c r="A145" s="12"/>
      <c r="B145" s="12"/>
      <c r="C145" s="12"/>
      <c r="D145" s="524"/>
      <c r="E145" s="8"/>
      <c r="F145" s="8"/>
    </row>
    <row r="146" spans="1:6">
      <c r="A146" s="12"/>
      <c r="B146" s="12"/>
      <c r="C146" s="12"/>
      <c r="D146" s="524"/>
      <c r="E146" s="8"/>
      <c r="F146" s="8"/>
    </row>
    <row r="147" spans="1:6">
      <c r="A147" s="12"/>
      <c r="B147" s="12"/>
      <c r="C147" s="12"/>
      <c r="D147" s="524"/>
      <c r="E147" s="8"/>
      <c r="F147" s="8"/>
    </row>
    <row r="148" spans="1:6">
      <c r="A148" s="1"/>
      <c r="D148" s="524"/>
    </row>
    <row r="149" spans="1:6">
      <c r="A149" s="12"/>
      <c r="B149" s="12"/>
      <c r="C149" s="12"/>
      <c r="D149" s="524"/>
      <c r="E149" s="8"/>
      <c r="F149" s="8"/>
    </row>
    <row r="150" spans="1:6">
      <c r="A150" s="12"/>
      <c r="B150" s="12"/>
      <c r="C150" s="12"/>
      <c r="D150" s="524"/>
      <c r="E150" s="8"/>
      <c r="F150" s="8"/>
    </row>
    <row r="151" spans="1:6">
      <c r="A151" s="12"/>
      <c r="B151" s="12"/>
      <c r="C151" s="12"/>
      <c r="D151" s="524"/>
      <c r="E151" s="8"/>
      <c r="F151" s="8"/>
    </row>
    <row r="152" spans="1:6">
      <c r="A152" s="12"/>
      <c r="B152" s="12"/>
      <c r="C152" s="12"/>
      <c r="D152" s="524"/>
      <c r="E152" s="8"/>
      <c r="F152" s="8"/>
    </row>
    <row r="153" spans="1:6">
      <c r="A153" s="12"/>
      <c r="B153" s="12"/>
      <c r="C153" s="12"/>
      <c r="D153" s="524"/>
      <c r="E153" s="8"/>
      <c r="F153" s="8"/>
    </row>
    <row r="154" spans="1:6">
      <c r="A154" s="12"/>
      <c r="B154" s="12"/>
      <c r="C154" s="12"/>
      <c r="D154" s="524"/>
      <c r="E154" s="8"/>
      <c r="F154" s="8"/>
    </row>
    <row r="155" spans="1:6">
      <c r="A155" s="12"/>
      <c r="B155" s="12"/>
      <c r="C155" s="12"/>
      <c r="D155" s="524"/>
      <c r="E155" s="8"/>
      <c r="F155" s="8"/>
    </row>
    <row r="156" spans="1:6">
      <c r="A156" s="12"/>
      <c r="B156" s="12"/>
      <c r="C156" s="12"/>
      <c r="D156" s="524"/>
      <c r="E156" s="8"/>
      <c r="F156" s="8"/>
    </row>
    <row r="157" spans="1:6">
      <c r="A157" s="12"/>
      <c r="B157" s="12"/>
      <c r="C157" s="12"/>
      <c r="D157" s="524"/>
      <c r="E157" s="8"/>
      <c r="F157" s="8"/>
    </row>
    <row r="158" spans="1:6">
      <c r="A158" s="1"/>
      <c r="D158" s="524"/>
      <c r="F158" s="8"/>
    </row>
    <row r="159" spans="1:6">
      <c r="A159" s="12"/>
      <c r="B159" s="12"/>
      <c r="C159" s="12"/>
      <c r="D159" s="524"/>
      <c r="E159" s="8"/>
      <c r="F159" s="8"/>
    </row>
    <row r="160" spans="1:6">
      <c r="A160" s="12"/>
      <c r="B160" s="12"/>
      <c r="C160" s="12"/>
      <c r="D160" s="524"/>
      <c r="E160" s="8"/>
      <c r="F160" s="8"/>
    </row>
    <row r="161" spans="1:6">
      <c r="A161" s="12"/>
      <c r="B161" s="12"/>
      <c r="C161" s="12"/>
      <c r="D161" s="524"/>
      <c r="E161" s="8"/>
      <c r="F161" s="8"/>
    </row>
    <row r="162" spans="1:6">
      <c r="A162" s="12"/>
      <c r="B162" s="12"/>
      <c r="C162" s="12"/>
      <c r="D162" s="524"/>
      <c r="E162" s="8"/>
      <c r="F162" s="8"/>
    </row>
    <row r="163" spans="1:6">
      <c r="A163" s="12"/>
      <c r="B163" s="12"/>
      <c r="C163" s="12"/>
      <c r="D163" s="524"/>
      <c r="E163" s="8"/>
      <c r="F163" s="8"/>
    </row>
    <row r="164" spans="1:6">
      <c r="A164" s="12"/>
      <c r="B164" s="12"/>
      <c r="C164" s="12"/>
      <c r="D164" s="524"/>
      <c r="E164" s="8"/>
      <c r="F164" s="8"/>
    </row>
    <row r="165" spans="1:6">
      <c r="A165" s="12"/>
      <c r="B165" s="12"/>
      <c r="C165" s="12"/>
      <c r="D165" s="524"/>
      <c r="E165" s="8"/>
      <c r="F165" s="8"/>
    </row>
    <row r="166" spans="1:6">
      <c r="A166" s="12"/>
      <c r="B166" s="12"/>
      <c r="C166" s="12"/>
      <c r="D166" s="524"/>
      <c r="E166" s="8"/>
      <c r="F166" s="8"/>
    </row>
    <row r="167" spans="1:6">
      <c r="A167" s="12"/>
      <c r="B167" s="12"/>
      <c r="C167" s="12"/>
      <c r="D167" s="524"/>
      <c r="E167" s="8"/>
      <c r="F167" s="8"/>
    </row>
    <row r="168" spans="1:6">
      <c r="A168" s="12"/>
      <c r="B168" s="12"/>
      <c r="C168" s="12"/>
      <c r="D168" s="524"/>
      <c r="E168" s="8"/>
      <c r="F168" s="8"/>
    </row>
    <row r="169" spans="1:6">
      <c r="A169" s="12"/>
      <c r="B169" s="12"/>
      <c r="C169" s="12"/>
      <c r="D169" s="524"/>
      <c r="E169" s="8"/>
      <c r="F169" s="8"/>
    </row>
    <row r="170" spans="1:6">
      <c r="A170" s="12"/>
      <c r="B170" s="12"/>
      <c r="C170" s="12"/>
      <c r="D170" s="524"/>
      <c r="E170" s="8"/>
      <c r="F170" s="8"/>
    </row>
    <row r="171" spans="1:6">
      <c r="A171" s="12"/>
      <c r="B171" s="12"/>
      <c r="C171" s="12"/>
      <c r="D171" s="524"/>
      <c r="E171" s="8"/>
      <c r="F171" s="8"/>
    </row>
    <row r="172" spans="1:6">
      <c r="A172" s="12"/>
      <c r="B172" s="12"/>
      <c r="C172" s="12"/>
      <c r="D172" s="524"/>
      <c r="E172" s="8"/>
      <c r="F172" s="8"/>
    </row>
    <row r="173" spans="1:6">
      <c r="A173" s="12"/>
      <c r="B173" s="12"/>
      <c r="C173" s="12"/>
      <c r="D173" s="524"/>
      <c r="E173" s="8"/>
      <c r="F173" s="8"/>
    </row>
    <row r="174" spans="1:6">
      <c r="A174" s="12"/>
      <c r="B174" s="12"/>
      <c r="C174" s="12"/>
      <c r="D174" s="524"/>
      <c r="E174" s="8"/>
      <c r="F174" s="8"/>
    </row>
    <row r="175" spans="1:6">
      <c r="A175" s="1"/>
      <c r="D175" s="524"/>
    </row>
    <row r="176" spans="1:6">
      <c r="A176" s="12"/>
      <c r="B176" s="12"/>
      <c r="C176" s="12"/>
      <c r="D176" s="524"/>
      <c r="E176" s="8"/>
      <c r="F176" s="8"/>
    </row>
    <row r="177" spans="1:6">
      <c r="A177" s="12"/>
      <c r="B177" s="12"/>
      <c r="C177" s="12"/>
      <c r="D177" s="524"/>
      <c r="E177" s="8"/>
      <c r="F177" s="8"/>
    </row>
    <row r="178" spans="1:6">
      <c r="A178" s="12"/>
      <c r="B178" s="12"/>
      <c r="C178" s="12"/>
      <c r="D178" s="524"/>
      <c r="E178" s="8"/>
      <c r="F178" s="8"/>
    </row>
    <row r="179" spans="1:6">
      <c r="A179" s="12"/>
      <c r="B179" s="12"/>
      <c r="C179" s="12"/>
      <c r="D179" s="524"/>
      <c r="E179" s="8"/>
      <c r="F179" s="8"/>
    </row>
    <row r="180" spans="1:6">
      <c r="A180" s="12"/>
      <c r="B180" s="12"/>
      <c r="C180" s="12"/>
      <c r="D180" s="524"/>
      <c r="E180" s="8"/>
      <c r="F180" s="8"/>
    </row>
    <row r="181" spans="1:6">
      <c r="A181" s="12"/>
      <c r="B181" s="12"/>
      <c r="C181" s="12"/>
      <c r="D181" s="524"/>
      <c r="E181" s="8"/>
      <c r="F181" s="8"/>
    </row>
    <row r="182" spans="1:6">
      <c r="A182" s="12"/>
      <c r="B182" s="12"/>
      <c r="C182" s="12"/>
      <c r="D182" s="524"/>
      <c r="E182" s="8"/>
      <c r="F182" s="8"/>
    </row>
    <row r="183" spans="1:6">
      <c r="A183" s="12"/>
      <c r="B183" s="12"/>
      <c r="C183" s="12"/>
      <c r="D183" s="524"/>
      <c r="E183" s="8"/>
      <c r="F183" s="8"/>
    </row>
    <row r="184" spans="1:6">
      <c r="A184" s="1"/>
      <c r="D184" s="524"/>
      <c r="E184" s="8"/>
      <c r="F184" s="8"/>
    </row>
    <row r="185" spans="1:6">
      <c r="A185" s="12"/>
      <c r="B185" s="12"/>
      <c r="C185" s="12"/>
      <c r="D185" s="524"/>
      <c r="E185" s="8"/>
      <c r="F185" s="8"/>
    </row>
    <row r="186" spans="1:6">
      <c r="A186" s="12"/>
      <c r="B186" s="12"/>
      <c r="C186" s="12"/>
      <c r="D186" s="524"/>
      <c r="E186" s="8"/>
      <c r="F186" s="8"/>
    </row>
    <row r="187" spans="1:6">
      <c r="A187" s="12"/>
      <c r="B187" s="12"/>
      <c r="C187" s="12"/>
      <c r="D187" s="524"/>
      <c r="E187" s="8"/>
      <c r="F187" s="8"/>
    </row>
    <row r="188" spans="1:6">
      <c r="A188" s="12"/>
      <c r="B188" s="12"/>
      <c r="C188" s="12"/>
      <c r="D188" s="524"/>
      <c r="E188" s="8"/>
      <c r="F188" s="8"/>
    </row>
    <row r="189" spans="1:6">
      <c r="A189" s="1"/>
      <c r="D189" s="524"/>
      <c r="E189" s="8"/>
      <c r="F189" s="8"/>
    </row>
    <row r="190" spans="1:6">
      <c r="A190" s="1"/>
      <c r="D190" s="524"/>
    </row>
    <row r="191" spans="1:6">
      <c r="A191" s="1"/>
      <c r="D191" s="524"/>
      <c r="E191" s="8"/>
      <c r="F191" s="8"/>
    </row>
    <row r="192" spans="1:6">
      <c r="A192" s="1"/>
      <c r="D192" s="524"/>
      <c r="E192" s="8"/>
      <c r="F192" s="8"/>
    </row>
    <row r="193" spans="1:6">
      <c r="A193" s="1"/>
      <c r="D193" s="524"/>
      <c r="E193" s="8"/>
      <c r="F193" s="8"/>
    </row>
    <row r="194" spans="1:6">
      <c r="A194" s="1"/>
      <c r="D194" s="524"/>
    </row>
    <row r="195" spans="1:6">
      <c r="A195" s="1"/>
      <c r="D195" s="524"/>
      <c r="E195" s="8"/>
      <c r="F195" s="8"/>
    </row>
    <row r="196" spans="1:6">
      <c r="A196" s="1"/>
      <c r="D196" s="524"/>
      <c r="E196" s="8"/>
      <c r="F196" s="8"/>
    </row>
    <row r="197" spans="1:6">
      <c r="A197" s="1"/>
      <c r="D197" s="524"/>
      <c r="E197" s="8"/>
      <c r="F197" s="8"/>
    </row>
    <row r="198" spans="1:6">
      <c r="A198" s="1"/>
      <c r="D198" s="524"/>
      <c r="E198" s="8"/>
      <c r="F198" s="8"/>
    </row>
    <row r="199" spans="1:6">
      <c r="A199" s="1"/>
      <c r="D199" s="524"/>
      <c r="E199" s="8"/>
      <c r="F199" s="8"/>
    </row>
    <row r="200" spans="1:6">
      <c r="A200" s="1"/>
      <c r="D200" s="524"/>
      <c r="E200" s="8"/>
      <c r="F200" s="8"/>
    </row>
    <row r="201" spans="1:6">
      <c r="A201" s="1"/>
      <c r="D201" s="524"/>
      <c r="E201" s="8"/>
      <c r="F201" s="8"/>
    </row>
    <row r="202" spans="1:6">
      <c r="A202" s="1"/>
      <c r="D202" s="524"/>
      <c r="E202" s="8"/>
      <c r="F202" s="8"/>
    </row>
    <row r="203" spans="1:6">
      <c r="A203" s="1"/>
      <c r="D203" s="524"/>
      <c r="E203" s="8"/>
      <c r="F203" s="8"/>
    </row>
    <row r="204" spans="1:6">
      <c r="A204" s="1"/>
      <c r="D204" s="524"/>
      <c r="E204" s="8"/>
      <c r="F204" s="8"/>
    </row>
    <row r="205" spans="1:6">
      <c r="A205" s="1"/>
      <c r="D205" s="524"/>
      <c r="E205" s="8"/>
      <c r="F205" s="8"/>
    </row>
    <row r="206" spans="1:6">
      <c r="A206" s="1"/>
      <c r="D206" s="524"/>
      <c r="E206" s="8"/>
      <c r="F206" s="8"/>
    </row>
    <row r="207" spans="1:6">
      <c r="A207" s="1"/>
      <c r="D207" s="524"/>
      <c r="E207" s="8"/>
      <c r="F207" s="8"/>
    </row>
    <row r="208" spans="1:6">
      <c r="A208" s="1"/>
      <c r="D208" s="524"/>
      <c r="E208" s="8"/>
      <c r="F208" s="8"/>
    </row>
    <row r="209" spans="1:6">
      <c r="A209" s="1"/>
      <c r="D209" s="524"/>
      <c r="E209" s="8"/>
      <c r="F209" s="8"/>
    </row>
    <row r="210" spans="1:6">
      <c r="A210" s="1"/>
      <c r="D210" s="524"/>
      <c r="E210" s="8"/>
      <c r="F210" s="8"/>
    </row>
    <row r="211" spans="1:6">
      <c r="A211" s="1"/>
      <c r="D211" s="524"/>
      <c r="E211" s="8"/>
      <c r="F211" s="8"/>
    </row>
    <row r="212" spans="1:6">
      <c r="A212" s="1"/>
      <c r="D212" s="524"/>
      <c r="E212" s="8"/>
      <c r="F212" s="8"/>
    </row>
    <row r="213" spans="1:6">
      <c r="A213" s="1"/>
      <c r="D213" s="524"/>
      <c r="E213" s="8"/>
      <c r="F213" s="8"/>
    </row>
    <row r="214" spans="1:6">
      <c r="A214" s="1"/>
      <c r="D214" s="524"/>
      <c r="E214" s="8"/>
      <c r="F214" s="8"/>
    </row>
    <row r="215" spans="1:6">
      <c r="A215" s="1"/>
      <c r="D215" s="524"/>
      <c r="E215" s="8"/>
      <c r="F215" s="8"/>
    </row>
    <row r="216" spans="1:6">
      <c r="A216" s="1"/>
      <c r="D216" s="524"/>
      <c r="E216" s="8"/>
      <c r="F216" s="8"/>
    </row>
    <row r="217" spans="1:6">
      <c r="A217" s="1"/>
      <c r="D217" s="524"/>
      <c r="E217" s="8"/>
      <c r="F217" s="8"/>
    </row>
    <row r="218" spans="1:6">
      <c r="A218" s="1"/>
      <c r="D218" s="524"/>
      <c r="E218" s="8"/>
      <c r="F218" s="8"/>
    </row>
    <row r="219" spans="1:6">
      <c r="A219" s="1"/>
      <c r="D219" s="524"/>
      <c r="E219" s="8"/>
      <c r="F219" s="8"/>
    </row>
    <row r="220" spans="1:6">
      <c r="A220" s="1"/>
      <c r="D220" s="524"/>
      <c r="E220" s="8"/>
      <c r="F220" s="8"/>
    </row>
    <row r="221" spans="1:6">
      <c r="D221" s="524"/>
      <c r="E221" s="8"/>
      <c r="F221" s="8"/>
    </row>
    <row r="222" spans="1:6">
      <c r="D222" s="524"/>
      <c r="E222" s="8"/>
      <c r="F222" s="8"/>
    </row>
    <row r="223" spans="1:6">
      <c r="D223" s="524"/>
      <c r="E223" s="8"/>
      <c r="F223" s="8"/>
    </row>
    <row r="224" spans="1:6">
      <c r="D224" s="524"/>
      <c r="E224" s="8"/>
      <c r="F224" s="8"/>
    </row>
    <row r="225" spans="1:6">
      <c r="D225" s="524"/>
      <c r="E225" s="8"/>
      <c r="F225" s="8"/>
    </row>
    <row r="226" spans="1:6">
      <c r="D226" s="524"/>
      <c r="E226" s="8"/>
      <c r="F226" s="8"/>
    </row>
    <row r="227" spans="1:6">
      <c r="D227" s="524"/>
      <c r="E227" s="8"/>
      <c r="F227" s="8"/>
    </row>
    <row r="228" spans="1:6">
      <c r="D228" s="524"/>
      <c r="E228" s="8"/>
      <c r="F228" s="8"/>
    </row>
    <row r="229" spans="1:6">
      <c r="D229" s="524"/>
      <c r="E229" s="8"/>
      <c r="F229" s="8"/>
    </row>
    <row r="230" spans="1:6">
      <c r="A230" s="1"/>
      <c r="D230" s="524"/>
      <c r="E230" s="8"/>
      <c r="F230" s="8"/>
    </row>
    <row r="231" spans="1:6">
      <c r="A231" s="1"/>
      <c r="D231" s="524"/>
      <c r="E231" s="8"/>
      <c r="F231" s="8"/>
    </row>
    <row r="232" spans="1:6">
      <c r="A232" s="1"/>
      <c r="D232" s="524"/>
      <c r="E232" s="8"/>
      <c r="F232" s="8"/>
    </row>
    <row r="233" spans="1:6">
      <c r="A233" s="1"/>
      <c r="D233" s="524"/>
      <c r="E233" s="8"/>
      <c r="F233" s="8"/>
    </row>
    <row r="234" spans="1:6">
      <c r="A234" s="1"/>
      <c r="D234" s="524"/>
      <c r="E234" s="8"/>
      <c r="F234" s="8"/>
    </row>
  </sheetData>
  <pageMargins left="0.75" right="0.75" top="1" bottom="1" header="0.5" footer="0.5"/>
  <pageSetup paperSize="9" orientation="landscape" horizontalDpi="1200"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13">
    <tabColor rgb="FFFFC000"/>
  </sheetPr>
  <dimension ref="A1:N18"/>
  <sheetViews>
    <sheetView zoomScale="85" workbookViewId="0">
      <pane xSplit="6" ySplit="5" topLeftCell="G6" activePane="bottomRight" state="frozen"/>
      <selection pane="topRight" activeCell="C33" sqref="C33"/>
      <selection pane="bottomLeft" activeCell="C33" sqref="C33"/>
      <selection pane="bottomRight" activeCell="F19" sqref="F19"/>
    </sheetView>
  </sheetViews>
  <sheetFormatPr defaultColWidth="9.26953125" defaultRowHeight="12.5"/>
  <cols>
    <col min="1" max="1" width="41.7265625" bestFit="1" customWidth="1"/>
    <col min="2" max="2" width="29.81640625" bestFit="1" customWidth="1"/>
    <col min="3" max="3" width="35.7265625" bestFit="1" customWidth="1"/>
    <col min="4" max="4" width="8.26953125" bestFit="1" customWidth="1"/>
    <col min="5" max="5" width="11.1796875" bestFit="1" customWidth="1"/>
    <col min="6" max="6" width="12.26953125" bestFit="1" customWidth="1"/>
    <col min="7" max="7" width="4.453125" bestFit="1" customWidth="1"/>
    <col min="8" max="8" width="10.7265625" bestFit="1" customWidth="1"/>
    <col min="9" max="9" width="9.26953125" customWidth="1"/>
    <col min="10" max="10" width="12.54296875" customWidth="1"/>
    <col min="11" max="11" width="12.453125" customWidth="1"/>
  </cols>
  <sheetData>
    <row r="1" spans="1:14" ht="13">
      <c r="A1" s="1" t="s">
        <v>70</v>
      </c>
      <c r="B1" s="12" t="s">
        <v>12</v>
      </c>
    </row>
    <row r="4" spans="1:14" ht="17.25" customHeight="1">
      <c r="F4" s="536" t="s">
        <v>433</v>
      </c>
    </row>
    <row r="5" spans="1:14" ht="15.75" customHeight="1">
      <c r="A5" s="528" t="s">
        <v>14</v>
      </c>
      <c r="B5" s="528" t="s">
        <v>7</v>
      </c>
      <c r="C5" s="528" t="s">
        <v>72</v>
      </c>
      <c r="D5" s="528" t="s">
        <v>73</v>
      </c>
      <c r="E5" s="528" t="s">
        <v>74</v>
      </c>
      <c r="F5" s="528" t="s">
        <v>75</v>
      </c>
      <c r="G5" s="528" t="s">
        <v>79</v>
      </c>
      <c r="H5" s="528" t="s">
        <v>485</v>
      </c>
      <c r="I5" s="2"/>
      <c r="J5" s="2"/>
      <c r="K5" s="8"/>
      <c r="L5" s="2"/>
      <c r="N5" s="8"/>
    </row>
    <row r="6" spans="1:14" ht="14">
      <c r="A6" s="580" t="s">
        <v>486</v>
      </c>
      <c r="B6" s="535"/>
      <c r="C6" s="535"/>
      <c r="D6" s="535"/>
      <c r="E6" s="581"/>
      <c r="F6" s="581" t="s">
        <v>487</v>
      </c>
      <c r="G6" s="535"/>
      <c r="H6" s="535"/>
    </row>
    <row r="7" spans="1:14" ht="13">
      <c r="A7" s="531" t="s">
        <v>37</v>
      </c>
      <c r="B7" s="531" t="s">
        <v>488</v>
      </c>
      <c r="C7" s="545" t="s">
        <v>489</v>
      </c>
      <c r="D7" s="575" t="s">
        <v>32</v>
      </c>
      <c r="E7" s="575" t="s">
        <v>490</v>
      </c>
      <c r="F7" s="575" t="s">
        <v>206</v>
      </c>
      <c r="G7" s="551">
        <v>1</v>
      </c>
      <c r="H7" s="576">
        <v>9999</v>
      </c>
    </row>
    <row r="8" spans="1:14" ht="13">
      <c r="A8" s="531" t="s">
        <v>432</v>
      </c>
      <c r="B8" s="545" t="s">
        <v>491</v>
      </c>
      <c r="C8" s="545" t="s">
        <v>492</v>
      </c>
      <c r="D8" s="575" t="s">
        <v>32</v>
      </c>
      <c r="E8" s="575" t="s">
        <v>490</v>
      </c>
      <c r="F8" s="575" t="s">
        <v>191</v>
      </c>
      <c r="G8" s="551">
        <v>1</v>
      </c>
      <c r="H8" s="576">
        <v>9999</v>
      </c>
    </row>
    <row r="9" spans="1:14" ht="13">
      <c r="A9" s="531" t="s">
        <v>432</v>
      </c>
      <c r="B9" s="545" t="s">
        <v>493</v>
      </c>
      <c r="C9" s="545" t="s">
        <v>494</v>
      </c>
      <c r="D9" s="575" t="s">
        <v>32</v>
      </c>
      <c r="E9" s="575" t="s">
        <v>490</v>
      </c>
      <c r="F9" s="575" t="s">
        <v>161</v>
      </c>
      <c r="G9" s="551">
        <v>1</v>
      </c>
      <c r="H9" s="576">
        <v>9999</v>
      </c>
    </row>
    <row r="10" spans="1:14" ht="13">
      <c r="A10" s="531" t="s">
        <v>37</v>
      </c>
      <c r="B10" s="531" t="s">
        <v>495</v>
      </c>
      <c r="C10" s="545" t="s">
        <v>496</v>
      </c>
      <c r="D10" s="575" t="s">
        <v>32</v>
      </c>
      <c r="E10" s="575" t="s">
        <v>490</v>
      </c>
      <c r="F10" s="575" t="s">
        <v>124</v>
      </c>
      <c r="G10" s="551">
        <v>1</v>
      </c>
      <c r="H10" s="576">
        <v>9999</v>
      </c>
    </row>
    <row r="11" spans="1:14" ht="13">
      <c r="A11" s="534" t="s">
        <v>432</v>
      </c>
      <c r="B11" s="534" t="s">
        <v>497</v>
      </c>
      <c r="C11" s="545" t="s">
        <v>498</v>
      </c>
      <c r="D11" s="575" t="s">
        <v>32</v>
      </c>
      <c r="E11" s="575" t="s">
        <v>490</v>
      </c>
      <c r="F11" s="575" t="s">
        <v>123</v>
      </c>
      <c r="G11" s="551">
        <v>1</v>
      </c>
      <c r="H11" s="576">
        <v>9999</v>
      </c>
    </row>
    <row r="12" spans="1:14" ht="13">
      <c r="A12" s="534" t="s">
        <v>37</v>
      </c>
      <c r="B12" s="534" t="s">
        <v>499</v>
      </c>
      <c r="C12" s="545" t="s">
        <v>500</v>
      </c>
      <c r="D12" s="575" t="s">
        <v>32</v>
      </c>
      <c r="E12" s="575" t="s">
        <v>490</v>
      </c>
      <c r="F12" s="575" t="s">
        <v>150</v>
      </c>
      <c r="G12" s="551">
        <v>1</v>
      </c>
      <c r="H12" s="576">
        <v>9999</v>
      </c>
    </row>
    <row r="13" spans="1:14" ht="13">
      <c r="A13" s="531" t="s">
        <v>162</v>
      </c>
      <c r="B13" s="534"/>
      <c r="C13" s="534"/>
      <c r="D13" s="575"/>
      <c r="E13" s="534"/>
      <c r="F13" s="534"/>
      <c r="G13" s="534"/>
      <c r="H13" s="534"/>
    </row>
    <row r="14" spans="1:14" ht="13">
      <c r="A14" s="582" t="s">
        <v>501</v>
      </c>
      <c r="B14" s="583"/>
      <c r="C14" s="583"/>
      <c r="D14" s="581"/>
      <c r="E14" s="581"/>
      <c r="F14" s="581"/>
      <c r="G14" s="581"/>
      <c r="H14" s="584"/>
      <c r="I14" s="574"/>
    </row>
    <row r="15" spans="1:14" ht="13">
      <c r="A15" s="579" t="s">
        <v>162</v>
      </c>
      <c r="B15" s="577"/>
      <c r="C15" s="577"/>
      <c r="D15" s="575"/>
      <c r="E15" s="575"/>
      <c r="F15" s="575"/>
      <c r="G15" s="575"/>
      <c r="H15" s="578"/>
      <c r="I15" s="574"/>
    </row>
    <row r="16" spans="1:14" ht="13">
      <c r="A16" s="534" t="s">
        <v>37</v>
      </c>
      <c r="B16" s="577" t="s">
        <v>502</v>
      </c>
      <c r="C16" s="577" t="s">
        <v>503</v>
      </c>
      <c r="D16" s="575" t="s">
        <v>335</v>
      </c>
      <c r="E16" s="575" t="s">
        <v>504</v>
      </c>
      <c r="F16" s="575" t="s">
        <v>337</v>
      </c>
      <c r="G16" s="551">
        <v>1</v>
      </c>
      <c r="H16" s="576">
        <v>999999</v>
      </c>
      <c r="I16" s="540"/>
    </row>
    <row r="17" spans="1:9" ht="13">
      <c r="A17" s="534" t="s">
        <v>37</v>
      </c>
      <c r="B17" s="577" t="s">
        <v>505</v>
      </c>
      <c r="C17" s="577" t="s">
        <v>506</v>
      </c>
      <c r="D17" s="575" t="s">
        <v>335</v>
      </c>
      <c r="E17" s="575" t="s">
        <v>504</v>
      </c>
      <c r="F17" s="575" t="s">
        <v>347</v>
      </c>
      <c r="G17" s="551">
        <v>1</v>
      </c>
      <c r="H17" s="576">
        <v>999999</v>
      </c>
      <c r="I17" s="540"/>
    </row>
    <row r="18" spans="1:9" ht="13">
      <c r="A18" s="573" t="s">
        <v>162</v>
      </c>
      <c r="B18" s="574"/>
      <c r="C18" s="574"/>
      <c r="D18" s="572"/>
      <c r="E18" s="572"/>
      <c r="F18" s="572"/>
      <c r="G18" s="572"/>
      <c r="H18" s="572"/>
      <c r="I18" s="574"/>
    </row>
  </sheetData>
  <phoneticPr fontId="0" type="noConversion"/>
  <pageMargins left="0.75" right="0.75" top="1" bottom="1" header="0.5" footer="0.5"/>
  <pageSetup paperSize="9" orientation="landscape" horizontalDpi="1200"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11">
    <tabColor rgb="FFFFC000"/>
  </sheetPr>
  <dimension ref="A1:T50"/>
  <sheetViews>
    <sheetView zoomScale="80" zoomScaleNormal="80" workbookViewId="0">
      <selection activeCell="F4" sqref="F4"/>
    </sheetView>
  </sheetViews>
  <sheetFormatPr defaultColWidth="9.26953125" defaultRowHeight="12.5"/>
  <cols>
    <col min="1" max="1" width="24" style="12" bestFit="1" customWidth="1"/>
    <col min="2" max="2" width="29" style="12" bestFit="1" customWidth="1"/>
    <col min="3" max="3" width="39.7265625" style="12" bestFit="1" customWidth="1"/>
    <col min="4" max="4" width="5.54296875" style="12" bestFit="1" customWidth="1"/>
    <col min="5" max="6" width="12.54296875" style="12" bestFit="1" customWidth="1"/>
    <col min="7" max="7" width="13.26953125" style="12" bestFit="1" customWidth="1"/>
    <col min="8" max="8" width="12.1796875" style="12" bestFit="1" customWidth="1"/>
    <col min="9" max="11" width="12.1796875" style="12" customWidth="1"/>
    <col min="12" max="12" width="5.26953125" style="12" bestFit="1" customWidth="1"/>
    <col min="13" max="13" width="9.453125" style="12" bestFit="1" customWidth="1"/>
    <col min="14" max="14" width="13.453125" style="12" bestFit="1" customWidth="1"/>
    <col min="15" max="15" width="12.26953125" style="12" bestFit="1" customWidth="1"/>
    <col min="16" max="16" width="9.26953125" style="12"/>
    <col min="17" max="17" width="5.453125" style="12" bestFit="1" customWidth="1"/>
    <col min="18" max="18" width="7.1796875" style="12" bestFit="1" customWidth="1"/>
    <col min="19" max="19" width="5.453125" style="12" bestFit="1" customWidth="1"/>
    <col min="20" max="20" width="7.1796875" style="12" bestFit="1" customWidth="1"/>
    <col min="21" max="16384" width="9.26953125" style="12"/>
  </cols>
  <sheetData>
    <row r="1" spans="1:20" ht="13">
      <c r="A1" s="1" t="s">
        <v>70</v>
      </c>
      <c r="B1" s="12" t="s">
        <v>12</v>
      </c>
    </row>
    <row r="4" spans="1:20" ht="17.25" customHeight="1">
      <c r="F4" s="536" t="s">
        <v>433</v>
      </c>
    </row>
    <row r="5" spans="1:20" ht="15.75" customHeight="1">
      <c r="A5" s="528" t="s">
        <v>14</v>
      </c>
      <c r="B5" s="528" t="s">
        <v>7</v>
      </c>
      <c r="C5" s="528" t="s">
        <v>72</v>
      </c>
      <c r="D5" s="528" t="s">
        <v>73</v>
      </c>
      <c r="E5" s="528" t="s">
        <v>74</v>
      </c>
      <c r="F5" s="528" t="s">
        <v>75</v>
      </c>
      <c r="G5" s="528" t="s">
        <v>76</v>
      </c>
      <c r="H5" s="528" t="s">
        <v>77</v>
      </c>
      <c r="I5" s="528" t="s">
        <v>79</v>
      </c>
      <c r="J5" s="528" t="s">
        <v>80</v>
      </c>
      <c r="K5" s="528" t="s">
        <v>80</v>
      </c>
      <c r="L5" s="528" t="s">
        <v>379</v>
      </c>
      <c r="M5" s="528" t="s">
        <v>507</v>
      </c>
      <c r="N5" s="528" t="s">
        <v>378</v>
      </c>
      <c r="O5" s="528" t="s">
        <v>78</v>
      </c>
      <c r="Q5" s="528" t="s">
        <v>405</v>
      </c>
      <c r="R5" s="528" t="s">
        <v>406</v>
      </c>
      <c r="S5" s="528" t="s">
        <v>405</v>
      </c>
      <c r="T5" s="528" t="s">
        <v>406</v>
      </c>
    </row>
    <row r="6" spans="1:20" ht="13">
      <c r="A6" s="533" t="s">
        <v>508</v>
      </c>
      <c r="B6" s="532"/>
      <c r="C6" s="532"/>
      <c r="D6" s="586"/>
      <c r="E6" s="532"/>
      <c r="F6" s="532"/>
      <c r="G6" s="532"/>
      <c r="H6" s="532"/>
      <c r="I6" s="532"/>
      <c r="J6" s="532"/>
      <c r="K6" s="532"/>
      <c r="L6" s="532"/>
      <c r="M6" s="532"/>
      <c r="N6" s="532"/>
      <c r="O6" s="532"/>
      <c r="Q6" s="532"/>
      <c r="R6" s="532"/>
      <c r="S6" s="532"/>
      <c r="T6" s="532"/>
    </row>
    <row r="7" spans="1:20" ht="13">
      <c r="A7" s="533" t="s">
        <v>509</v>
      </c>
      <c r="B7" s="532"/>
      <c r="C7" s="532"/>
      <c r="D7" s="581"/>
      <c r="E7" s="581"/>
      <c r="F7" s="581"/>
      <c r="G7" s="588"/>
      <c r="H7" s="588"/>
      <c r="I7" s="588"/>
      <c r="J7" s="588"/>
      <c r="K7" s="588"/>
      <c r="L7" s="588"/>
      <c r="M7" s="588"/>
      <c r="N7" s="588"/>
      <c r="O7" s="532"/>
      <c r="Q7" s="588"/>
      <c r="R7" s="588"/>
      <c r="S7" s="588"/>
      <c r="T7" s="588"/>
    </row>
    <row r="8" spans="1:20" ht="13">
      <c r="A8" s="531" t="s">
        <v>37</v>
      </c>
      <c r="B8" s="531" t="s">
        <v>510</v>
      </c>
      <c r="C8" s="531" t="s">
        <v>511</v>
      </c>
      <c r="D8" s="575" t="s">
        <v>32</v>
      </c>
      <c r="E8" s="575" t="s">
        <v>512</v>
      </c>
      <c r="F8" s="575" t="s">
        <v>122</v>
      </c>
      <c r="G8" s="587">
        <v>2010</v>
      </c>
      <c r="H8" s="587"/>
      <c r="I8" s="587">
        <f>T8/S8</f>
        <v>1</v>
      </c>
      <c r="J8" s="587"/>
      <c r="K8" s="587"/>
      <c r="L8" s="587">
        <v>1</v>
      </c>
      <c r="M8" s="587">
        <v>1</v>
      </c>
      <c r="N8" s="587">
        <v>1</v>
      </c>
      <c r="O8" s="531"/>
      <c r="Q8" s="587"/>
      <c r="R8" s="587"/>
      <c r="S8" s="587">
        <v>1</v>
      </c>
      <c r="T8" s="587">
        <v>1</v>
      </c>
    </row>
    <row r="9" spans="1:20" ht="13">
      <c r="A9" s="531" t="s">
        <v>162</v>
      </c>
      <c r="B9" s="531"/>
      <c r="C9" s="531"/>
      <c r="D9" s="575"/>
      <c r="E9" s="575"/>
      <c r="F9" s="575"/>
      <c r="G9" s="531"/>
      <c r="H9" s="531"/>
      <c r="I9" s="531"/>
      <c r="J9" s="531"/>
      <c r="K9" s="531"/>
      <c r="L9" s="531"/>
      <c r="M9" s="531"/>
      <c r="N9" s="531"/>
      <c r="O9" s="531"/>
      <c r="Q9" s="531"/>
      <c r="R9" s="531"/>
      <c r="S9" s="531"/>
      <c r="T9" s="531"/>
    </row>
    <row r="10" spans="1:20" ht="13">
      <c r="A10" s="532" t="s">
        <v>513</v>
      </c>
      <c r="B10" s="532"/>
      <c r="C10" s="532"/>
      <c r="D10" s="581"/>
      <c r="E10" s="581"/>
      <c r="F10" s="581"/>
      <c r="G10" s="532"/>
      <c r="H10" s="532"/>
      <c r="I10" s="532"/>
      <c r="J10" s="532"/>
      <c r="K10" s="532"/>
      <c r="L10" s="532"/>
      <c r="M10" s="532"/>
      <c r="N10" s="532"/>
      <c r="O10" s="532"/>
      <c r="Q10" s="532"/>
      <c r="R10" s="532"/>
      <c r="S10" s="532"/>
      <c r="T10" s="532"/>
    </row>
    <row r="11" spans="1:20" ht="13">
      <c r="A11" s="531" t="s">
        <v>37</v>
      </c>
      <c r="B11" s="531" t="s">
        <v>514</v>
      </c>
      <c r="C11" s="531" t="s">
        <v>515</v>
      </c>
      <c r="D11" s="575" t="s">
        <v>32</v>
      </c>
      <c r="E11" s="575" t="s">
        <v>122</v>
      </c>
      <c r="F11" s="575" t="s">
        <v>516</v>
      </c>
      <c r="G11" s="531">
        <v>2010</v>
      </c>
      <c r="H11" s="531"/>
      <c r="I11" s="587">
        <f>T11/S11</f>
        <v>1</v>
      </c>
      <c r="J11" s="587"/>
      <c r="K11" s="587"/>
      <c r="L11" s="531">
        <v>1</v>
      </c>
      <c r="M11" s="531">
        <v>1</v>
      </c>
      <c r="N11" s="531">
        <v>1</v>
      </c>
      <c r="O11" s="531">
        <v>0</v>
      </c>
      <c r="Q11" s="531"/>
      <c r="R11" s="531"/>
      <c r="S11" s="531">
        <v>1</v>
      </c>
      <c r="T11" s="531">
        <v>1</v>
      </c>
    </row>
    <row r="12" spans="1:20" ht="13">
      <c r="A12" s="531" t="s">
        <v>37</v>
      </c>
      <c r="B12" s="531" t="s">
        <v>517</v>
      </c>
      <c r="C12" s="531" t="s">
        <v>518</v>
      </c>
      <c r="D12" s="575" t="s">
        <v>32</v>
      </c>
      <c r="E12" s="575" t="s">
        <v>125</v>
      </c>
      <c r="F12" s="575" t="s">
        <v>519</v>
      </c>
      <c r="G12" s="531">
        <v>2010</v>
      </c>
      <c r="H12" s="531"/>
      <c r="I12" s="531"/>
      <c r="J12" s="531"/>
      <c r="K12" s="531"/>
      <c r="L12" s="531"/>
      <c r="M12" s="531">
        <v>1</v>
      </c>
      <c r="N12" s="531">
        <v>1</v>
      </c>
      <c r="O12" s="531">
        <v>0</v>
      </c>
      <c r="Q12" s="531">
        <v>1</v>
      </c>
      <c r="R12" s="531">
        <v>1</v>
      </c>
      <c r="S12" s="531"/>
      <c r="T12" s="531"/>
    </row>
    <row r="13" spans="1:20" ht="13">
      <c r="A13" s="531" t="s">
        <v>432</v>
      </c>
      <c r="B13" s="531" t="s">
        <v>520</v>
      </c>
      <c r="C13" s="531" t="s">
        <v>521</v>
      </c>
      <c r="D13" s="575" t="s">
        <v>32</v>
      </c>
      <c r="E13" s="575" t="s">
        <v>522</v>
      </c>
      <c r="F13" s="575" t="s">
        <v>523</v>
      </c>
      <c r="G13" s="531">
        <v>2010</v>
      </c>
      <c r="H13" s="531"/>
      <c r="I13" s="531"/>
      <c r="J13" s="531"/>
      <c r="K13" s="531"/>
      <c r="L13" s="531"/>
      <c r="M13" s="531">
        <v>1</v>
      </c>
      <c r="N13" s="531">
        <v>1</v>
      </c>
      <c r="O13" s="531">
        <v>0</v>
      </c>
      <c r="Q13" s="531">
        <v>1</v>
      </c>
      <c r="R13" s="531">
        <v>1</v>
      </c>
      <c r="S13" s="531"/>
      <c r="T13" s="531"/>
    </row>
    <row r="14" spans="1:20" ht="13">
      <c r="A14" s="531" t="s">
        <v>37</v>
      </c>
      <c r="B14" s="531" t="s">
        <v>524</v>
      </c>
      <c r="C14" s="531" t="s">
        <v>525</v>
      </c>
      <c r="D14" s="575" t="s">
        <v>32</v>
      </c>
      <c r="E14" s="575" t="s">
        <v>126</v>
      </c>
      <c r="F14" s="575" t="s">
        <v>526</v>
      </c>
      <c r="G14" s="531">
        <v>2010</v>
      </c>
      <c r="H14" s="531"/>
      <c r="I14" s="531"/>
      <c r="J14" s="531"/>
      <c r="K14" s="531"/>
      <c r="L14" s="531"/>
      <c r="M14" s="531">
        <v>1</v>
      </c>
      <c r="N14" s="531">
        <v>1</v>
      </c>
      <c r="O14" s="531">
        <v>0</v>
      </c>
      <c r="Q14" s="531">
        <v>1</v>
      </c>
      <c r="R14" s="531">
        <v>1</v>
      </c>
      <c r="S14" s="531"/>
      <c r="T14" s="531"/>
    </row>
    <row r="15" spans="1:20" ht="13">
      <c r="A15" s="531" t="s">
        <v>37</v>
      </c>
      <c r="B15" s="531" t="s">
        <v>527</v>
      </c>
      <c r="C15" s="531" t="s">
        <v>528</v>
      </c>
      <c r="D15" s="575" t="s">
        <v>32</v>
      </c>
      <c r="E15" s="575" t="s">
        <v>516</v>
      </c>
      <c r="F15" s="575" t="s">
        <v>529</v>
      </c>
      <c r="G15" s="531">
        <v>2010</v>
      </c>
      <c r="H15" s="531"/>
      <c r="I15" s="587">
        <f>T15/S15</f>
        <v>1</v>
      </c>
      <c r="J15" s="587"/>
      <c r="K15" s="587"/>
      <c r="L15" s="531">
        <v>1</v>
      </c>
      <c r="M15" s="531">
        <v>1</v>
      </c>
      <c r="N15" s="531">
        <v>1</v>
      </c>
      <c r="O15" s="531">
        <v>0</v>
      </c>
      <c r="Q15" s="531"/>
      <c r="R15" s="531"/>
      <c r="S15" s="531">
        <v>1</v>
      </c>
      <c r="T15" s="531">
        <v>1</v>
      </c>
    </row>
    <row r="16" spans="1:20" ht="13">
      <c r="A16" s="531" t="s">
        <v>37</v>
      </c>
      <c r="B16" s="531" t="s">
        <v>530</v>
      </c>
      <c r="C16" s="531" t="s">
        <v>531</v>
      </c>
      <c r="D16" s="575" t="s">
        <v>32</v>
      </c>
      <c r="E16" s="575" t="s">
        <v>519</v>
      </c>
      <c r="F16" s="531"/>
      <c r="G16" s="531">
        <v>2010</v>
      </c>
      <c r="H16" s="531"/>
      <c r="I16" s="531">
        <f>SUM(R19,R20,R21)/SUM(Q16,Q17,Q18)</f>
        <v>1</v>
      </c>
      <c r="J16" s="589">
        <f>Q16/SUM(Q16,Q17,Q18)</f>
        <v>0.33333333333333331</v>
      </c>
      <c r="K16" s="589"/>
      <c r="L16" s="531"/>
      <c r="M16" s="531">
        <v>1</v>
      </c>
      <c r="N16" s="531">
        <v>1</v>
      </c>
      <c r="O16" s="531">
        <v>0</v>
      </c>
      <c r="Q16" s="531">
        <v>1</v>
      </c>
      <c r="R16" s="531"/>
      <c r="S16" s="531"/>
      <c r="T16" s="531"/>
    </row>
    <row r="17" spans="1:20" ht="13">
      <c r="A17" s="531"/>
      <c r="B17" s="531"/>
      <c r="C17" s="531"/>
      <c r="D17" s="575"/>
      <c r="E17" s="575" t="s">
        <v>526</v>
      </c>
      <c r="F17" s="531"/>
      <c r="G17" s="531"/>
      <c r="H17" s="531"/>
      <c r="I17" s="531"/>
      <c r="J17" s="589">
        <f>Q17/SUM(Q16,Q17,Q18)</f>
        <v>0.33333333333333331</v>
      </c>
      <c r="K17" s="589"/>
      <c r="L17" s="531"/>
      <c r="M17" s="531"/>
      <c r="N17" s="531"/>
      <c r="O17" s="531"/>
      <c r="Q17" s="531">
        <v>1</v>
      </c>
      <c r="R17" s="531"/>
      <c r="S17" s="531"/>
      <c r="T17" s="531"/>
    </row>
    <row r="18" spans="1:20" ht="13">
      <c r="A18" s="531" t="s">
        <v>162</v>
      </c>
      <c r="B18" s="531"/>
      <c r="C18" s="531"/>
      <c r="D18" s="575"/>
      <c r="E18" s="575" t="s">
        <v>523</v>
      </c>
      <c r="F18" s="575"/>
      <c r="G18" s="531"/>
      <c r="H18" s="531"/>
      <c r="I18" s="531"/>
      <c r="J18" s="589">
        <f>Q18/SUM(Q16,Q17,Q18)</f>
        <v>0.33333333333333331</v>
      </c>
      <c r="K18" s="589"/>
      <c r="L18" s="531"/>
      <c r="M18" s="531"/>
      <c r="N18" s="531"/>
      <c r="O18" s="531"/>
      <c r="Q18" s="531">
        <v>1</v>
      </c>
      <c r="R18" s="531"/>
      <c r="S18" s="531"/>
      <c r="T18" s="531"/>
    </row>
    <row r="19" spans="1:20" ht="13">
      <c r="A19" s="531"/>
      <c r="B19" s="531"/>
      <c r="C19" s="531"/>
      <c r="D19" s="575"/>
      <c r="E19" s="575"/>
      <c r="F19" s="575" t="s">
        <v>532</v>
      </c>
      <c r="G19" s="531"/>
      <c r="H19" s="531"/>
      <c r="I19" s="531"/>
      <c r="J19" s="589"/>
      <c r="K19" s="589">
        <f>R19/SUM(R19,R20,R21)</f>
        <v>0.33333333333333331</v>
      </c>
      <c r="L19" s="531"/>
      <c r="M19" s="531"/>
      <c r="N19" s="531"/>
      <c r="O19" s="531"/>
      <c r="Q19" s="531"/>
      <c r="R19" s="531">
        <v>1</v>
      </c>
      <c r="S19" s="531"/>
      <c r="T19" s="531"/>
    </row>
    <row r="20" spans="1:20" ht="13">
      <c r="A20" s="531"/>
      <c r="B20" s="531"/>
      <c r="C20" s="531"/>
      <c r="D20" s="575"/>
      <c r="E20" s="575"/>
      <c r="F20" s="575" t="s">
        <v>533</v>
      </c>
      <c r="G20" s="531"/>
      <c r="H20" s="531"/>
      <c r="I20" s="531"/>
      <c r="J20" s="589"/>
      <c r="K20" s="589">
        <f>R20/SUM(R19,R20,R21)</f>
        <v>0.33333333333333331</v>
      </c>
      <c r="L20" s="531"/>
      <c r="M20" s="531"/>
      <c r="N20" s="531"/>
      <c r="O20" s="531"/>
      <c r="Q20" s="531"/>
      <c r="R20" s="531">
        <v>1</v>
      </c>
      <c r="S20" s="531"/>
      <c r="T20" s="531"/>
    </row>
    <row r="21" spans="1:20" ht="13">
      <c r="A21" s="531" t="s">
        <v>162</v>
      </c>
      <c r="B21" s="531"/>
      <c r="C21" s="531"/>
      <c r="D21" s="575"/>
      <c r="E21" s="531"/>
      <c r="F21" s="575" t="s">
        <v>534</v>
      </c>
      <c r="G21" s="531"/>
      <c r="H21" s="531"/>
      <c r="I21" s="531"/>
      <c r="J21" s="589"/>
      <c r="K21" s="589">
        <f>R21/SUM(R19,R20,R21)</f>
        <v>0.33333333333333331</v>
      </c>
      <c r="L21" s="531"/>
      <c r="M21" s="531"/>
      <c r="N21" s="531"/>
      <c r="O21" s="531"/>
      <c r="Q21" s="531"/>
      <c r="R21" s="531">
        <v>1</v>
      </c>
      <c r="S21" s="531"/>
      <c r="T21" s="531"/>
    </row>
    <row r="22" spans="1:20" ht="13">
      <c r="A22" s="531" t="s">
        <v>37</v>
      </c>
      <c r="B22" s="531" t="s">
        <v>535</v>
      </c>
      <c r="C22" s="531" t="s">
        <v>536</v>
      </c>
      <c r="D22" s="575" t="s">
        <v>32</v>
      </c>
      <c r="E22" s="575" t="s">
        <v>516</v>
      </c>
      <c r="F22" s="575" t="s">
        <v>537</v>
      </c>
      <c r="G22" s="531">
        <v>2010</v>
      </c>
      <c r="H22" s="531"/>
      <c r="I22" s="587">
        <f>T22/S22</f>
        <v>1</v>
      </c>
      <c r="J22" s="587"/>
      <c r="K22" s="587"/>
      <c r="L22" s="531">
        <v>1</v>
      </c>
      <c r="M22" s="531">
        <v>1</v>
      </c>
      <c r="N22" s="531">
        <v>1</v>
      </c>
      <c r="O22" s="531">
        <v>0</v>
      </c>
      <c r="Q22" s="531"/>
      <c r="R22" s="531"/>
      <c r="S22" s="531">
        <v>1</v>
      </c>
      <c r="T22" s="531">
        <v>1</v>
      </c>
    </row>
    <row r="23" spans="1:20" ht="13">
      <c r="A23" s="531" t="s">
        <v>37</v>
      </c>
      <c r="B23" s="531" t="s">
        <v>538</v>
      </c>
      <c r="C23" s="531" t="s">
        <v>539</v>
      </c>
      <c r="D23" s="575" t="s">
        <v>32</v>
      </c>
      <c r="E23" s="575" t="s">
        <v>519</v>
      </c>
      <c r="F23" s="531"/>
      <c r="G23" s="531">
        <v>2010</v>
      </c>
      <c r="H23" s="531"/>
      <c r="I23" s="531">
        <f>SUM(R26,R27,R28)/SUM(Q23,Q24,Q25)</f>
        <v>1</v>
      </c>
      <c r="J23" s="589">
        <f>Q23/SUM(Q23,Q24,Q25)</f>
        <v>0.33333333333333331</v>
      </c>
      <c r="K23" s="589"/>
      <c r="L23" s="531"/>
      <c r="M23" s="531">
        <v>1</v>
      </c>
      <c r="N23" s="531">
        <v>1</v>
      </c>
      <c r="O23" s="531">
        <v>0</v>
      </c>
      <c r="Q23" s="531">
        <v>1</v>
      </c>
      <c r="R23" s="531"/>
      <c r="S23" s="531"/>
      <c r="T23" s="531"/>
    </row>
    <row r="24" spans="1:20" ht="13">
      <c r="A24" s="531"/>
      <c r="B24" s="531"/>
      <c r="C24" s="531"/>
      <c r="D24" s="575"/>
      <c r="E24" s="575" t="s">
        <v>526</v>
      </c>
      <c r="F24" s="531"/>
      <c r="G24" s="531"/>
      <c r="H24" s="531"/>
      <c r="I24" s="531"/>
      <c r="J24" s="589">
        <f>Q24/SUM(Q23,Q24,Q25)</f>
        <v>0.33333333333333331</v>
      </c>
      <c r="K24" s="589"/>
      <c r="L24" s="531"/>
      <c r="M24" s="531"/>
      <c r="N24" s="531"/>
      <c r="O24" s="531"/>
      <c r="Q24" s="531">
        <v>1</v>
      </c>
      <c r="R24" s="531"/>
      <c r="S24" s="531"/>
      <c r="T24" s="531"/>
    </row>
    <row r="25" spans="1:20" ht="13">
      <c r="A25" s="531" t="s">
        <v>162</v>
      </c>
      <c r="B25" s="531"/>
      <c r="C25" s="531"/>
      <c r="D25" s="575"/>
      <c r="E25" s="575" t="s">
        <v>523</v>
      </c>
      <c r="F25" s="575"/>
      <c r="G25" s="531"/>
      <c r="H25" s="531"/>
      <c r="I25" s="531"/>
      <c r="J25" s="589">
        <f>Q25/SUM(Q23,Q24,Q25)</f>
        <v>0.33333333333333331</v>
      </c>
      <c r="K25" s="589"/>
      <c r="L25" s="531"/>
      <c r="M25" s="531"/>
      <c r="N25" s="531"/>
      <c r="O25" s="531"/>
      <c r="Q25" s="531">
        <v>1</v>
      </c>
      <c r="R25" s="531"/>
      <c r="S25" s="531"/>
      <c r="T25" s="531"/>
    </row>
    <row r="26" spans="1:20" ht="13">
      <c r="A26" s="531"/>
      <c r="B26" s="531"/>
      <c r="C26" s="531"/>
      <c r="D26" s="575"/>
      <c r="E26" s="575"/>
      <c r="F26" s="575" t="s">
        <v>540</v>
      </c>
      <c r="G26" s="531"/>
      <c r="H26" s="531"/>
      <c r="I26" s="531"/>
      <c r="J26" s="589"/>
      <c r="K26" s="589">
        <f>R26/SUM(R26,R27,R28)</f>
        <v>0.33333333333333331</v>
      </c>
      <c r="L26" s="531"/>
      <c r="M26" s="531"/>
      <c r="N26" s="531"/>
      <c r="O26" s="531"/>
      <c r="Q26" s="531"/>
      <c r="R26" s="531">
        <v>1</v>
      </c>
      <c r="S26" s="531"/>
      <c r="T26" s="531"/>
    </row>
    <row r="27" spans="1:20" ht="13">
      <c r="A27" s="531"/>
      <c r="B27" s="531"/>
      <c r="C27" s="531"/>
      <c r="D27" s="575"/>
      <c r="E27" s="575"/>
      <c r="F27" s="575" t="s">
        <v>541</v>
      </c>
      <c r="G27" s="531"/>
      <c r="H27" s="531"/>
      <c r="I27" s="531"/>
      <c r="J27" s="589"/>
      <c r="K27" s="589">
        <f>R27/SUM(R26,R27,R28)</f>
        <v>0.33333333333333331</v>
      </c>
      <c r="L27" s="531"/>
      <c r="M27" s="531"/>
      <c r="N27" s="531"/>
      <c r="O27" s="531"/>
      <c r="Q27" s="531"/>
      <c r="R27" s="531">
        <v>1</v>
      </c>
      <c r="S27" s="531"/>
      <c r="T27" s="531"/>
    </row>
    <row r="28" spans="1:20" ht="13">
      <c r="A28" s="531" t="s">
        <v>162</v>
      </c>
      <c r="B28" s="531"/>
      <c r="C28" s="531"/>
      <c r="D28" s="575"/>
      <c r="E28" s="531"/>
      <c r="F28" s="575" t="s">
        <v>542</v>
      </c>
      <c r="G28" s="531"/>
      <c r="H28" s="531"/>
      <c r="I28" s="531"/>
      <c r="J28" s="589"/>
      <c r="K28" s="589">
        <f>R28/SUM(R26,R27,R28)</f>
        <v>0.33333333333333331</v>
      </c>
      <c r="L28" s="531"/>
      <c r="M28" s="531"/>
      <c r="N28" s="531"/>
      <c r="O28" s="531"/>
      <c r="Q28" s="531"/>
      <c r="R28" s="531">
        <v>1</v>
      </c>
      <c r="S28" s="531"/>
      <c r="T28" s="531"/>
    </row>
    <row r="29" spans="1:20" ht="13">
      <c r="A29" s="531" t="s">
        <v>37</v>
      </c>
      <c r="B29" s="531" t="s">
        <v>543</v>
      </c>
      <c r="C29" s="531" t="s">
        <v>544</v>
      </c>
      <c r="D29" s="575" t="s">
        <v>32</v>
      </c>
      <c r="E29" s="575" t="s">
        <v>516</v>
      </c>
      <c r="F29" s="575" t="s">
        <v>529</v>
      </c>
      <c r="G29" s="531">
        <v>2015</v>
      </c>
      <c r="H29" s="531"/>
      <c r="I29" s="587">
        <f>T29/S29</f>
        <v>1</v>
      </c>
      <c r="J29" s="587"/>
      <c r="K29" s="587"/>
      <c r="L29" s="531">
        <v>1</v>
      </c>
      <c r="M29" s="531">
        <v>1</v>
      </c>
      <c r="N29" s="531">
        <v>1</v>
      </c>
      <c r="O29" s="531">
        <v>0.25</v>
      </c>
      <c r="Q29" s="531"/>
      <c r="R29" s="531"/>
      <c r="S29" s="531">
        <v>1</v>
      </c>
      <c r="T29" s="531">
        <v>1</v>
      </c>
    </row>
    <row r="30" spans="1:20" ht="13">
      <c r="A30" s="531" t="s">
        <v>37</v>
      </c>
      <c r="B30" s="531" t="s">
        <v>545</v>
      </c>
      <c r="C30" s="531" t="s">
        <v>546</v>
      </c>
      <c r="D30" s="575" t="s">
        <v>32</v>
      </c>
      <c r="E30" s="575" t="s">
        <v>519</v>
      </c>
      <c r="F30" s="531"/>
      <c r="G30" s="531">
        <v>2015</v>
      </c>
      <c r="H30" s="531"/>
      <c r="I30" s="531">
        <f>SUM(R33,R34,R35)/SUM(Q30,Q31,Q32)</f>
        <v>1.1000000000000001</v>
      </c>
      <c r="J30" s="589">
        <f>Q30/SUM(Q30,Q31,Q32)</f>
        <v>0.33333333333333331</v>
      </c>
      <c r="K30" s="589"/>
      <c r="L30" s="531"/>
      <c r="M30" s="531">
        <v>1</v>
      </c>
      <c r="N30" s="531">
        <v>1</v>
      </c>
      <c r="O30" s="531">
        <v>0.25</v>
      </c>
      <c r="Q30" s="531">
        <v>1</v>
      </c>
      <c r="R30" s="531"/>
      <c r="S30" s="531"/>
      <c r="T30" s="531"/>
    </row>
    <row r="31" spans="1:20" ht="13">
      <c r="A31" s="531"/>
      <c r="B31" s="531"/>
      <c r="C31" s="531"/>
      <c r="D31" s="575"/>
      <c r="E31" s="575" t="s">
        <v>526</v>
      </c>
      <c r="F31" s="531"/>
      <c r="G31" s="531"/>
      <c r="H31" s="531"/>
      <c r="I31" s="531"/>
      <c r="J31" s="589">
        <f>Q31/SUM(Q30,Q31,Q32)</f>
        <v>0.33333333333333331</v>
      </c>
      <c r="K31" s="589"/>
      <c r="L31" s="531"/>
      <c r="M31" s="531"/>
      <c r="N31" s="531"/>
      <c r="O31" s="531"/>
      <c r="Q31" s="531">
        <v>1</v>
      </c>
      <c r="R31" s="531"/>
      <c r="S31" s="531"/>
      <c r="T31" s="531"/>
    </row>
    <row r="32" spans="1:20" ht="13">
      <c r="A32" s="531" t="s">
        <v>162</v>
      </c>
      <c r="B32" s="531"/>
      <c r="C32" s="531"/>
      <c r="D32" s="575"/>
      <c r="E32" s="575" t="s">
        <v>523</v>
      </c>
      <c r="F32" s="531"/>
      <c r="G32" s="531"/>
      <c r="H32" s="531"/>
      <c r="I32" s="531"/>
      <c r="J32" s="589">
        <f>Q32/SUM(Q30,Q31,Q32)</f>
        <v>0.33333333333333331</v>
      </c>
      <c r="K32" s="589"/>
      <c r="L32" s="531"/>
      <c r="M32" s="531"/>
      <c r="N32" s="531"/>
      <c r="O32" s="531"/>
      <c r="Q32" s="531">
        <v>1</v>
      </c>
      <c r="R32" s="531"/>
      <c r="S32" s="531"/>
      <c r="T32" s="531"/>
    </row>
    <row r="33" spans="1:20" ht="13">
      <c r="A33" s="531"/>
      <c r="B33" s="531"/>
      <c r="C33" s="531"/>
      <c r="D33" s="575"/>
      <c r="E33" s="575"/>
      <c r="F33" s="575" t="s">
        <v>532</v>
      </c>
      <c r="G33" s="531"/>
      <c r="H33" s="531"/>
      <c r="I33" s="531"/>
      <c r="J33" s="589"/>
      <c r="K33" s="589">
        <f>R33/SUM(R33,R34,R35)</f>
        <v>0.33333333333333331</v>
      </c>
      <c r="L33" s="531"/>
      <c r="M33" s="531"/>
      <c r="N33" s="531"/>
      <c r="O33" s="531"/>
      <c r="Q33" s="531"/>
      <c r="R33" s="531">
        <v>1.1000000000000001</v>
      </c>
      <c r="S33" s="531"/>
      <c r="T33" s="531"/>
    </row>
    <row r="34" spans="1:20" ht="13">
      <c r="A34" s="531"/>
      <c r="B34" s="531"/>
      <c r="C34" s="531"/>
      <c r="D34" s="575"/>
      <c r="E34" s="575"/>
      <c r="F34" s="575" t="s">
        <v>533</v>
      </c>
      <c r="G34" s="531"/>
      <c r="H34" s="531"/>
      <c r="I34" s="531"/>
      <c r="J34" s="589"/>
      <c r="K34" s="589">
        <f>R34/SUM(R33,R34,R35)</f>
        <v>0.33333333333333331</v>
      </c>
      <c r="L34" s="531"/>
      <c r="M34" s="531"/>
      <c r="N34" s="531"/>
      <c r="O34" s="531"/>
      <c r="Q34" s="531"/>
      <c r="R34" s="531">
        <v>1.1000000000000001</v>
      </c>
      <c r="S34" s="531"/>
      <c r="T34" s="531"/>
    </row>
    <row r="35" spans="1:20" ht="13">
      <c r="A35" s="531" t="s">
        <v>162</v>
      </c>
      <c r="B35" s="531"/>
      <c r="C35" s="531"/>
      <c r="D35" s="575"/>
      <c r="E35" s="575"/>
      <c r="F35" s="575" t="s">
        <v>534</v>
      </c>
      <c r="G35" s="531"/>
      <c r="H35" s="531"/>
      <c r="I35" s="531"/>
      <c r="J35" s="589"/>
      <c r="K35" s="589">
        <f>R35/SUM(R33,R34,R35)</f>
        <v>0.33333333333333331</v>
      </c>
      <c r="L35" s="531"/>
      <c r="M35" s="531"/>
      <c r="N35" s="531"/>
      <c r="O35" s="531"/>
      <c r="Q35" s="531"/>
      <c r="R35" s="531">
        <v>1.1000000000000001</v>
      </c>
      <c r="S35" s="531"/>
      <c r="T35" s="531"/>
    </row>
    <row r="36" spans="1:20" ht="13">
      <c r="A36" s="531" t="s">
        <v>37</v>
      </c>
      <c r="B36" s="531" t="s">
        <v>547</v>
      </c>
      <c r="C36" s="531" t="s">
        <v>548</v>
      </c>
      <c r="D36" s="575" t="s">
        <v>32</v>
      </c>
      <c r="E36" s="575" t="s">
        <v>516</v>
      </c>
      <c r="F36" s="575" t="s">
        <v>537</v>
      </c>
      <c r="G36" s="531">
        <v>2020</v>
      </c>
      <c r="H36" s="531"/>
      <c r="I36" s="587">
        <f>T36/S36</f>
        <v>1</v>
      </c>
      <c r="J36" s="587"/>
      <c r="K36" s="587"/>
      <c r="L36" s="531">
        <v>1</v>
      </c>
      <c r="M36" s="531">
        <v>1</v>
      </c>
      <c r="N36" s="531">
        <v>1</v>
      </c>
      <c r="O36" s="531">
        <v>0.5</v>
      </c>
      <c r="Q36" s="531"/>
      <c r="R36" s="531"/>
      <c r="S36" s="531">
        <v>1</v>
      </c>
      <c r="T36" s="531">
        <v>1</v>
      </c>
    </row>
    <row r="37" spans="1:20" ht="13">
      <c r="A37" s="531" t="s">
        <v>37</v>
      </c>
      <c r="B37" s="531" t="s">
        <v>549</v>
      </c>
      <c r="C37" s="531" t="s">
        <v>550</v>
      </c>
      <c r="D37" s="575" t="s">
        <v>32</v>
      </c>
      <c r="E37" s="575" t="s">
        <v>519</v>
      </c>
      <c r="F37" s="531"/>
      <c r="G37" s="531">
        <v>2020</v>
      </c>
      <c r="H37" s="531"/>
      <c r="I37" s="531">
        <f>SUM(R40,R41,R42)/SUM(Q37,Q38,Q39)</f>
        <v>1.25</v>
      </c>
      <c r="J37" s="589">
        <f>Q37/SUM(Q37,Q38,Q39)</f>
        <v>0.33333333333333331</v>
      </c>
      <c r="K37" s="589"/>
      <c r="L37" s="531"/>
      <c r="M37" s="531">
        <v>1</v>
      </c>
      <c r="N37" s="531">
        <v>1</v>
      </c>
      <c r="O37" s="531">
        <v>0.5</v>
      </c>
      <c r="Q37" s="531">
        <v>1</v>
      </c>
      <c r="R37" s="531"/>
      <c r="S37" s="531"/>
      <c r="T37" s="531"/>
    </row>
    <row r="38" spans="1:20" ht="13">
      <c r="A38" s="531"/>
      <c r="B38" s="531"/>
      <c r="C38" s="531"/>
      <c r="D38" s="575"/>
      <c r="E38" s="575" t="s">
        <v>526</v>
      </c>
      <c r="F38" s="531"/>
      <c r="G38" s="531"/>
      <c r="H38" s="531"/>
      <c r="I38" s="531"/>
      <c r="J38" s="589">
        <f>Q38/SUM(Q37,Q38,Q39)</f>
        <v>0.33333333333333331</v>
      </c>
      <c r="K38" s="589"/>
      <c r="L38" s="531"/>
      <c r="M38" s="531"/>
      <c r="N38" s="531"/>
      <c r="O38" s="531"/>
      <c r="Q38" s="531">
        <v>1</v>
      </c>
      <c r="R38" s="531"/>
      <c r="S38" s="531"/>
      <c r="T38" s="531"/>
    </row>
    <row r="39" spans="1:20" ht="13">
      <c r="A39" s="531" t="s">
        <v>162</v>
      </c>
      <c r="B39" s="531"/>
      <c r="C39" s="531"/>
      <c r="D39" s="575"/>
      <c r="E39" s="575" t="s">
        <v>523</v>
      </c>
      <c r="F39" s="531"/>
      <c r="G39" s="531"/>
      <c r="H39" s="531"/>
      <c r="I39" s="531"/>
      <c r="J39" s="589">
        <f>Q39/SUM(Q37,Q38,Q39)</f>
        <v>0.33333333333333331</v>
      </c>
      <c r="K39" s="589"/>
      <c r="L39" s="531"/>
      <c r="M39" s="531"/>
      <c r="N39" s="531"/>
      <c r="O39" s="531"/>
      <c r="Q39" s="531">
        <v>1</v>
      </c>
      <c r="R39" s="531"/>
      <c r="S39" s="531"/>
      <c r="T39" s="531"/>
    </row>
    <row r="40" spans="1:20" ht="13">
      <c r="A40" s="531"/>
      <c r="B40" s="531"/>
      <c r="C40" s="531"/>
      <c r="D40" s="575"/>
      <c r="E40" s="575"/>
      <c r="F40" s="575" t="s">
        <v>540</v>
      </c>
      <c r="G40" s="531"/>
      <c r="H40" s="531"/>
      <c r="I40" s="531"/>
      <c r="J40" s="589"/>
      <c r="K40" s="589">
        <f>R40/SUM(R40,R41,R42)</f>
        <v>0.33333333333333331</v>
      </c>
      <c r="L40" s="531"/>
      <c r="M40" s="531"/>
      <c r="N40" s="531"/>
      <c r="O40" s="531"/>
      <c r="Q40" s="531"/>
      <c r="R40" s="531">
        <v>1.25</v>
      </c>
      <c r="S40" s="531"/>
      <c r="T40" s="531"/>
    </row>
    <row r="41" spans="1:20" ht="13">
      <c r="A41" s="531"/>
      <c r="B41" s="531"/>
      <c r="C41" s="531"/>
      <c r="D41" s="575"/>
      <c r="E41" s="575"/>
      <c r="F41" s="575" t="s">
        <v>541</v>
      </c>
      <c r="G41" s="531"/>
      <c r="H41" s="531"/>
      <c r="I41" s="531"/>
      <c r="J41" s="589"/>
      <c r="K41" s="589">
        <f>R41/SUM(R40,R41,R42)</f>
        <v>0.33333333333333331</v>
      </c>
      <c r="L41" s="531"/>
      <c r="M41" s="531"/>
      <c r="N41" s="531"/>
      <c r="O41" s="531"/>
      <c r="Q41" s="531"/>
      <c r="R41" s="531">
        <v>1.25</v>
      </c>
      <c r="S41" s="531"/>
      <c r="T41" s="531"/>
    </row>
    <row r="42" spans="1:20" ht="13">
      <c r="A42" s="531" t="s">
        <v>162</v>
      </c>
      <c r="B42" s="531"/>
      <c r="C42" s="531"/>
      <c r="D42" s="575"/>
      <c r="E42" s="575"/>
      <c r="F42" s="575" t="s">
        <v>542</v>
      </c>
      <c r="G42" s="531"/>
      <c r="H42" s="531"/>
      <c r="I42" s="531"/>
      <c r="J42" s="589"/>
      <c r="K42" s="589">
        <f>R42/SUM(R40,R41,R42)</f>
        <v>0.33333333333333331</v>
      </c>
      <c r="L42" s="531"/>
      <c r="M42" s="531"/>
      <c r="N42" s="531"/>
      <c r="O42" s="531"/>
      <c r="Q42" s="531"/>
      <c r="R42" s="531">
        <v>1.25</v>
      </c>
      <c r="S42" s="531"/>
      <c r="T42" s="531"/>
    </row>
    <row r="43" spans="1:20" ht="13">
      <c r="A43" s="531" t="s">
        <v>37</v>
      </c>
      <c r="B43" s="531" t="s">
        <v>551</v>
      </c>
      <c r="C43" s="531" t="s">
        <v>552</v>
      </c>
      <c r="D43" s="575" t="s">
        <v>32</v>
      </c>
      <c r="E43" s="575" t="s">
        <v>516</v>
      </c>
      <c r="F43" s="575" t="s">
        <v>537</v>
      </c>
      <c r="G43" s="531">
        <v>2025</v>
      </c>
      <c r="H43" s="531"/>
      <c r="I43" s="587">
        <f>T43/S43</f>
        <v>1</v>
      </c>
      <c r="J43" s="587"/>
      <c r="K43" s="587"/>
      <c r="L43" s="531">
        <v>1</v>
      </c>
      <c r="M43" s="531">
        <v>1</v>
      </c>
      <c r="N43" s="531">
        <v>1</v>
      </c>
      <c r="O43" s="531">
        <v>1</v>
      </c>
      <c r="Q43" s="531"/>
      <c r="R43" s="531"/>
      <c r="S43" s="531">
        <v>1</v>
      </c>
      <c r="T43" s="531">
        <v>1</v>
      </c>
    </row>
    <row r="44" spans="1:20" ht="13">
      <c r="A44" s="531" t="s">
        <v>37</v>
      </c>
      <c r="B44" s="531" t="s">
        <v>553</v>
      </c>
      <c r="C44" s="531" t="s">
        <v>554</v>
      </c>
      <c r="D44" s="575" t="s">
        <v>32</v>
      </c>
      <c r="E44" s="575" t="s">
        <v>519</v>
      </c>
      <c r="F44" s="531"/>
      <c r="G44" s="531">
        <v>2025</v>
      </c>
      <c r="H44" s="531"/>
      <c r="I44" s="531">
        <f>SUM(R47,R48,R49)/SUM(Q44,Q45,Q46)</f>
        <v>1.5</v>
      </c>
      <c r="J44" s="589">
        <f>Q44/SUM(Q44,Q45,Q46)</f>
        <v>0.33333333333333331</v>
      </c>
      <c r="K44" s="589"/>
      <c r="L44" s="531"/>
      <c r="M44" s="531">
        <v>1</v>
      </c>
      <c r="N44" s="531">
        <v>1</v>
      </c>
      <c r="O44" s="531">
        <v>1</v>
      </c>
      <c r="Q44" s="531">
        <v>1</v>
      </c>
      <c r="R44" s="531"/>
      <c r="S44" s="531"/>
      <c r="T44" s="531"/>
    </row>
    <row r="45" spans="1:20" ht="13">
      <c r="A45" s="531"/>
      <c r="B45" s="531"/>
      <c r="C45" s="531"/>
      <c r="D45" s="575"/>
      <c r="E45" s="575" t="s">
        <v>526</v>
      </c>
      <c r="F45" s="531"/>
      <c r="G45" s="531"/>
      <c r="H45" s="531"/>
      <c r="I45" s="531"/>
      <c r="J45" s="589">
        <f>Q45/SUM(Q44,Q45,Q46)</f>
        <v>0.33333333333333331</v>
      </c>
      <c r="K45" s="589"/>
      <c r="L45" s="531"/>
      <c r="M45" s="531"/>
      <c r="N45" s="531"/>
      <c r="O45" s="531"/>
      <c r="Q45" s="531">
        <v>1</v>
      </c>
      <c r="R45" s="531"/>
      <c r="S45" s="531"/>
      <c r="T45" s="531"/>
    </row>
    <row r="46" spans="1:20" ht="13">
      <c r="A46" s="531" t="s">
        <v>162</v>
      </c>
      <c r="B46" s="531"/>
      <c r="C46" s="531"/>
      <c r="D46" s="575"/>
      <c r="E46" s="575" t="s">
        <v>523</v>
      </c>
      <c r="F46" s="531"/>
      <c r="G46" s="531"/>
      <c r="H46" s="531"/>
      <c r="I46" s="531"/>
      <c r="J46" s="589">
        <f>Q46/SUM(Q44,Q45,Q46)</f>
        <v>0.33333333333333331</v>
      </c>
      <c r="K46" s="589"/>
      <c r="L46" s="531"/>
      <c r="M46" s="531"/>
      <c r="N46" s="531"/>
      <c r="O46" s="531"/>
      <c r="Q46" s="531">
        <v>1</v>
      </c>
      <c r="R46" s="531"/>
      <c r="S46" s="531"/>
      <c r="T46" s="531"/>
    </row>
    <row r="47" spans="1:20" ht="13">
      <c r="A47" s="531"/>
      <c r="B47" s="531"/>
      <c r="C47" s="531"/>
      <c r="D47" s="575"/>
      <c r="E47" s="575"/>
      <c r="F47" s="575" t="s">
        <v>540</v>
      </c>
      <c r="G47" s="531"/>
      <c r="H47" s="531"/>
      <c r="I47" s="531"/>
      <c r="J47" s="589"/>
      <c r="K47" s="589">
        <f>R47/SUM(R47,R48,R49)</f>
        <v>0.33333333333333331</v>
      </c>
      <c r="L47" s="531"/>
      <c r="M47" s="531"/>
      <c r="N47" s="531"/>
      <c r="O47" s="531"/>
      <c r="Q47" s="531"/>
      <c r="R47" s="531">
        <v>1.5</v>
      </c>
      <c r="S47" s="531"/>
      <c r="T47" s="531"/>
    </row>
    <row r="48" spans="1:20" ht="13">
      <c r="A48" s="531"/>
      <c r="B48" s="531"/>
      <c r="C48" s="531"/>
      <c r="D48" s="575"/>
      <c r="E48" s="575"/>
      <c r="F48" s="575" t="s">
        <v>541</v>
      </c>
      <c r="G48" s="531"/>
      <c r="H48" s="531"/>
      <c r="I48" s="531"/>
      <c r="J48" s="589"/>
      <c r="K48" s="589">
        <f>R48/SUM(R47,R48,R49)</f>
        <v>0.33333333333333331</v>
      </c>
      <c r="L48" s="531"/>
      <c r="M48" s="531"/>
      <c r="N48" s="531"/>
      <c r="O48" s="531"/>
      <c r="Q48" s="531"/>
      <c r="R48" s="531">
        <v>1.5</v>
      </c>
      <c r="S48" s="531"/>
      <c r="T48" s="531"/>
    </row>
    <row r="49" spans="1:20" ht="13">
      <c r="A49" s="531" t="s">
        <v>162</v>
      </c>
      <c r="B49" s="531"/>
      <c r="C49" s="531"/>
      <c r="D49" s="575"/>
      <c r="E49" s="575"/>
      <c r="F49" s="575" t="s">
        <v>542</v>
      </c>
      <c r="G49" s="531"/>
      <c r="H49" s="531"/>
      <c r="I49" s="531"/>
      <c r="J49" s="589"/>
      <c r="K49" s="589">
        <f>R49/SUM(R47,R48,R49)</f>
        <v>0.33333333333333331</v>
      </c>
      <c r="L49" s="531"/>
      <c r="M49" s="531"/>
      <c r="N49" s="531"/>
      <c r="O49" s="531"/>
      <c r="Q49" s="531"/>
      <c r="R49" s="531">
        <v>1.5</v>
      </c>
      <c r="S49" s="531"/>
      <c r="T49" s="531"/>
    </row>
    <row r="50" spans="1:20" ht="13">
      <c r="E50" s="572"/>
      <c r="F50" s="572"/>
    </row>
  </sheetData>
  <phoneticPr fontId="0" type="noConversion"/>
  <pageMargins left="0.75" right="0.75" top="1" bottom="1" header="0.5" footer="0.5"/>
  <pageSetup paperSize="9" orientation="landscape" horizontalDpi="12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DE5AD-8388-4384-9BF6-F865FB638280}">
  <dimension ref="B2:U31"/>
  <sheetViews>
    <sheetView workbookViewId="0">
      <selection activeCell="B1" sqref="B1"/>
    </sheetView>
  </sheetViews>
  <sheetFormatPr defaultColWidth="9.1796875" defaultRowHeight="12.5"/>
  <cols>
    <col min="1" max="16384" width="9.1796875" style="634"/>
  </cols>
  <sheetData>
    <row r="2" spans="2:21" ht="15.5">
      <c r="B2" s="632" t="s">
        <v>595</v>
      </c>
      <c r="C2" s="632" t="s">
        <v>596</v>
      </c>
      <c r="D2" s="633" t="s">
        <v>597</v>
      </c>
      <c r="E2" s="633" t="s">
        <v>598</v>
      </c>
      <c r="F2" s="633" t="s">
        <v>599</v>
      </c>
      <c r="G2" s="633" t="s">
        <v>600</v>
      </c>
      <c r="H2" s="633" t="s">
        <v>601</v>
      </c>
    </row>
    <row r="3" spans="2:21" ht="18.5">
      <c r="B3" s="632">
        <v>1</v>
      </c>
      <c r="C3" s="635" t="s">
        <v>602</v>
      </c>
      <c r="D3" s="636">
        <v>0.1</v>
      </c>
      <c r="E3" s="637">
        <v>65.19</v>
      </c>
      <c r="F3" s="638">
        <v>0.26700000000000002</v>
      </c>
      <c r="G3" s="633" t="s">
        <v>603</v>
      </c>
      <c r="H3" s="633" t="s">
        <v>604</v>
      </c>
    </row>
    <row r="4" spans="2:21" ht="18.5">
      <c r="B4" s="632">
        <v>2</v>
      </c>
      <c r="C4" s="635" t="s">
        <v>605</v>
      </c>
      <c r="D4" s="636">
        <v>0.03</v>
      </c>
      <c r="E4" s="637">
        <v>1</v>
      </c>
      <c r="F4" s="638">
        <v>0.48199999999999998</v>
      </c>
      <c r="G4" s="638" t="s">
        <v>606</v>
      </c>
      <c r="H4" s="633" t="s">
        <v>607</v>
      </c>
    </row>
    <row r="5" spans="2:21" ht="18.5">
      <c r="B5" s="632">
        <v>3</v>
      </c>
      <c r="C5" s="635" t="s">
        <v>608</v>
      </c>
      <c r="D5" s="636">
        <v>0.08</v>
      </c>
      <c r="E5" s="637">
        <v>0.52</v>
      </c>
      <c r="F5" s="638">
        <v>0.94799999999999995</v>
      </c>
      <c r="G5" s="638" t="s">
        <v>609</v>
      </c>
      <c r="H5" s="633" t="s">
        <v>610</v>
      </c>
    </row>
    <row r="6" spans="2:21" ht="18.5">
      <c r="B6" s="632">
        <v>4</v>
      </c>
      <c r="C6" s="635" t="s">
        <v>611</v>
      </c>
      <c r="D6" s="636">
        <v>0.05</v>
      </c>
      <c r="E6" s="637">
        <v>1.5</v>
      </c>
      <c r="F6" s="638">
        <v>0.89700000000000002</v>
      </c>
      <c r="G6" s="633" t="s">
        <v>612</v>
      </c>
      <c r="H6" s="633" t="s">
        <v>613</v>
      </c>
    </row>
    <row r="7" spans="2:21" ht="18.5">
      <c r="B7" s="632">
        <v>5</v>
      </c>
      <c r="C7" s="635" t="s">
        <v>614</v>
      </c>
      <c r="D7" s="636">
        <v>0.08</v>
      </c>
      <c r="E7" s="637">
        <v>5</v>
      </c>
      <c r="F7" s="638">
        <v>0.89700000000000002</v>
      </c>
      <c r="G7" s="638" t="s">
        <v>615</v>
      </c>
      <c r="H7" s="633" t="s">
        <v>613</v>
      </c>
    </row>
    <row r="10" spans="2:21" ht="14.5">
      <c r="C10" s="639" t="s">
        <v>616</v>
      </c>
    </row>
    <row r="11" spans="2:21" ht="14.5">
      <c r="C11" s="634" t="s">
        <v>617</v>
      </c>
      <c r="D11" s="634" t="s">
        <v>618</v>
      </c>
      <c r="E11" s="634" t="s">
        <v>619</v>
      </c>
      <c r="F11" s="634" t="s">
        <v>620</v>
      </c>
      <c r="G11" s="634" t="s">
        <v>621</v>
      </c>
      <c r="H11" s="634" t="s">
        <v>622</v>
      </c>
      <c r="J11" s="639"/>
      <c r="K11" s="634">
        <v>2005</v>
      </c>
      <c r="L11" s="634">
        <v>2010</v>
      </c>
      <c r="M11" s="634">
        <v>2015</v>
      </c>
      <c r="N11" s="634">
        <v>2020</v>
      </c>
      <c r="O11" s="634">
        <v>2025</v>
      </c>
      <c r="P11" s="634">
        <v>2030</v>
      </c>
      <c r="Q11" s="634">
        <v>2035</v>
      </c>
      <c r="R11" s="634">
        <v>2040</v>
      </c>
      <c r="S11" s="634">
        <v>2045</v>
      </c>
      <c r="T11" s="634">
        <v>2050</v>
      </c>
      <c r="U11" s="634">
        <v>2055</v>
      </c>
    </row>
    <row r="12" spans="2:21" ht="14.5">
      <c r="C12" s="640">
        <v>51602.374008424813</v>
      </c>
      <c r="D12" s="640">
        <v>55661.044823044889</v>
      </c>
      <c r="E12" s="640">
        <v>62470.872988586285</v>
      </c>
      <c r="F12" s="640">
        <v>32617.140044223077</v>
      </c>
      <c r="G12" s="640">
        <v>56174.923885622571</v>
      </c>
      <c r="H12" s="640">
        <v>50587.643478708014</v>
      </c>
      <c r="J12" s="639" t="s">
        <v>623</v>
      </c>
      <c r="K12" s="641">
        <v>0</v>
      </c>
      <c r="L12" s="641">
        <v>2.8275072272352299E-2</v>
      </c>
      <c r="M12" s="641">
        <v>5.5803665270754962E-2</v>
      </c>
      <c r="N12" s="641">
        <v>8.0498063016700885E-2</v>
      </c>
      <c r="O12" s="641">
        <v>9.7881610165432495E-2</v>
      </c>
      <c r="P12" s="641">
        <v>0.11446455161797207</v>
      </c>
      <c r="Q12" s="641">
        <v>0.13106520878668096</v>
      </c>
      <c r="R12" s="641">
        <v>0.14813324454686103</v>
      </c>
      <c r="S12" s="641">
        <v>0.16193015541995281</v>
      </c>
      <c r="T12" s="641">
        <v>0.1770403999051394</v>
      </c>
      <c r="U12" s="641">
        <v>0.19167420452841349</v>
      </c>
    </row>
    <row r="14" spans="2:21" ht="15.5">
      <c r="C14" s="639" t="s">
        <v>624</v>
      </c>
      <c r="T14" s="636"/>
      <c r="U14" s="641"/>
    </row>
    <row r="15" spans="2:21" ht="14.5">
      <c r="C15" s="634" t="s">
        <v>617</v>
      </c>
      <c r="D15" s="634" t="s">
        <v>618</v>
      </c>
      <c r="E15" s="634" t="s">
        <v>619</v>
      </c>
      <c r="F15" s="634" t="s">
        <v>620</v>
      </c>
      <c r="G15" s="634" t="s">
        <v>621</v>
      </c>
      <c r="H15" s="634" t="s">
        <v>622</v>
      </c>
      <c r="J15" s="639" t="s">
        <v>625</v>
      </c>
      <c r="K15" s="634">
        <v>2005</v>
      </c>
      <c r="L15" s="634">
        <v>2010</v>
      </c>
      <c r="M15" s="634">
        <v>2015</v>
      </c>
      <c r="N15" s="634">
        <v>2020</v>
      </c>
      <c r="O15" s="634">
        <v>2025</v>
      </c>
      <c r="P15" s="634">
        <v>2030</v>
      </c>
      <c r="Q15" s="634">
        <v>2035</v>
      </c>
      <c r="R15" s="634">
        <v>2040</v>
      </c>
      <c r="S15" s="634">
        <v>2045</v>
      </c>
      <c r="T15" s="634">
        <v>2050</v>
      </c>
      <c r="U15" s="634">
        <v>2055</v>
      </c>
    </row>
    <row r="16" spans="2:21">
      <c r="B16" s="634" t="s">
        <v>608</v>
      </c>
      <c r="C16" s="642">
        <f>$E5/C$12/$U$28/$C$31*10^-6</f>
        <v>7.001716601034901</v>
      </c>
      <c r="D16" s="642">
        <f t="shared" ref="D16:H16" si="0">$E5/D$12/$U$28/$C$31*10^-6</f>
        <v>6.4911681032263271</v>
      </c>
      <c r="E16" s="642">
        <f t="shared" si="0"/>
        <v>5.7835785136796796</v>
      </c>
      <c r="F16" s="642">
        <f t="shared" si="0"/>
        <v>11.077157539187493</v>
      </c>
      <c r="G16" s="642">
        <f t="shared" si="0"/>
        <v>6.431787953700681</v>
      </c>
      <c r="H16" s="642">
        <f t="shared" si="0"/>
        <v>7.1421630639836131</v>
      </c>
      <c r="J16" s="634" t="s">
        <v>608</v>
      </c>
      <c r="K16" s="641">
        <f t="shared" ref="K16:U16" si="1">$D$5*$F$5*(1-K$12)</f>
        <v>7.5840000000000005E-2</v>
      </c>
      <c r="L16" s="641">
        <f t="shared" si="1"/>
        <v>7.3695618518864803E-2</v>
      </c>
      <c r="M16" s="641">
        <f t="shared" si="1"/>
        <v>7.1607850025865949E-2</v>
      </c>
      <c r="N16" s="641">
        <f t="shared" si="1"/>
        <v>6.9735026900813402E-2</v>
      </c>
      <c r="O16" s="641">
        <f t="shared" si="1"/>
        <v>6.8416658685053602E-2</v>
      </c>
      <c r="P16" s="641">
        <f t="shared" si="1"/>
        <v>6.7159008405293E-2</v>
      </c>
      <c r="Q16" s="641">
        <f t="shared" si="1"/>
        <v>6.5900014565618129E-2</v>
      </c>
      <c r="R16" s="641">
        <f t="shared" si="1"/>
        <v>6.4605574733566068E-2</v>
      </c>
      <c r="S16" s="641">
        <f t="shared" si="1"/>
        <v>6.3559217012950781E-2</v>
      </c>
      <c r="T16" s="641">
        <f t="shared" si="1"/>
        <v>6.2413256071194231E-2</v>
      </c>
      <c r="U16" s="641">
        <f t="shared" si="1"/>
        <v>6.1303428328565127E-2</v>
      </c>
    </row>
    <row r="17" spans="2:21">
      <c r="B17" s="634" t="s">
        <v>605</v>
      </c>
      <c r="C17" s="642">
        <f>$E4/C$12/$U$28/$C$31*10^-6</f>
        <v>13.464839617374807</v>
      </c>
      <c r="D17" s="642">
        <f t="shared" ref="D17:H17" si="2">$E4/D$12/$U$28/$C$31*10^-6</f>
        <v>12.483015583127553</v>
      </c>
      <c r="E17" s="642">
        <f t="shared" si="2"/>
        <v>11.122266372460922</v>
      </c>
      <c r="F17" s="642">
        <f t="shared" si="2"/>
        <v>21.302226036899022</v>
      </c>
      <c r="G17" s="642">
        <f t="shared" si="2"/>
        <v>12.368822987885922</v>
      </c>
      <c r="H17" s="642">
        <f t="shared" si="2"/>
        <v>13.734928969199256</v>
      </c>
      <c r="J17" s="634" t="s">
        <v>605</v>
      </c>
      <c r="K17" s="641">
        <f t="shared" ref="K17:U17" si="3">$D$4*$F$4*(1-K$12)</f>
        <v>1.4459999999999999E-2</v>
      </c>
      <c r="L17" s="641">
        <f t="shared" si="3"/>
        <v>1.4051142454941785E-2</v>
      </c>
      <c r="M17" s="641">
        <f t="shared" si="3"/>
        <v>1.3653079000184882E-2</v>
      </c>
      <c r="N17" s="641">
        <f t="shared" si="3"/>
        <v>1.3295998008778504E-2</v>
      </c>
      <c r="O17" s="641">
        <f t="shared" si="3"/>
        <v>1.3044631917007846E-2</v>
      </c>
      <c r="P17" s="641">
        <f t="shared" si="3"/>
        <v>1.2804842583604122E-2</v>
      </c>
      <c r="Q17" s="641">
        <f t="shared" si="3"/>
        <v>1.2564797080944592E-2</v>
      </c>
      <c r="R17" s="641">
        <f t="shared" si="3"/>
        <v>1.2317993283852389E-2</v>
      </c>
      <c r="S17" s="641">
        <f t="shared" si="3"/>
        <v>1.2118489952627482E-2</v>
      </c>
      <c r="T17" s="641">
        <f t="shared" si="3"/>
        <v>1.1899995817371683E-2</v>
      </c>
      <c r="U17" s="641">
        <f t="shared" si="3"/>
        <v>1.1688391002519141E-2</v>
      </c>
    </row>
    <row r="18" spans="2:21">
      <c r="B18" s="634" t="s">
        <v>611</v>
      </c>
      <c r="C18" s="642">
        <f>$E6/C$12/$U$28/$C$31*10^-6</f>
        <v>20.197259426062214</v>
      </c>
      <c r="D18" s="642">
        <f t="shared" ref="D18:H18" si="4">$E6/D$12/$U$28/$C$31*10^-6</f>
        <v>18.72452337469133</v>
      </c>
      <c r="E18" s="642">
        <f t="shared" si="4"/>
        <v>16.683399558691381</v>
      </c>
      <c r="F18" s="642">
        <f t="shared" si="4"/>
        <v>31.953339055348529</v>
      </c>
      <c r="G18" s="642">
        <f t="shared" si="4"/>
        <v>18.553234481828888</v>
      </c>
      <c r="H18" s="642">
        <f t="shared" si="4"/>
        <v>20.602393453798886</v>
      </c>
      <c r="J18" s="634" t="s">
        <v>611</v>
      </c>
      <c r="K18" s="641">
        <f t="shared" ref="K18:U18" si="5">$D$3*$F$3*(1-K$12)</f>
        <v>2.6700000000000002E-2</v>
      </c>
      <c r="L18" s="641">
        <f t="shared" si="5"/>
        <v>2.5945055570328196E-2</v>
      </c>
      <c r="M18" s="641">
        <f t="shared" si="5"/>
        <v>2.5210042137270842E-2</v>
      </c>
      <c r="N18" s="641">
        <f t="shared" si="5"/>
        <v>2.4550701717454087E-2</v>
      </c>
      <c r="O18" s="641">
        <f t="shared" si="5"/>
        <v>2.4086561008582953E-2</v>
      </c>
      <c r="P18" s="641">
        <f t="shared" si="5"/>
        <v>2.3643796471800146E-2</v>
      </c>
      <c r="Q18" s="641">
        <f t="shared" si="5"/>
        <v>2.3200558925395621E-2</v>
      </c>
      <c r="R18" s="641">
        <f t="shared" si="5"/>
        <v>2.274484237059881E-2</v>
      </c>
      <c r="S18" s="641">
        <f t="shared" si="5"/>
        <v>2.2376464850287259E-2</v>
      </c>
      <c r="T18" s="641">
        <f t="shared" si="5"/>
        <v>2.1973021322532777E-2</v>
      </c>
      <c r="U18" s="641">
        <f t="shared" si="5"/>
        <v>2.1582298739091361E-2</v>
      </c>
    </row>
    <row r="19" spans="2:21">
      <c r="B19" s="634" t="s">
        <v>614</v>
      </c>
      <c r="C19" s="642">
        <f>$E7/C$12/$U$28/$C$31*10^-6</f>
        <v>67.324198086874048</v>
      </c>
      <c r="D19" s="642">
        <f t="shared" ref="D19:H19" si="6">$E7/D$12/$U$28/$C$31*10^-6</f>
        <v>62.415077915637752</v>
      </c>
      <c r="E19" s="642">
        <f t="shared" si="6"/>
        <v>55.611331862304603</v>
      </c>
      <c r="F19" s="642">
        <f t="shared" si="6"/>
        <v>106.5111301844951</v>
      </c>
      <c r="G19" s="642">
        <f t="shared" si="6"/>
        <v>61.844114939429623</v>
      </c>
      <c r="H19" s="642">
        <f t="shared" si="6"/>
        <v>68.674644845996283</v>
      </c>
      <c r="J19" s="634" t="s">
        <v>614</v>
      </c>
      <c r="K19" s="641">
        <f t="shared" ref="K19:U19" si="7">$D$7*$F$7*(1-K$12)</f>
        <v>7.1760000000000004E-2</v>
      </c>
      <c r="L19" s="641">
        <f t="shared" si="7"/>
        <v>6.9730980813736007E-2</v>
      </c>
      <c r="M19" s="641">
        <f t="shared" si="7"/>
        <v>6.7755528980170621E-2</v>
      </c>
      <c r="N19" s="641">
        <f t="shared" si="7"/>
        <v>6.5983458997921546E-2</v>
      </c>
      <c r="O19" s="641">
        <f t="shared" si="7"/>
        <v>6.4736015654528564E-2</v>
      </c>
      <c r="P19" s="641">
        <f t="shared" si="7"/>
        <v>6.3546023775894328E-2</v>
      </c>
      <c r="Q19" s="641">
        <f t="shared" si="7"/>
        <v>6.235476061746778E-2</v>
      </c>
      <c r="R19" s="641">
        <f t="shared" si="7"/>
        <v>6.1129958371317253E-2</v>
      </c>
      <c r="S19" s="641">
        <f t="shared" si="7"/>
        <v>6.0139892047064186E-2</v>
      </c>
      <c r="T19" s="641">
        <f t="shared" si="7"/>
        <v>5.90555809028072E-2</v>
      </c>
      <c r="U19" s="641">
        <f t="shared" si="7"/>
        <v>5.8005459083041055E-2</v>
      </c>
    </row>
    <row r="20" spans="2:21">
      <c r="B20" s="634" t="s">
        <v>602</v>
      </c>
      <c r="C20" s="642">
        <f>$E3/C$12/$U$28/$C$31*10^-6</f>
        <v>877.77289465666377</v>
      </c>
      <c r="D20" s="642">
        <f t="shared" ref="D20:H20" si="8">$E3/D$12/$U$28/$C$31*10^-6</f>
        <v>813.767785864085</v>
      </c>
      <c r="E20" s="642">
        <f t="shared" si="8"/>
        <v>725.0605448207275</v>
      </c>
      <c r="F20" s="642">
        <f t="shared" si="8"/>
        <v>1388.6921153454473</v>
      </c>
      <c r="G20" s="642">
        <f t="shared" si="8"/>
        <v>806.32357058028322</v>
      </c>
      <c r="H20" s="642">
        <f t="shared" si="8"/>
        <v>895.38001950209946</v>
      </c>
      <c r="J20" s="634" t="s">
        <v>602</v>
      </c>
      <c r="K20" s="641">
        <f t="shared" ref="K20:U20" si="9">$D$6*$F$6*(1-K$12)</f>
        <v>4.4850000000000001E-2</v>
      </c>
      <c r="L20" s="641">
        <f t="shared" si="9"/>
        <v>4.3581863008584999E-2</v>
      </c>
      <c r="M20" s="641">
        <f t="shared" si="9"/>
        <v>4.2347205612606638E-2</v>
      </c>
      <c r="N20" s="641">
        <f t="shared" si="9"/>
        <v>4.1239661873700963E-2</v>
      </c>
      <c r="O20" s="641">
        <f t="shared" si="9"/>
        <v>4.0460009784080354E-2</v>
      </c>
      <c r="P20" s="641">
        <f t="shared" si="9"/>
        <v>3.9716264859933952E-2</v>
      </c>
      <c r="Q20" s="641">
        <f t="shared" si="9"/>
        <v>3.8971725385917359E-2</v>
      </c>
      <c r="R20" s="641">
        <f t="shared" si="9"/>
        <v>3.8206223982073281E-2</v>
      </c>
      <c r="S20" s="641">
        <f t="shared" si="9"/>
        <v>3.758743252941512E-2</v>
      </c>
      <c r="T20" s="641">
        <f t="shared" si="9"/>
        <v>3.6909738064254495E-2</v>
      </c>
      <c r="U20" s="641">
        <f t="shared" si="9"/>
        <v>3.625341192690066E-2</v>
      </c>
    </row>
    <row r="25" spans="2:21">
      <c r="B25" t="s">
        <v>626</v>
      </c>
    </row>
    <row r="26" spans="2:21">
      <c r="C26" s="634">
        <v>2005</v>
      </c>
      <c r="D26" s="634">
        <v>2006</v>
      </c>
      <c r="E26" s="634">
        <v>2007</v>
      </c>
      <c r="F26" s="634">
        <v>2008</v>
      </c>
      <c r="G26" s="634">
        <v>2009</v>
      </c>
      <c r="H26" s="634">
        <v>2010</v>
      </c>
      <c r="I26" s="634">
        <v>2011</v>
      </c>
      <c r="J26" s="634">
        <v>2012</v>
      </c>
      <c r="K26" s="634">
        <v>2013</v>
      </c>
      <c r="L26" s="634">
        <v>2014</v>
      </c>
      <c r="M26" s="634">
        <v>2015</v>
      </c>
      <c r="N26" s="634">
        <v>2016</v>
      </c>
      <c r="O26" s="634">
        <v>2017</v>
      </c>
      <c r="P26" s="634">
        <v>2018</v>
      </c>
      <c r="Q26" s="634">
        <v>2019</v>
      </c>
      <c r="R26" s="634">
        <v>2020</v>
      </c>
      <c r="S26" s="634">
        <v>2021</v>
      </c>
      <c r="T26" s="634">
        <v>2022</v>
      </c>
      <c r="U26" s="634">
        <v>2023</v>
      </c>
    </row>
    <row r="27" spans="2:21" ht="13">
      <c r="B27" s="644" t="s">
        <v>627</v>
      </c>
      <c r="C27" s="643">
        <v>3.3927468454955E-2</v>
      </c>
      <c r="D27" s="643">
        <v>3.2259441007040396E-2</v>
      </c>
      <c r="E27" s="643">
        <v>2.8526724815013803E-2</v>
      </c>
      <c r="F27" s="643">
        <v>3.8391002966509997E-2</v>
      </c>
      <c r="G27" s="643">
        <v>-3.55546266299747E-3</v>
      </c>
      <c r="H27" s="643">
        <v>1.6400434423899001E-2</v>
      </c>
      <c r="I27" s="643">
        <v>3.156841568622E-2</v>
      </c>
      <c r="J27" s="643">
        <v>2.0693372652606699E-2</v>
      </c>
      <c r="K27" s="643">
        <v>1.46483265562717E-2</v>
      </c>
      <c r="L27" s="643">
        <v>1.6222229774081699E-2</v>
      </c>
      <c r="M27" s="643">
        <v>1.18627135552451E-3</v>
      </c>
      <c r="N27" s="643">
        <v>1.26158320570536E-2</v>
      </c>
      <c r="O27" s="643">
        <v>2.1301100036596101E-2</v>
      </c>
      <c r="P27" s="643">
        <v>2.4425832969281702E-2</v>
      </c>
      <c r="Q27" s="643">
        <v>1.8122100752602101E-2</v>
      </c>
      <c r="R27" s="643">
        <v>1.2335843963062899E-2</v>
      </c>
      <c r="S27" s="643">
        <v>4.6978588636374205E-2</v>
      </c>
      <c r="T27" s="643">
        <v>8.00279982052121E-2</v>
      </c>
      <c r="U27" s="643">
        <v>0</v>
      </c>
    </row>
    <row r="28" spans="2:21" ht="13">
      <c r="B28" s="644" t="s">
        <v>628</v>
      </c>
      <c r="C28" s="643">
        <v>1.1358175240448252</v>
      </c>
      <c r="D28" s="643">
        <v>1.0985466183059525</v>
      </c>
      <c r="E28" s="643">
        <v>1.0642156173783639</v>
      </c>
      <c r="F28" s="643">
        <v>1.0346990425258702</v>
      </c>
      <c r="G28" s="643">
        <v>0.99644453733700256</v>
      </c>
      <c r="H28" s="643">
        <v>1</v>
      </c>
      <c r="I28" s="643">
        <v>1.016400434423899</v>
      </c>
      <c r="J28" s="643">
        <v>1.0484865858414472</v>
      </c>
      <c r="K28" s="643">
        <v>1.0701833094835234</v>
      </c>
      <c r="L28" s="643">
        <v>1.0858597040759097</v>
      </c>
      <c r="M28" s="643">
        <v>1.1034747696978455</v>
      </c>
      <c r="N28" s="643">
        <v>1.1047837902086819</v>
      </c>
      <c r="O28" s="643">
        <v>1.1187215569653097</v>
      </c>
      <c r="P28" s="643">
        <v>1.1425515567633244</v>
      </c>
      <c r="Q28" s="643">
        <v>1.1704593302476181</v>
      </c>
      <c r="R28" s="643">
        <v>1.1916705121571884</v>
      </c>
      <c r="S28" s="643">
        <v>1.2063707736505429</v>
      </c>
      <c r="T28" s="643">
        <v>1.2630443699688163</v>
      </c>
      <c r="U28" s="643">
        <v>1.3641232825417839</v>
      </c>
    </row>
    <row r="31" spans="2:21">
      <c r="B31" t="s">
        <v>629</v>
      </c>
      <c r="C31">
        <v>1.0550560000000001E-12</v>
      </c>
      <c r="D31"/>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EBF2D-9E39-4078-BA10-96C667561F37}">
  <dimension ref="A1:N172"/>
  <sheetViews>
    <sheetView topLeftCell="C1" workbookViewId="0">
      <selection activeCell="K82" sqref="K82"/>
    </sheetView>
  </sheetViews>
  <sheetFormatPr defaultRowHeight="12.5"/>
  <cols>
    <col min="1" max="1" width="20.453125" customWidth="1"/>
    <col min="2" max="2" width="13.453125" bestFit="1" customWidth="1"/>
    <col min="3" max="3" width="41.26953125" bestFit="1" customWidth="1"/>
  </cols>
  <sheetData>
    <row r="1" spans="1:13">
      <c r="A1" t="s">
        <v>630</v>
      </c>
    </row>
    <row r="3" spans="1:13">
      <c r="G3" t="s">
        <v>631</v>
      </c>
      <c r="H3" t="s">
        <v>632</v>
      </c>
      <c r="I3" t="s">
        <v>633</v>
      </c>
      <c r="J3" t="s">
        <v>634</v>
      </c>
      <c r="K3" t="s">
        <v>79</v>
      </c>
      <c r="L3" t="s">
        <v>635</v>
      </c>
      <c r="M3" t="s">
        <v>636</v>
      </c>
    </row>
    <row r="4" spans="1:13">
      <c r="I4" t="s">
        <v>637</v>
      </c>
      <c r="L4" t="s">
        <v>638</v>
      </c>
    </row>
    <row r="5" spans="1:13">
      <c r="B5" t="s">
        <v>7</v>
      </c>
      <c r="C5" t="s">
        <v>8</v>
      </c>
      <c r="D5" t="s">
        <v>431</v>
      </c>
      <c r="E5" t="s">
        <v>74</v>
      </c>
      <c r="F5" t="s">
        <v>75</v>
      </c>
      <c r="G5" t="s">
        <v>639</v>
      </c>
      <c r="H5" t="s">
        <v>639</v>
      </c>
    </row>
    <row r="6" spans="1:13">
      <c r="A6" t="s">
        <v>29</v>
      </c>
    </row>
    <row r="7" spans="1:13">
      <c r="A7" t="s">
        <v>30</v>
      </c>
      <c r="B7" t="str">
        <f>A7</f>
        <v>*Electric Radiant Heating</v>
      </c>
    </row>
    <row r="8" spans="1:13">
      <c r="A8" t="s">
        <v>37</v>
      </c>
      <c r="B8" t="s">
        <v>640</v>
      </c>
      <c r="C8" t="s">
        <v>641</v>
      </c>
      <c r="D8" t="s">
        <v>32</v>
      </c>
      <c r="E8" t="s">
        <v>122</v>
      </c>
      <c r="F8" t="s">
        <v>123</v>
      </c>
      <c r="G8">
        <v>2011</v>
      </c>
      <c r="H8" s="594">
        <v>22.5</v>
      </c>
      <c r="I8" s="594">
        <v>162.45802005543641</v>
      </c>
      <c r="J8" s="595">
        <v>3.74</v>
      </c>
      <c r="K8" s="595">
        <v>1</v>
      </c>
    </row>
    <row r="9" spans="1:13">
      <c r="A9" t="s">
        <v>37</v>
      </c>
      <c r="B9" t="s">
        <v>642</v>
      </c>
      <c r="C9" t="s">
        <v>643</v>
      </c>
      <c r="D9" t="s">
        <v>32</v>
      </c>
      <c r="E9" t="s">
        <v>122</v>
      </c>
      <c r="F9" t="s">
        <v>123</v>
      </c>
      <c r="G9">
        <v>2015</v>
      </c>
      <c r="H9" s="594">
        <v>22.5</v>
      </c>
      <c r="I9" s="594">
        <v>162.45802005543641</v>
      </c>
      <c r="J9" s="595">
        <v>3.4718966403580911</v>
      </c>
      <c r="K9" s="595">
        <v>1</v>
      </c>
      <c r="L9">
        <v>3500</v>
      </c>
    </row>
    <row r="10" spans="1:13">
      <c r="A10" t="s">
        <v>37</v>
      </c>
      <c r="B10" t="s">
        <v>644</v>
      </c>
      <c r="C10" t="s">
        <v>645</v>
      </c>
      <c r="D10" t="s">
        <v>32</v>
      </c>
      <c r="E10" t="s">
        <v>122</v>
      </c>
      <c r="F10" t="s">
        <v>123</v>
      </c>
      <c r="G10">
        <v>2020</v>
      </c>
      <c r="H10" s="594">
        <v>22.5</v>
      </c>
      <c r="I10" s="594">
        <v>162.45802005543641</v>
      </c>
      <c r="J10" s="595">
        <v>3.4718966403580911</v>
      </c>
      <c r="K10" s="595">
        <v>1</v>
      </c>
      <c r="L10">
        <v>3500</v>
      </c>
    </row>
    <row r="11" spans="1:13">
      <c r="A11" t="s">
        <v>37</v>
      </c>
      <c r="B11" t="s">
        <v>646</v>
      </c>
      <c r="C11" t="s">
        <v>647</v>
      </c>
      <c r="D11" t="s">
        <v>32</v>
      </c>
      <c r="E11" t="s">
        <v>122</v>
      </c>
      <c r="F11" t="s">
        <v>123</v>
      </c>
      <c r="G11">
        <v>2022</v>
      </c>
      <c r="H11" s="594">
        <v>22.5</v>
      </c>
      <c r="I11" s="594">
        <v>546.13547167572233</v>
      </c>
      <c r="J11" s="595">
        <v>8.0098408098373959</v>
      </c>
      <c r="K11" s="595">
        <v>1</v>
      </c>
      <c r="L11">
        <v>5100</v>
      </c>
    </row>
    <row r="12" spans="1:13">
      <c r="A12" t="s">
        <v>34</v>
      </c>
      <c r="B12" t="str">
        <f>A12</f>
        <v>*Electric Furnaces</v>
      </c>
      <c r="J12" s="595"/>
      <c r="K12" s="595"/>
    </row>
    <row r="13" spans="1:13">
      <c r="A13" t="s">
        <v>37</v>
      </c>
      <c r="B13" t="s">
        <v>648</v>
      </c>
      <c r="C13" s="12" t="s">
        <v>649</v>
      </c>
      <c r="D13" t="s">
        <v>649</v>
      </c>
      <c r="E13" t="s">
        <v>122</v>
      </c>
      <c r="F13" t="s">
        <v>123</v>
      </c>
      <c r="G13" s="594">
        <v>2015</v>
      </c>
      <c r="H13" s="594">
        <v>22.5</v>
      </c>
      <c r="I13" s="594">
        <v>891.7908334957998</v>
      </c>
      <c r="J13" s="595">
        <v>0.98095202323008612</v>
      </c>
      <c r="K13" s="595">
        <v>0.98</v>
      </c>
      <c r="L13">
        <v>68000</v>
      </c>
      <c r="M13">
        <v>0.16</v>
      </c>
    </row>
    <row r="14" spans="1:13">
      <c r="A14" t="s">
        <v>37</v>
      </c>
      <c r="B14" t="s">
        <v>650</v>
      </c>
      <c r="C14" t="s">
        <v>651</v>
      </c>
      <c r="D14" t="s">
        <v>651</v>
      </c>
      <c r="E14" t="s">
        <v>122</v>
      </c>
      <c r="F14" t="s">
        <v>123</v>
      </c>
      <c r="G14" s="594">
        <v>2020</v>
      </c>
      <c r="H14" s="594">
        <v>22.5</v>
      </c>
      <c r="I14" s="594">
        <v>891.7908334957998</v>
      </c>
      <c r="J14" s="595">
        <v>0.98095202323008612</v>
      </c>
      <c r="K14" s="595">
        <v>0.98</v>
      </c>
      <c r="L14">
        <v>68000</v>
      </c>
      <c r="M14">
        <v>0.16</v>
      </c>
    </row>
    <row r="15" spans="1:13">
      <c r="A15" t="s">
        <v>37</v>
      </c>
      <c r="B15" t="s">
        <v>652</v>
      </c>
      <c r="C15" t="s">
        <v>653</v>
      </c>
      <c r="D15" t="s">
        <v>653</v>
      </c>
      <c r="E15" t="s">
        <v>122</v>
      </c>
      <c r="F15" t="s">
        <v>123</v>
      </c>
      <c r="G15" s="594">
        <v>2022</v>
      </c>
      <c r="H15" s="594">
        <v>22.5</v>
      </c>
      <c r="I15" s="594">
        <v>1023.1398709874293</v>
      </c>
      <c r="J15" s="595">
        <v>1.1254333289771532</v>
      </c>
      <c r="K15" s="595">
        <v>1</v>
      </c>
      <c r="L15">
        <v>68000</v>
      </c>
      <c r="M15">
        <v>0.16</v>
      </c>
    </row>
    <row r="16" spans="1:13">
      <c r="A16" t="s">
        <v>35</v>
      </c>
      <c r="B16" t="str">
        <f>A16</f>
        <v>*Electric Heat Pumps (Residential Air Source Heat Pumps)</v>
      </c>
      <c r="J16" s="595"/>
      <c r="K16" s="595"/>
    </row>
    <row r="17" spans="1:13">
      <c r="A17" t="s">
        <v>37</v>
      </c>
      <c r="B17" t="s">
        <v>654</v>
      </c>
      <c r="C17" t="s">
        <v>655</v>
      </c>
      <c r="D17" t="s">
        <v>32</v>
      </c>
      <c r="E17" t="s">
        <v>122</v>
      </c>
      <c r="F17" t="s">
        <v>123</v>
      </c>
      <c r="G17">
        <v>2015</v>
      </c>
      <c r="H17">
        <v>15.5</v>
      </c>
      <c r="I17" s="594">
        <v>4002.6890898764968</v>
      </c>
      <c r="J17" s="595">
        <v>8.3165467395811721</v>
      </c>
      <c r="K17">
        <v>6.7</v>
      </c>
      <c r="L17">
        <v>36000</v>
      </c>
      <c r="M17">
        <v>0.15</v>
      </c>
    </row>
    <row r="18" spans="1:13">
      <c r="A18" t="s">
        <v>37</v>
      </c>
      <c r="B18" t="s">
        <v>656</v>
      </c>
      <c r="C18" t="s">
        <v>657</v>
      </c>
      <c r="D18" t="s">
        <v>32</v>
      </c>
      <c r="E18" t="s">
        <v>122</v>
      </c>
      <c r="F18" t="s">
        <v>123</v>
      </c>
      <c r="G18">
        <v>2020</v>
      </c>
      <c r="H18">
        <v>15.5</v>
      </c>
      <c r="I18" s="594">
        <v>4756.2177786442653</v>
      </c>
      <c r="J18" s="595">
        <v>9.8821833451327201</v>
      </c>
      <c r="K18">
        <v>7.3</v>
      </c>
      <c r="L18">
        <v>36000</v>
      </c>
      <c r="M18">
        <v>0.15</v>
      </c>
    </row>
    <row r="19" spans="1:13">
      <c r="A19" t="s">
        <v>37</v>
      </c>
      <c r="B19" t="s">
        <v>658</v>
      </c>
      <c r="C19" t="s">
        <v>659</v>
      </c>
      <c r="D19" t="s">
        <v>32</v>
      </c>
      <c r="E19" t="s">
        <v>122</v>
      </c>
      <c r="F19" t="s">
        <v>123</v>
      </c>
      <c r="G19">
        <v>2022</v>
      </c>
      <c r="H19">
        <v>15.5</v>
      </c>
      <c r="I19" s="594">
        <v>4756.2177786442653</v>
      </c>
      <c r="J19" s="595">
        <v>9.8821833451327201</v>
      </c>
      <c r="K19">
        <v>7.3</v>
      </c>
      <c r="L19">
        <v>36000</v>
      </c>
      <c r="M19">
        <v>0.15</v>
      </c>
    </row>
    <row r="20" spans="1:13" s="617" customFormat="1">
      <c r="A20" s="617" t="s">
        <v>37</v>
      </c>
      <c r="B20" s="617" t="s">
        <v>660</v>
      </c>
      <c r="C20" s="617" t="s">
        <v>661</v>
      </c>
      <c r="D20" s="617" t="s">
        <v>32</v>
      </c>
      <c r="E20" s="617" t="s">
        <v>122</v>
      </c>
      <c r="F20" s="617" t="s">
        <v>123</v>
      </c>
      <c r="G20" s="617">
        <v>2022</v>
      </c>
      <c r="H20" s="617">
        <v>15.5</v>
      </c>
      <c r="I20" s="618">
        <v>5959.0984377781351</v>
      </c>
      <c r="J20" s="619">
        <v>12.381456458581987</v>
      </c>
      <c r="K20" s="617">
        <v>10.6</v>
      </c>
      <c r="L20" s="617">
        <v>36000</v>
      </c>
      <c r="M20" s="617">
        <v>0.15</v>
      </c>
    </row>
    <row r="21" spans="1:13">
      <c r="A21" t="s">
        <v>37</v>
      </c>
      <c r="B21" t="s">
        <v>662</v>
      </c>
      <c r="C21" t="s">
        <v>663</v>
      </c>
      <c r="D21" t="s">
        <v>32</v>
      </c>
      <c r="E21" t="s">
        <v>122</v>
      </c>
      <c r="F21" t="s">
        <v>123</v>
      </c>
      <c r="G21">
        <v>2023</v>
      </c>
      <c r="H21">
        <v>15.5</v>
      </c>
      <c r="I21" s="594">
        <v>4707.8260279894548</v>
      </c>
      <c r="J21" s="595">
        <v>9.7816378750514286</v>
      </c>
      <c r="K21">
        <v>7.5</v>
      </c>
      <c r="L21">
        <v>36000</v>
      </c>
      <c r="M21">
        <v>0.15</v>
      </c>
    </row>
    <row r="22" spans="1:13">
      <c r="A22" t="s">
        <v>37</v>
      </c>
      <c r="B22" t="s">
        <v>664</v>
      </c>
      <c r="C22" t="s">
        <v>665</v>
      </c>
      <c r="D22" t="s">
        <v>32</v>
      </c>
      <c r="E22" t="s">
        <v>122</v>
      </c>
      <c r="F22" t="s">
        <v>123</v>
      </c>
      <c r="G22">
        <v>2023</v>
      </c>
      <c r="H22">
        <v>15.5</v>
      </c>
      <c r="I22" s="594">
        <v>4797.6964220626751</v>
      </c>
      <c r="J22" s="595">
        <v>9.9683651766309715</v>
      </c>
      <c r="K22">
        <v>8.1</v>
      </c>
      <c r="L22">
        <v>36000</v>
      </c>
    </row>
    <row r="23" spans="1:13">
      <c r="A23" t="s">
        <v>37</v>
      </c>
      <c r="B23" t="s">
        <v>666</v>
      </c>
      <c r="C23" t="s">
        <v>667</v>
      </c>
      <c r="D23" t="s">
        <v>32</v>
      </c>
      <c r="E23" t="s">
        <v>122</v>
      </c>
      <c r="F23" t="s">
        <v>123</v>
      </c>
      <c r="G23">
        <v>2023</v>
      </c>
      <c r="H23">
        <v>15.5</v>
      </c>
      <c r="I23" s="594">
        <v>5959.0984377781351</v>
      </c>
      <c r="J23" s="595">
        <v>12.381456458581987</v>
      </c>
      <c r="K23">
        <v>10.6</v>
      </c>
      <c r="L23">
        <v>36000</v>
      </c>
      <c r="M23">
        <v>0.15</v>
      </c>
    </row>
    <row r="24" spans="1:13">
      <c r="A24" t="s">
        <v>37</v>
      </c>
      <c r="B24" t="s">
        <v>668</v>
      </c>
      <c r="C24" t="s">
        <v>669</v>
      </c>
      <c r="D24" t="s">
        <v>32</v>
      </c>
      <c r="E24" t="s">
        <v>122</v>
      </c>
      <c r="F24" t="s">
        <v>123</v>
      </c>
      <c r="G24">
        <v>2030</v>
      </c>
      <c r="H24">
        <v>15.5</v>
      </c>
      <c r="I24" s="594">
        <v>4797.6964220626751</v>
      </c>
      <c r="J24" s="595">
        <v>9.9683651766309715</v>
      </c>
      <c r="K24">
        <v>7.8</v>
      </c>
      <c r="L24">
        <v>36000</v>
      </c>
    </row>
    <row r="25" spans="1:13">
      <c r="A25" t="s">
        <v>37</v>
      </c>
      <c r="B25" t="s">
        <v>670</v>
      </c>
      <c r="C25" t="s">
        <v>671</v>
      </c>
      <c r="D25" t="s">
        <v>32</v>
      </c>
      <c r="E25" t="s">
        <v>122</v>
      </c>
      <c r="F25" t="s">
        <v>123</v>
      </c>
      <c r="G25">
        <v>2030</v>
      </c>
      <c r="H25">
        <v>15.5</v>
      </c>
      <c r="I25" s="594">
        <v>5959.0984377781351</v>
      </c>
      <c r="J25" s="595">
        <v>12.381456458581987</v>
      </c>
      <c r="K25">
        <v>10.6</v>
      </c>
      <c r="L25">
        <v>36000</v>
      </c>
      <c r="M25">
        <v>0.15</v>
      </c>
    </row>
    <row r="26" spans="1:13">
      <c r="A26" t="s">
        <v>37</v>
      </c>
      <c r="B26" t="s">
        <v>672</v>
      </c>
      <c r="C26" t="s">
        <v>673</v>
      </c>
      <c r="D26" t="s">
        <v>32</v>
      </c>
      <c r="E26" t="s">
        <v>122</v>
      </c>
      <c r="F26" t="s">
        <v>123</v>
      </c>
      <c r="G26">
        <v>2040</v>
      </c>
      <c r="H26">
        <v>15.5</v>
      </c>
      <c r="I26" s="594">
        <v>5005.0896391547212</v>
      </c>
      <c r="J26" s="595">
        <v>10.399274334122223</v>
      </c>
      <c r="K26">
        <v>7.9</v>
      </c>
      <c r="L26">
        <v>36000</v>
      </c>
      <c r="M26">
        <v>0.15</v>
      </c>
    </row>
    <row r="27" spans="1:13">
      <c r="A27" t="s">
        <v>37</v>
      </c>
      <c r="B27" t="s">
        <v>674</v>
      </c>
      <c r="C27" t="s">
        <v>675</v>
      </c>
      <c r="D27" t="s">
        <v>32</v>
      </c>
      <c r="E27" t="s">
        <v>122</v>
      </c>
      <c r="F27" t="s">
        <v>123</v>
      </c>
      <c r="G27">
        <v>2040</v>
      </c>
      <c r="H27">
        <v>15.5</v>
      </c>
      <c r="I27" s="594">
        <v>5959.0984377781351</v>
      </c>
      <c r="J27" s="595">
        <v>12.381456458581987</v>
      </c>
      <c r="K27">
        <v>10.6</v>
      </c>
      <c r="L27">
        <v>36000</v>
      </c>
      <c r="M27">
        <v>0.15</v>
      </c>
    </row>
    <row r="28" spans="1:13">
      <c r="A28" t="s">
        <v>37</v>
      </c>
      <c r="B28" t="s">
        <v>676</v>
      </c>
      <c r="C28" t="s">
        <v>677</v>
      </c>
      <c r="D28" t="s">
        <v>32</v>
      </c>
      <c r="E28" t="s">
        <v>122</v>
      </c>
      <c r="F28" t="s">
        <v>123</v>
      </c>
      <c r="G28">
        <v>2050</v>
      </c>
      <c r="H28">
        <v>15.5</v>
      </c>
      <c r="I28" s="594">
        <v>5067.307604282335</v>
      </c>
      <c r="J28" s="595">
        <v>10.5285470813696</v>
      </c>
      <c r="K28">
        <v>7.9</v>
      </c>
      <c r="L28">
        <v>36000</v>
      </c>
      <c r="M28">
        <v>0.15</v>
      </c>
    </row>
    <row r="29" spans="1:13">
      <c r="A29" t="s">
        <v>37</v>
      </c>
      <c r="B29" t="s">
        <v>678</v>
      </c>
      <c r="C29" t="s">
        <v>679</v>
      </c>
      <c r="D29" t="s">
        <v>32</v>
      </c>
      <c r="E29" t="s">
        <v>122</v>
      </c>
      <c r="F29" t="s">
        <v>123</v>
      </c>
      <c r="G29">
        <v>2050</v>
      </c>
      <c r="H29">
        <v>15.5</v>
      </c>
      <c r="I29" s="594">
        <v>5959.0984377781351</v>
      </c>
      <c r="J29" s="595">
        <v>12.381456458581987</v>
      </c>
      <c r="K29">
        <v>10.6</v>
      </c>
      <c r="L29">
        <v>36000</v>
      </c>
    </row>
    <row r="30" spans="1:13">
      <c r="A30" t="s">
        <v>38</v>
      </c>
      <c r="B30" t="str">
        <f>A30</f>
        <v>*Natural Gas Furnaces   (Residential Gas-Fired Furnaces - North)</v>
      </c>
      <c r="I30" s="594"/>
      <c r="J30" s="595"/>
      <c r="K30" s="595"/>
    </row>
    <row r="31" spans="1:13">
      <c r="A31" t="s">
        <v>37</v>
      </c>
      <c r="B31" t="s">
        <v>680</v>
      </c>
      <c r="C31" t="s">
        <v>681</v>
      </c>
      <c r="D31" t="s">
        <v>32</v>
      </c>
      <c r="E31" s="12" t="s">
        <v>125</v>
      </c>
      <c r="F31" t="s">
        <v>123</v>
      </c>
      <c r="G31">
        <v>2015</v>
      </c>
      <c r="H31">
        <v>21.5</v>
      </c>
      <c r="I31" s="594">
        <v>1990.974884083646</v>
      </c>
      <c r="J31" s="595">
        <v>1.8615275603622103</v>
      </c>
      <c r="K31">
        <v>0.8</v>
      </c>
      <c r="L31">
        <v>80000</v>
      </c>
    </row>
    <row r="32" spans="1:13">
      <c r="A32" t="s">
        <v>37</v>
      </c>
      <c r="B32" t="s">
        <v>682</v>
      </c>
      <c r="C32" t="s">
        <v>683</v>
      </c>
      <c r="D32" t="s">
        <v>32</v>
      </c>
      <c r="E32" s="12" t="s">
        <v>125</v>
      </c>
      <c r="F32" t="s">
        <v>123</v>
      </c>
      <c r="G32">
        <v>2020</v>
      </c>
      <c r="H32">
        <v>21.5</v>
      </c>
      <c r="I32" s="594">
        <v>1990.974884083646</v>
      </c>
      <c r="J32" s="595">
        <v>1.8615275603622103</v>
      </c>
      <c r="K32">
        <v>0.8</v>
      </c>
      <c r="L32">
        <v>80000</v>
      </c>
    </row>
    <row r="33" spans="1:13">
      <c r="A33" t="s">
        <v>37</v>
      </c>
      <c r="B33" t="s">
        <v>684</v>
      </c>
      <c r="C33" t="s">
        <v>685</v>
      </c>
      <c r="D33" t="s">
        <v>32</v>
      </c>
      <c r="E33" s="12" t="s">
        <v>125</v>
      </c>
      <c r="F33" t="s">
        <v>123</v>
      </c>
      <c r="G33">
        <v>2022</v>
      </c>
      <c r="H33">
        <v>21.5</v>
      </c>
      <c r="I33" s="594">
        <v>2550.9365702321716</v>
      </c>
      <c r="J33" s="595">
        <v>2.3850821867140821</v>
      </c>
      <c r="K33">
        <v>0.8</v>
      </c>
      <c r="L33">
        <v>80000</v>
      </c>
    </row>
    <row r="34" spans="1:13">
      <c r="A34" t="s">
        <v>37</v>
      </c>
      <c r="B34" t="s">
        <v>686</v>
      </c>
      <c r="C34" t="s">
        <v>687</v>
      </c>
      <c r="D34" t="s">
        <v>32</v>
      </c>
      <c r="E34" s="12" t="s">
        <v>125</v>
      </c>
      <c r="F34" t="s">
        <v>123</v>
      </c>
      <c r="G34">
        <v>2022</v>
      </c>
      <c r="H34">
        <v>21.5</v>
      </c>
      <c r="I34" s="594">
        <v>2855.1132886338396</v>
      </c>
      <c r="J34" s="595">
        <v>2.6694822306583079</v>
      </c>
      <c r="K34">
        <v>0.9</v>
      </c>
      <c r="L34">
        <v>80000</v>
      </c>
    </row>
    <row r="35" spans="1:13">
      <c r="A35" t="s">
        <v>37</v>
      </c>
      <c r="B35" t="s">
        <v>688</v>
      </c>
      <c r="C35" t="s">
        <v>689</v>
      </c>
      <c r="D35" t="s">
        <v>32</v>
      </c>
      <c r="E35" s="12" t="s">
        <v>125</v>
      </c>
      <c r="F35" t="s">
        <v>123</v>
      </c>
      <c r="G35">
        <v>2022</v>
      </c>
      <c r="H35">
        <v>21.5</v>
      </c>
      <c r="I35" s="594">
        <v>2868.9395031066429</v>
      </c>
      <c r="J35" s="595">
        <v>2.6824095053830459</v>
      </c>
      <c r="K35">
        <v>0.95</v>
      </c>
      <c r="L35">
        <v>80000</v>
      </c>
    </row>
    <row r="36" spans="1:13">
      <c r="A36" t="s">
        <v>37</v>
      </c>
      <c r="B36" t="s">
        <v>690</v>
      </c>
      <c r="C36" t="s">
        <v>691</v>
      </c>
      <c r="D36" t="s">
        <v>32</v>
      </c>
      <c r="E36" s="12" t="s">
        <v>125</v>
      </c>
      <c r="F36" t="s">
        <v>123</v>
      </c>
      <c r="G36">
        <v>2022</v>
      </c>
      <c r="H36">
        <v>21.5</v>
      </c>
      <c r="I36" s="594">
        <v>2986.4623261254692</v>
      </c>
      <c r="J36" s="595">
        <v>2.7922913405433154</v>
      </c>
      <c r="K36">
        <v>0.99</v>
      </c>
      <c r="L36">
        <v>80000</v>
      </c>
    </row>
    <row r="37" spans="1:13">
      <c r="A37" t="s">
        <v>39</v>
      </c>
      <c r="B37" t="str">
        <f>A37</f>
        <v>*Natural Gas Radiant Heating (Residential Gas-Fired Boiler Radiants)</v>
      </c>
      <c r="I37" s="594"/>
      <c r="J37" s="595"/>
    </row>
    <row r="38" spans="1:13">
      <c r="A38" t="s">
        <v>37</v>
      </c>
      <c r="B38" t="s">
        <v>692</v>
      </c>
      <c r="C38" t="s">
        <v>693</v>
      </c>
      <c r="D38" t="s">
        <v>32</v>
      </c>
      <c r="E38" s="12" t="s">
        <v>125</v>
      </c>
      <c r="F38" t="s">
        <v>123</v>
      </c>
      <c r="G38">
        <v>2015</v>
      </c>
      <c r="H38">
        <v>25</v>
      </c>
      <c r="I38" s="594">
        <v>5364.5712154476023</v>
      </c>
      <c r="J38" s="595">
        <v>4.0126260745585425</v>
      </c>
      <c r="K38">
        <v>0.82</v>
      </c>
      <c r="L38">
        <v>100000</v>
      </c>
    </row>
    <row r="39" spans="1:13">
      <c r="A39" t="s">
        <v>37</v>
      </c>
      <c r="B39" t="s">
        <v>694</v>
      </c>
      <c r="C39" t="s">
        <v>695</v>
      </c>
      <c r="D39" t="s">
        <v>32</v>
      </c>
      <c r="E39" s="12" t="s">
        <v>125</v>
      </c>
      <c r="F39" t="s">
        <v>123</v>
      </c>
      <c r="G39">
        <v>2020</v>
      </c>
      <c r="H39">
        <v>25</v>
      </c>
      <c r="I39" s="594">
        <v>4106.3856984225204</v>
      </c>
      <c r="J39" s="595">
        <v>3.071520474597647</v>
      </c>
      <c r="K39">
        <v>0.95</v>
      </c>
      <c r="L39">
        <v>100000</v>
      </c>
    </row>
    <row r="40" spans="1:13">
      <c r="A40" t="s">
        <v>37</v>
      </c>
      <c r="B40" t="s">
        <v>696</v>
      </c>
      <c r="C40" t="s">
        <v>697</v>
      </c>
      <c r="D40" t="s">
        <v>32</v>
      </c>
      <c r="E40" s="12" t="s">
        <v>125</v>
      </c>
      <c r="F40" t="s">
        <v>123</v>
      </c>
      <c r="G40">
        <v>2022</v>
      </c>
      <c r="H40">
        <v>25</v>
      </c>
      <c r="I40" s="594">
        <v>6014.4032956693472</v>
      </c>
      <c r="J40" s="595">
        <v>4.4986916042086742</v>
      </c>
      <c r="K40">
        <v>0.84</v>
      </c>
      <c r="L40">
        <v>100000</v>
      </c>
    </row>
    <row r="41" spans="1:13">
      <c r="A41" t="s">
        <v>37</v>
      </c>
      <c r="B41" t="s">
        <v>698</v>
      </c>
      <c r="C41" t="s">
        <v>699</v>
      </c>
      <c r="D41" t="s">
        <v>32</v>
      </c>
      <c r="E41" s="12" t="s">
        <v>125</v>
      </c>
      <c r="F41" t="s">
        <v>123</v>
      </c>
      <c r="G41">
        <v>2022</v>
      </c>
      <c r="H41">
        <v>25</v>
      </c>
      <c r="I41" s="594">
        <v>4106.3856984225204</v>
      </c>
      <c r="J41" s="595">
        <v>3.071520474597647</v>
      </c>
      <c r="K41">
        <v>0.95</v>
      </c>
      <c r="L41">
        <v>100000</v>
      </c>
    </row>
    <row r="42" spans="1:13">
      <c r="A42" t="s">
        <v>37</v>
      </c>
      <c r="B42" t="s">
        <v>700</v>
      </c>
      <c r="C42" t="s">
        <v>701</v>
      </c>
      <c r="D42" t="s">
        <v>32</v>
      </c>
      <c r="E42" s="12" t="s">
        <v>125</v>
      </c>
      <c r="F42" t="s">
        <v>123</v>
      </c>
      <c r="G42">
        <v>2022</v>
      </c>
      <c r="H42">
        <v>25</v>
      </c>
      <c r="I42" s="594">
        <v>4631.7818483890378</v>
      </c>
      <c r="J42" s="595">
        <v>3.4645096262296691</v>
      </c>
      <c r="K42">
        <v>0.9</v>
      </c>
      <c r="L42">
        <v>100000</v>
      </c>
    </row>
    <row r="43" spans="1:13">
      <c r="A43" t="s">
        <v>37</v>
      </c>
      <c r="B43" t="s">
        <v>702</v>
      </c>
      <c r="C43" t="s">
        <v>703</v>
      </c>
      <c r="D43" t="s">
        <v>32</v>
      </c>
      <c r="E43" s="12" t="s">
        <v>125</v>
      </c>
      <c r="F43" t="s">
        <v>123</v>
      </c>
      <c r="G43">
        <v>2022</v>
      </c>
      <c r="H43">
        <v>25</v>
      </c>
      <c r="I43" s="594">
        <v>4638.6949556254394</v>
      </c>
      <c r="J43" s="595">
        <v>3.4696805361195642</v>
      </c>
      <c r="K43">
        <v>0.96</v>
      </c>
      <c r="L43">
        <v>100000</v>
      </c>
    </row>
    <row r="44" spans="1:13">
      <c r="A44" t="s">
        <v>37</v>
      </c>
      <c r="B44" t="s">
        <v>704</v>
      </c>
      <c r="C44" t="s">
        <v>705</v>
      </c>
      <c r="D44" t="s">
        <v>32</v>
      </c>
      <c r="E44" s="12" t="s">
        <v>125</v>
      </c>
      <c r="F44" t="s">
        <v>123</v>
      </c>
      <c r="G44">
        <v>2030</v>
      </c>
      <c r="H44">
        <v>25</v>
      </c>
      <c r="I44" s="594">
        <v>4106.3856984225204</v>
      </c>
      <c r="J44" s="595">
        <v>3.071520474597647</v>
      </c>
      <c r="K44">
        <v>0.95</v>
      </c>
      <c r="L44">
        <v>100000</v>
      </c>
      <c r="M44">
        <v>0.16</v>
      </c>
    </row>
    <row r="45" spans="1:13">
      <c r="A45" t="s">
        <v>37</v>
      </c>
      <c r="B45" t="s">
        <v>706</v>
      </c>
      <c r="C45" t="s">
        <v>707</v>
      </c>
      <c r="D45" t="s">
        <v>32</v>
      </c>
      <c r="E45" s="12" t="s">
        <v>125</v>
      </c>
      <c r="F45" t="s">
        <v>123</v>
      </c>
      <c r="G45">
        <v>2030</v>
      </c>
      <c r="H45">
        <v>25</v>
      </c>
      <c r="I45" s="594">
        <v>4638.6949556254394</v>
      </c>
      <c r="J45" s="595">
        <v>3.4696805361195642</v>
      </c>
      <c r="K45">
        <v>0.96</v>
      </c>
      <c r="L45">
        <v>100000</v>
      </c>
      <c r="M45">
        <v>0.16</v>
      </c>
    </row>
    <row r="46" spans="1:13">
      <c r="A46" t="s">
        <v>40</v>
      </c>
      <c r="B46" t="str">
        <f>A46</f>
        <v>*Dfuel Oil (DSL) Radiant Space Heating</v>
      </c>
      <c r="J46" s="595"/>
      <c r="K46" s="595"/>
    </row>
    <row r="47" spans="1:13">
      <c r="A47" t="s">
        <v>37</v>
      </c>
      <c r="B47" t="s">
        <v>708</v>
      </c>
      <c r="C47" t="s">
        <v>709</v>
      </c>
      <c r="D47" t="s">
        <v>32</v>
      </c>
      <c r="E47" s="12" t="s">
        <v>126</v>
      </c>
      <c r="F47" t="s">
        <v>123</v>
      </c>
      <c r="G47">
        <v>2015</v>
      </c>
      <c r="H47">
        <v>23</v>
      </c>
      <c r="I47" s="594">
        <v>6774.8450916735183</v>
      </c>
      <c r="J47" s="595">
        <v>3.6196369229265204</v>
      </c>
      <c r="K47">
        <v>0.84</v>
      </c>
      <c r="L47">
        <v>140000</v>
      </c>
      <c r="M47">
        <v>0.16</v>
      </c>
    </row>
    <row r="48" spans="1:13">
      <c r="A48" t="s">
        <v>37</v>
      </c>
      <c r="B48" t="s">
        <v>710</v>
      </c>
      <c r="C48" t="s">
        <v>711</v>
      </c>
      <c r="D48" t="s">
        <v>32</v>
      </c>
      <c r="E48" s="12" t="s">
        <v>126</v>
      </c>
      <c r="F48" t="s">
        <v>123</v>
      </c>
      <c r="G48">
        <v>2020</v>
      </c>
      <c r="H48">
        <v>23</v>
      </c>
      <c r="I48" s="594">
        <v>3809.1220872572535</v>
      </c>
      <c r="J48" s="595">
        <v>2.0351223923801149</v>
      </c>
      <c r="K48">
        <v>0.86</v>
      </c>
      <c r="L48">
        <v>140000</v>
      </c>
      <c r="M48">
        <v>0.16</v>
      </c>
    </row>
    <row r="49" spans="1:13">
      <c r="A49" t="s">
        <v>37</v>
      </c>
      <c r="B49" t="s">
        <v>712</v>
      </c>
      <c r="C49" t="s">
        <v>713</v>
      </c>
      <c r="D49" t="s">
        <v>32</v>
      </c>
      <c r="E49" s="12" t="s">
        <v>126</v>
      </c>
      <c r="F49" t="s">
        <v>123</v>
      </c>
      <c r="G49">
        <v>2022</v>
      </c>
      <c r="H49">
        <v>23</v>
      </c>
      <c r="I49" s="594">
        <v>3809.1220872572535</v>
      </c>
      <c r="J49" s="595">
        <v>2.0351223923801149</v>
      </c>
      <c r="K49">
        <v>0.86</v>
      </c>
      <c r="L49">
        <v>140000</v>
      </c>
      <c r="M49">
        <v>0.16</v>
      </c>
    </row>
    <row r="50" spans="1:13">
      <c r="A50" t="s">
        <v>37</v>
      </c>
      <c r="B50" t="s">
        <v>714</v>
      </c>
      <c r="C50" t="s">
        <v>715</v>
      </c>
      <c r="D50" t="s">
        <v>32</v>
      </c>
      <c r="E50" s="12" t="s">
        <v>126</v>
      </c>
      <c r="F50" t="s">
        <v>123</v>
      </c>
      <c r="G50">
        <v>2022</v>
      </c>
      <c r="H50">
        <v>23</v>
      </c>
      <c r="I50" s="594">
        <v>3809.1220872572535</v>
      </c>
      <c r="J50" s="595">
        <v>2.0351223923801149</v>
      </c>
      <c r="K50">
        <v>0.86</v>
      </c>
      <c r="L50">
        <v>140000</v>
      </c>
      <c r="M50">
        <v>0.16</v>
      </c>
    </row>
    <row r="51" spans="1:13">
      <c r="A51" t="s">
        <v>37</v>
      </c>
      <c r="B51" t="s">
        <v>716</v>
      </c>
      <c r="C51" t="s">
        <v>717</v>
      </c>
      <c r="D51" t="s">
        <v>32</v>
      </c>
      <c r="E51" s="12" t="s">
        <v>126</v>
      </c>
      <c r="F51" t="s">
        <v>123</v>
      </c>
      <c r="G51">
        <v>2022</v>
      </c>
      <c r="H51">
        <v>23</v>
      </c>
      <c r="I51" s="594">
        <v>3871.3400523848672</v>
      </c>
      <c r="J51" s="595">
        <v>2.0683639559580111</v>
      </c>
      <c r="K51">
        <v>0.87</v>
      </c>
      <c r="L51">
        <v>140000</v>
      </c>
      <c r="M51">
        <v>0.16</v>
      </c>
    </row>
    <row r="52" spans="1:13">
      <c r="A52" t="s">
        <v>37</v>
      </c>
      <c r="B52" t="s">
        <v>718</v>
      </c>
      <c r="C52" t="s">
        <v>719</v>
      </c>
      <c r="D52" t="s">
        <v>32</v>
      </c>
      <c r="E52" s="12" t="s">
        <v>126</v>
      </c>
      <c r="F52" t="s">
        <v>123</v>
      </c>
      <c r="G52">
        <v>2022</v>
      </c>
      <c r="H52">
        <v>23</v>
      </c>
      <c r="I52" s="594">
        <v>3933.5580175124815</v>
      </c>
      <c r="J52" s="595">
        <v>2.1016055195359078</v>
      </c>
      <c r="K52">
        <v>0.88</v>
      </c>
      <c r="L52">
        <v>140000</v>
      </c>
      <c r="M52">
        <v>0.16</v>
      </c>
    </row>
    <row r="53" spans="1:13">
      <c r="A53" t="s">
        <v>37</v>
      </c>
      <c r="B53" t="s">
        <v>720</v>
      </c>
      <c r="C53" t="s">
        <v>721</v>
      </c>
      <c r="D53" t="s">
        <v>32</v>
      </c>
      <c r="E53" s="12" t="s">
        <v>126</v>
      </c>
      <c r="F53" t="s">
        <v>123</v>
      </c>
      <c r="G53">
        <v>2030</v>
      </c>
      <c r="H53">
        <v>23</v>
      </c>
      <c r="I53" s="594">
        <v>3809.1220872572535</v>
      </c>
      <c r="J53" s="595">
        <v>2.0351223923801149</v>
      </c>
      <c r="K53">
        <v>0.86</v>
      </c>
      <c r="L53">
        <v>140000</v>
      </c>
      <c r="M53">
        <v>0.16</v>
      </c>
    </row>
    <row r="54" spans="1:13">
      <c r="A54" t="s">
        <v>37</v>
      </c>
      <c r="B54" t="s">
        <v>722</v>
      </c>
      <c r="C54" t="s">
        <v>723</v>
      </c>
      <c r="D54" t="s">
        <v>32</v>
      </c>
      <c r="E54" s="12" t="s">
        <v>126</v>
      </c>
      <c r="F54" t="s">
        <v>123</v>
      </c>
      <c r="G54">
        <v>2030</v>
      </c>
      <c r="H54">
        <v>23</v>
      </c>
      <c r="I54" s="594">
        <v>3933.5580175124815</v>
      </c>
      <c r="J54" s="595">
        <v>2.1016055195359078</v>
      </c>
      <c r="K54">
        <v>0.88</v>
      </c>
      <c r="L54">
        <v>140000</v>
      </c>
      <c r="M54">
        <v>0.16</v>
      </c>
    </row>
    <row r="55" spans="1:13">
      <c r="A55" t="s">
        <v>41</v>
      </c>
      <c r="B55" t="str">
        <f>A55</f>
        <v>*Fuel Oil (DSL) Furnaces</v>
      </c>
      <c r="J55" s="595"/>
      <c r="K55" s="595"/>
    </row>
    <row r="56" spans="1:13">
      <c r="A56" t="s">
        <v>37</v>
      </c>
      <c r="B56" t="s">
        <v>724</v>
      </c>
      <c r="C56" t="s">
        <v>725</v>
      </c>
      <c r="D56" t="s">
        <v>32</v>
      </c>
      <c r="E56" s="12" t="s">
        <v>126</v>
      </c>
      <c r="F56" t="s">
        <v>123</v>
      </c>
      <c r="G56">
        <v>2015</v>
      </c>
      <c r="H56">
        <v>26.5</v>
      </c>
      <c r="I56" s="594">
        <v>3377.0528849821567</v>
      </c>
      <c r="J56" s="595">
        <v>2.4057042678225917</v>
      </c>
      <c r="K56">
        <v>0.83</v>
      </c>
      <c r="L56">
        <v>105000</v>
      </c>
      <c r="M56">
        <v>0.16</v>
      </c>
    </row>
    <row r="57" spans="1:13">
      <c r="A57" t="s">
        <v>37</v>
      </c>
      <c r="B57" t="s">
        <v>726</v>
      </c>
      <c r="C57" t="s">
        <v>727</v>
      </c>
      <c r="D57" t="s">
        <v>32</v>
      </c>
      <c r="E57" s="12" t="s">
        <v>126</v>
      </c>
      <c r="F57" t="s">
        <v>123</v>
      </c>
      <c r="G57">
        <v>2020</v>
      </c>
      <c r="H57">
        <v>26.5</v>
      </c>
      <c r="I57" s="594">
        <v>3377.0528849821567</v>
      </c>
      <c r="J57" s="595">
        <v>2.4057042678225917</v>
      </c>
      <c r="K57">
        <v>0.83</v>
      </c>
      <c r="L57">
        <v>105000</v>
      </c>
      <c r="M57">
        <v>0.16</v>
      </c>
    </row>
    <row r="58" spans="1:13">
      <c r="A58" t="s">
        <v>37</v>
      </c>
      <c r="B58" t="s">
        <v>728</v>
      </c>
      <c r="C58" t="s">
        <v>729</v>
      </c>
      <c r="D58" t="s">
        <v>32</v>
      </c>
      <c r="E58" s="12" t="s">
        <v>126</v>
      </c>
      <c r="F58" t="s">
        <v>123</v>
      </c>
      <c r="G58">
        <v>2022</v>
      </c>
      <c r="H58">
        <v>26.5</v>
      </c>
      <c r="I58" s="594">
        <v>3377.0528849821567</v>
      </c>
      <c r="J58" s="595">
        <v>2.4057042678225917</v>
      </c>
      <c r="K58">
        <v>0.83</v>
      </c>
      <c r="L58">
        <v>105000</v>
      </c>
      <c r="M58">
        <v>0.16</v>
      </c>
    </row>
    <row r="59" spans="1:13">
      <c r="A59" t="s">
        <v>37</v>
      </c>
      <c r="B59" t="s">
        <v>730</v>
      </c>
      <c r="C59" t="s">
        <v>731</v>
      </c>
      <c r="D59" t="s">
        <v>32</v>
      </c>
      <c r="E59" s="12" t="s">
        <v>126</v>
      </c>
      <c r="F59" t="s">
        <v>123</v>
      </c>
      <c r="G59">
        <v>2022</v>
      </c>
      <c r="H59">
        <v>26.5</v>
      </c>
      <c r="I59" s="594">
        <v>3560.2502267467976</v>
      </c>
      <c r="J59" s="595">
        <v>2.5362081840913713</v>
      </c>
      <c r="K59">
        <v>0.85</v>
      </c>
      <c r="L59">
        <v>105000</v>
      </c>
      <c r="M59">
        <v>0.16</v>
      </c>
    </row>
    <row r="60" spans="1:13">
      <c r="A60" t="s">
        <v>37</v>
      </c>
      <c r="B60" t="s">
        <v>732</v>
      </c>
      <c r="C60" t="s">
        <v>733</v>
      </c>
      <c r="D60" t="s">
        <v>32</v>
      </c>
      <c r="E60" s="12" t="s">
        <v>126</v>
      </c>
      <c r="F60" t="s">
        <v>123</v>
      </c>
      <c r="G60">
        <v>2022</v>
      </c>
      <c r="H60">
        <v>26.5</v>
      </c>
      <c r="I60" s="594">
        <v>3560.2502267467976</v>
      </c>
      <c r="J60" s="595">
        <v>2.5362081840913713</v>
      </c>
      <c r="K60">
        <v>0.85</v>
      </c>
      <c r="L60">
        <v>105000</v>
      </c>
      <c r="M60">
        <v>0.16</v>
      </c>
    </row>
    <row r="61" spans="1:13">
      <c r="A61" t="s">
        <v>37</v>
      </c>
      <c r="B61" t="s">
        <v>734</v>
      </c>
      <c r="C61" t="s">
        <v>735</v>
      </c>
      <c r="D61" t="s">
        <v>32</v>
      </c>
      <c r="E61" s="12" t="s">
        <v>126</v>
      </c>
      <c r="F61" t="s">
        <v>123</v>
      </c>
      <c r="G61">
        <v>2022</v>
      </c>
      <c r="H61">
        <v>26.5</v>
      </c>
      <c r="I61" s="594">
        <v>5271.2442677561812</v>
      </c>
      <c r="J61" s="595">
        <v>3.755065515280914</v>
      </c>
      <c r="K61">
        <v>0.97</v>
      </c>
      <c r="L61">
        <v>105000</v>
      </c>
      <c r="M61">
        <v>0.16</v>
      </c>
    </row>
    <row r="62" spans="1:13">
      <c r="A62" t="s">
        <v>37</v>
      </c>
      <c r="B62" t="s">
        <v>736</v>
      </c>
      <c r="C62" t="s">
        <v>737</v>
      </c>
      <c r="D62" t="s">
        <v>32</v>
      </c>
      <c r="E62" s="12" t="s">
        <v>126</v>
      </c>
      <c r="F62" t="s">
        <v>123</v>
      </c>
      <c r="G62">
        <v>2030</v>
      </c>
      <c r="H62">
        <v>26.5</v>
      </c>
      <c r="I62" s="594">
        <v>3560.2502267467976</v>
      </c>
      <c r="J62" s="595">
        <v>2.5362081840913713</v>
      </c>
      <c r="K62">
        <v>0.85</v>
      </c>
      <c r="L62">
        <v>105000</v>
      </c>
      <c r="M62">
        <v>0.16</v>
      </c>
    </row>
    <row r="63" spans="1:13">
      <c r="A63" t="s">
        <v>37</v>
      </c>
      <c r="B63" t="s">
        <v>738</v>
      </c>
      <c r="C63" t="s">
        <v>739</v>
      </c>
      <c r="D63" t="s">
        <v>32</v>
      </c>
      <c r="E63" s="12" t="s">
        <v>126</v>
      </c>
      <c r="F63" t="s">
        <v>123</v>
      </c>
      <c r="G63">
        <v>2030</v>
      </c>
      <c r="H63">
        <v>26.5</v>
      </c>
      <c r="I63" s="594">
        <v>5271.2442677561812</v>
      </c>
      <c r="J63" s="595">
        <v>3.755065515280914</v>
      </c>
      <c r="K63">
        <v>0.97</v>
      </c>
      <c r="L63">
        <v>105000</v>
      </c>
      <c r="M63">
        <v>0.16</v>
      </c>
    </row>
    <row r="64" spans="1:13">
      <c r="A64" t="s">
        <v>42</v>
      </c>
      <c r="B64" t="str">
        <f>A64</f>
        <v>*Geothermal Heat Pumps</v>
      </c>
      <c r="J64" s="595"/>
      <c r="K64" s="595"/>
    </row>
    <row r="65" spans="1:12">
      <c r="A65" t="s">
        <v>37</v>
      </c>
      <c r="B65" t="s">
        <v>740</v>
      </c>
      <c r="C65" t="s">
        <v>741</v>
      </c>
      <c r="D65" t="s">
        <v>32</v>
      </c>
      <c r="E65" t="s">
        <v>122</v>
      </c>
      <c r="F65" t="s">
        <v>123</v>
      </c>
      <c r="G65">
        <v>2015</v>
      </c>
      <c r="H65">
        <v>14.5</v>
      </c>
      <c r="I65" s="594">
        <v>12564.572402159814</v>
      </c>
      <c r="J65" s="595">
        <v>26.105913124678374</v>
      </c>
      <c r="K65">
        <v>3.1</v>
      </c>
      <c r="L65">
        <v>36000</v>
      </c>
    </row>
    <row r="66" spans="1:12">
      <c r="A66" t="s">
        <v>37</v>
      </c>
      <c r="B66" t="s">
        <v>742</v>
      </c>
      <c r="C66" t="s">
        <v>743</v>
      </c>
      <c r="D66" t="s">
        <v>32</v>
      </c>
      <c r="E66" t="s">
        <v>122</v>
      </c>
      <c r="F66" t="s">
        <v>123</v>
      </c>
      <c r="G66">
        <v>2020</v>
      </c>
      <c r="H66">
        <v>14.5</v>
      </c>
      <c r="I66" s="594">
        <v>13134.903749162942</v>
      </c>
      <c r="J66" s="595">
        <v>27.290913307779309</v>
      </c>
      <c r="K66">
        <v>3.7</v>
      </c>
      <c r="L66">
        <v>36000</v>
      </c>
    </row>
    <row r="67" spans="1:12">
      <c r="A67" t="s">
        <v>37</v>
      </c>
      <c r="B67" t="s">
        <v>744</v>
      </c>
      <c r="C67" t="s">
        <v>745</v>
      </c>
      <c r="D67" t="s">
        <v>32</v>
      </c>
      <c r="E67" t="s">
        <v>122</v>
      </c>
      <c r="F67" t="s">
        <v>123</v>
      </c>
      <c r="G67">
        <v>2022</v>
      </c>
      <c r="H67">
        <v>14.5</v>
      </c>
      <c r="I67" s="594">
        <v>12685.551778796842</v>
      </c>
      <c r="J67" s="595">
        <v>26.35727679988161</v>
      </c>
      <c r="K67">
        <v>3.2</v>
      </c>
      <c r="L67">
        <v>36000</v>
      </c>
    </row>
    <row r="68" spans="1:12">
      <c r="A68" t="s">
        <v>37</v>
      </c>
      <c r="B68" t="s">
        <v>746</v>
      </c>
      <c r="C68" t="s">
        <v>747</v>
      </c>
      <c r="D68" t="s">
        <v>32</v>
      </c>
      <c r="E68" t="s">
        <v>122</v>
      </c>
      <c r="F68" t="s">
        <v>123</v>
      </c>
      <c r="G68">
        <v>2022</v>
      </c>
      <c r="H68">
        <v>14.5</v>
      </c>
      <c r="I68" s="594">
        <v>13134.903749162942</v>
      </c>
      <c r="J68" s="595">
        <v>27.290913307779309</v>
      </c>
      <c r="K68">
        <v>3.6</v>
      </c>
      <c r="L68">
        <v>36000</v>
      </c>
    </row>
    <row r="69" spans="1:12">
      <c r="A69" t="s">
        <v>432</v>
      </c>
      <c r="B69" t="s">
        <v>748</v>
      </c>
      <c r="C69" t="s">
        <v>749</v>
      </c>
      <c r="D69" t="s">
        <v>32</v>
      </c>
      <c r="E69" t="s">
        <v>122</v>
      </c>
      <c r="F69" t="s">
        <v>123</v>
      </c>
      <c r="G69">
        <v>2022</v>
      </c>
      <c r="H69">
        <v>14.5</v>
      </c>
      <c r="I69" s="594">
        <v>13134.903749162942</v>
      </c>
      <c r="J69" s="595">
        <v>27.290913307779309</v>
      </c>
      <c r="K69">
        <v>3.6</v>
      </c>
      <c r="L69">
        <v>36000</v>
      </c>
    </row>
    <row r="70" spans="1:12">
      <c r="A70" t="s">
        <v>37</v>
      </c>
      <c r="B70" t="s">
        <v>750</v>
      </c>
      <c r="C70" t="s">
        <v>751</v>
      </c>
      <c r="D70" t="s">
        <v>32</v>
      </c>
      <c r="E70" t="s">
        <v>122</v>
      </c>
      <c r="F70" t="s">
        <v>123</v>
      </c>
      <c r="G70">
        <v>2022</v>
      </c>
      <c r="H70">
        <v>14.5</v>
      </c>
      <c r="I70" s="594">
        <v>13864.236562603306</v>
      </c>
      <c r="J70" s="595">
        <v>28.80627717829022</v>
      </c>
      <c r="K70">
        <v>4.5</v>
      </c>
      <c r="L70">
        <v>36000</v>
      </c>
    </row>
    <row r="71" spans="1:12">
      <c r="A71" t="s">
        <v>37</v>
      </c>
      <c r="B71" t="s">
        <v>752</v>
      </c>
      <c r="C71" t="s">
        <v>753</v>
      </c>
      <c r="D71" t="s">
        <v>32</v>
      </c>
      <c r="E71" t="s">
        <v>122</v>
      </c>
      <c r="F71" t="s">
        <v>123</v>
      </c>
      <c r="G71">
        <v>2030</v>
      </c>
      <c r="H71">
        <v>14.5</v>
      </c>
      <c r="I71" s="594">
        <v>13134.903749162942</v>
      </c>
      <c r="J71" s="595">
        <v>27.290913307779309</v>
      </c>
      <c r="K71">
        <v>3.7</v>
      </c>
      <c r="L71">
        <v>36000</v>
      </c>
    </row>
    <row r="72" spans="1:12">
      <c r="A72" t="s">
        <v>37</v>
      </c>
      <c r="B72" t="s">
        <v>754</v>
      </c>
      <c r="C72" t="s">
        <v>755</v>
      </c>
      <c r="D72" t="s">
        <v>32</v>
      </c>
      <c r="E72" t="s">
        <v>122</v>
      </c>
      <c r="F72" t="s">
        <v>123</v>
      </c>
      <c r="G72">
        <v>2030</v>
      </c>
      <c r="H72">
        <v>14.5</v>
      </c>
      <c r="I72" s="594">
        <v>13864.236562603306</v>
      </c>
      <c r="J72" s="595">
        <v>28.80627717829022</v>
      </c>
      <c r="K72">
        <v>4.5</v>
      </c>
      <c r="L72">
        <v>36000</v>
      </c>
    </row>
    <row r="73" spans="1:12">
      <c r="A73" t="s">
        <v>43</v>
      </c>
      <c r="B73" t="str">
        <f>A73</f>
        <v>*Natural Gas Heat Pumps (Residential Natural Gas Heat Pumps)</v>
      </c>
      <c r="J73" s="595"/>
      <c r="K73" s="595"/>
    </row>
    <row r="74" spans="1:12">
      <c r="A74" t="s">
        <v>37</v>
      </c>
      <c r="B74" t="s">
        <v>756</v>
      </c>
      <c r="C74" t="s">
        <v>757</v>
      </c>
      <c r="D74" t="s">
        <v>32</v>
      </c>
      <c r="E74" s="12" t="s">
        <v>125</v>
      </c>
      <c r="F74" t="s">
        <v>123</v>
      </c>
      <c r="G74">
        <v>2009</v>
      </c>
      <c r="H74">
        <v>15</v>
      </c>
      <c r="I74" s="594">
        <v>11057.515024624277</v>
      </c>
      <c r="J74" s="595">
        <v>13.784783948145165</v>
      </c>
      <c r="K74">
        <v>1.3000000000000001E-2</v>
      </c>
      <c r="L74">
        <v>60000</v>
      </c>
    </row>
    <row r="75" spans="1:12">
      <c r="A75" t="s">
        <v>37</v>
      </c>
      <c r="B75" t="s">
        <v>758</v>
      </c>
      <c r="C75" t="s">
        <v>759</v>
      </c>
      <c r="D75" t="s">
        <v>32</v>
      </c>
      <c r="E75" s="12" t="s">
        <v>125</v>
      </c>
      <c r="F75" t="s">
        <v>123</v>
      </c>
      <c r="G75">
        <v>2020</v>
      </c>
      <c r="H75">
        <v>15</v>
      </c>
      <c r="I75" s="594">
        <v>11057.515024624277</v>
      </c>
      <c r="J75" s="595">
        <v>13.784783948145165</v>
      </c>
      <c r="K75">
        <v>1.3000000000000001E-2</v>
      </c>
      <c r="L75">
        <v>60000</v>
      </c>
    </row>
    <row r="76" spans="1:12">
      <c r="A76" t="s">
        <v>37</v>
      </c>
      <c r="B76" t="s">
        <v>760</v>
      </c>
      <c r="C76" t="s">
        <v>761</v>
      </c>
      <c r="D76" t="s">
        <v>32</v>
      </c>
      <c r="E76" s="12" t="s">
        <v>125</v>
      </c>
      <c r="F76" t="s">
        <v>123</v>
      </c>
      <c r="G76">
        <v>2022</v>
      </c>
      <c r="H76">
        <v>15</v>
      </c>
      <c r="I76" s="594">
        <v>11057.515024624277</v>
      </c>
      <c r="J76" s="595">
        <v>13.784783948145165</v>
      </c>
      <c r="K76">
        <v>1.3000000000000001E-2</v>
      </c>
      <c r="L76">
        <v>60000</v>
      </c>
    </row>
    <row r="77" spans="1:12">
      <c r="A77" t="s">
        <v>37</v>
      </c>
      <c r="B77" t="s">
        <v>762</v>
      </c>
      <c r="C77" t="s">
        <v>763</v>
      </c>
      <c r="D77" t="s">
        <v>32</v>
      </c>
      <c r="E77" s="12" t="s">
        <v>125</v>
      </c>
      <c r="F77" t="s">
        <v>123</v>
      </c>
      <c r="G77">
        <v>2030</v>
      </c>
      <c r="H77">
        <v>15</v>
      </c>
      <c r="I77" s="594">
        <v>11057.515024624277</v>
      </c>
      <c r="J77" s="595">
        <v>13.784783948145165</v>
      </c>
      <c r="K77">
        <v>1.3000000000000001E-2</v>
      </c>
      <c r="L77">
        <v>60000</v>
      </c>
    </row>
    <row r="78" spans="1:12">
      <c r="A78" t="s">
        <v>37</v>
      </c>
      <c r="B78" t="s">
        <v>764</v>
      </c>
      <c r="C78" t="s">
        <v>765</v>
      </c>
      <c r="D78" t="s">
        <v>32</v>
      </c>
      <c r="E78" s="12" t="s">
        <v>125</v>
      </c>
      <c r="F78" t="s">
        <v>123</v>
      </c>
      <c r="G78">
        <v>2040</v>
      </c>
      <c r="H78">
        <v>15</v>
      </c>
      <c r="I78" s="594">
        <v>11057.515024624277</v>
      </c>
      <c r="J78" s="595">
        <v>13.784783948145165</v>
      </c>
      <c r="K78">
        <v>1.3000000000000001E-2</v>
      </c>
      <c r="L78">
        <v>60000</v>
      </c>
    </row>
    <row r="79" spans="1:12">
      <c r="A79" t="s">
        <v>37</v>
      </c>
      <c r="B79" t="s">
        <v>766</v>
      </c>
      <c r="C79" t="s">
        <v>767</v>
      </c>
      <c r="D79" t="s">
        <v>32</v>
      </c>
      <c r="E79" s="12" t="s">
        <v>125</v>
      </c>
      <c r="F79" t="s">
        <v>123</v>
      </c>
      <c r="G79">
        <v>2050</v>
      </c>
      <c r="H79">
        <v>15</v>
      </c>
      <c r="I79" s="594">
        <v>11057.515024624277</v>
      </c>
      <c r="J79" s="595">
        <v>13.784783948145165</v>
      </c>
      <c r="K79">
        <v>1.3000000000000001E-2</v>
      </c>
      <c r="L79">
        <v>60000</v>
      </c>
    </row>
    <row r="80" spans="1:12">
      <c r="A80" t="s">
        <v>44</v>
      </c>
      <c r="B80" t="str">
        <f>A80</f>
        <v>*Space Cooling</v>
      </c>
      <c r="J80" s="595"/>
      <c r="K80" s="595"/>
    </row>
    <row r="81" spans="1:13">
      <c r="A81" t="s">
        <v>45</v>
      </c>
      <c r="B81" t="str">
        <f>A81</f>
        <v>*Room/Window AC (EIA EQ: Residential Room Air Conditioners)</v>
      </c>
      <c r="J81" s="595"/>
      <c r="K81" s="595"/>
    </row>
    <row r="82" spans="1:13">
      <c r="A82" t="s">
        <v>37</v>
      </c>
      <c r="B82" t="s">
        <v>768</v>
      </c>
      <c r="C82" t="s">
        <v>769</v>
      </c>
      <c r="D82" t="s">
        <v>32</v>
      </c>
      <c r="E82" t="s">
        <v>122</v>
      </c>
      <c r="F82" t="s">
        <v>123</v>
      </c>
      <c r="G82">
        <v>2015</v>
      </c>
      <c r="H82">
        <v>9.5</v>
      </c>
      <c r="I82" s="594">
        <v>508.11338187551382</v>
      </c>
      <c r="J82" s="595">
        <v>3.8006187690728455</v>
      </c>
      <c r="K82">
        <v>10.9</v>
      </c>
      <c r="L82">
        <v>10000</v>
      </c>
    </row>
    <row r="83" spans="1:13">
      <c r="A83" t="s">
        <v>37</v>
      </c>
      <c r="B83" t="s">
        <v>770</v>
      </c>
      <c r="C83" t="s">
        <v>771</v>
      </c>
      <c r="D83" t="s">
        <v>32</v>
      </c>
      <c r="E83" t="s">
        <v>122</v>
      </c>
      <c r="F83" t="s">
        <v>123</v>
      </c>
      <c r="G83">
        <v>2020</v>
      </c>
      <c r="H83">
        <v>9.5</v>
      </c>
      <c r="I83" s="594">
        <v>387.13400523848674</v>
      </c>
      <c r="J83" s="595">
        <v>2.8957095383412157</v>
      </c>
      <c r="K83">
        <v>10.9</v>
      </c>
      <c r="L83">
        <v>10000</v>
      </c>
    </row>
    <row r="84" spans="1:13">
      <c r="A84" t="s">
        <v>37</v>
      </c>
      <c r="B84" t="s">
        <v>772</v>
      </c>
      <c r="C84" t="s">
        <v>773</v>
      </c>
      <c r="D84" t="s">
        <v>32</v>
      </c>
      <c r="E84" t="s">
        <v>122</v>
      </c>
      <c r="F84" t="s">
        <v>123</v>
      </c>
      <c r="G84">
        <v>2022</v>
      </c>
      <c r="H84">
        <v>9.5</v>
      </c>
      <c r="I84" s="594">
        <v>387.13400523848674</v>
      </c>
      <c r="J84" s="595">
        <v>2.8957095383412157</v>
      </c>
      <c r="K84">
        <v>10.9</v>
      </c>
      <c r="L84">
        <v>10000</v>
      </c>
    </row>
    <row r="85" spans="1:13">
      <c r="A85" t="s">
        <v>37</v>
      </c>
      <c r="B85" t="s">
        <v>774</v>
      </c>
      <c r="C85" t="s">
        <v>775</v>
      </c>
      <c r="D85" t="s">
        <v>32</v>
      </c>
      <c r="E85" t="s">
        <v>122</v>
      </c>
      <c r="F85" t="s">
        <v>123</v>
      </c>
      <c r="G85">
        <v>2022</v>
      </c>
      <c r="H85">
        <v>9.5</v>
      </c>
      <c r="I85" s="594">
        <v>390.59055885668749</v>
      </c>
      <c r="J85" s="595">
        <v>2.9215640877906912</v>
      </c>
      <c r="K85">
        <v>12</v>
      </c>
      <c r="L85">
        <v>10000</v>
      </c>
    </row>
    <row r="86" spans="1:13">
      <c r="A86" t="s">
        <v>432</v>
      </c>
      <c r="B86" t="s">
        <v>776</v>
      </c>
      <c r="C86" t="s">
        <v>777</v>
      </c>
      <c r="D86" t="s">
        <v>32</v>
      </c>
      <c r="E86" t="s">
        <v>122</v>
      </c>
      <c r="F86" t="s">
        <v>123</v>
      </c>
      <c r="G86">
        <v>2022</v>
      </c>
      <c r="H86">
        <v>9.5</v>
      </c>
      <c r="I86" s="594">
        <v>390.59055885668749</v>
      </c>
      <c r="J86" s="595">
        <v>2.9215640877906912</v>
      </c>
      <c r="K86">
        <v>12</v>
      </c>
      <c r="L86">
        <v>10000</v>
      </c>
    </row>
    <row r="87" spans="1:13">
      <c r="A87" t="s">
        <v>37</v>
      </c>
      <c r="B87" t="s">
        <v>778</v>
      </c>
      <c r="C87" t="s">
        <v>779</v>
      </c>
      <c r="D87" t="s">
        <v>32</v>
      </c>
      <c r="E87" t="s">
        <v>122</v>
      </c>
      <c r="F87" t="s">
        <v>123</v>
      </c>
      <c r="G87">
        <v>2022</v>
      </c>
      <c r="H87">
        <v>9.5</v>
      </c>
      <c r="I87" s="594">
        <v>466.63473845710456</v>
      </c>
      <c r="J87" s="595">
        <v>3.4903641756791441</v>
      </c>
      <c r="K87">
        <v>15.7</v>
      </c>
      <c r="L87">
        <v>10000</v>
      </c>
    </row>
    <row r="88" spans="1:13">
      <c r="A88" t="s">
        <v>46</v>
      </c>
      <c r="B88" t="str">
        <f>A88</f>
        <v>*Central AC Units (EIA EQ: Residential Central Air Conditioners (North (Not Hot-Dry or Hot-Humid)))</v>
      </c>
      <c r="J88" s="595"/>
      <c r="K88" s="595"/>
    </row>
    <row r="89" spans="1:13">
      <c r="A89" t="s">
        <v>37</v>
      </c>
      <c r="B89" t="s">
        <v>780</v>
      </c>
      <c r="C89" s="12" t="s">
        <v>781</v>
      </c>
      <c r="D89" t="s">
        <v>32</v>
      </c>
      <c r="E89" t="s">
        <v>122</v>
      </c>
      <c r="F89" t="s">
        <v>123</v>
      </c>
      <c r="G89">
        <v>2015</v>
      </c>
      <c r="H89">
        <v>18</v>
      </c>
      <c r="I89" s="594">
        <v>2765.2428945606193</v>
      </c>
      <c r="J89" s="595">
        <v>5.7454554332166978</v>
      </c>
      <c r="K89">
        <v>12.5</v>
      </c>
      <c r="L89">
        <v>36000</v>
      </c>
      <c r="M89">
        <v>0.15</v>
      </c>
    </row>
    <row r="90" spans="1:13">
      <c r="A90" t="s">
        <v>37</v>
      </c>
      <c r="B90" t="s">
        <v>782</v>
      </c>
      <c r="C90" t="s">
        <v>783</v>
      </c>
      <c r="D90" t="s">
        <v>32</v>
      </c>
      <c r="E90" t="s">
        <v>122</v>
      </c>
      <c r="F90" t="s">
        <v>123</v>
      </c>
      <c r="G90">
        <v>2020</v>
      </c>
      <c r="H90">
        <v>18</v>
      </c>
      <c r="I90" s="594">
        <v>2972.6361116526659</v>
      </c>
      <c r="J90" s="595">
        <v>6.1763645907079505</v>
      </c>
      <c r="K90">
        <v>13.9</v>
      </c>
      <c r="L90">
        <v>36000</v>
      </c>
      <c r="M90">
        <v>0.15</v>
      </c>
    </row>
    <row r="91" spans="1:13">
      <c r="A91" t="s">
        <v>37</v>
      </c>
      <c r="B91" t="s">
        <v>784</v>
      </c>
      <c r="C91" t="s">
        <v>785</v>
      </c>
      <c r="D91" t="s">
        <v>32</v>
      </c>
      <c r="E91" t="s">
        <v>122</v>
      </c>
      <c r="F91" t="s">
        <v>123</v>
      </c>
      <c r="G91">
        <v>2022</v>
      </c>
      <c r="H91">
        <v>18</v>
      </c>
      <c r="I91" s="594">
        <v>3629.381299110813</v>
      </c>
      <c r="J91" s="595">
        <v>7.5409102560969155</v>
      </c>
      <c r="K91">
        <v>13</v>
      </c>
      <c r="L91">
        <v>36000</v>
      </c>
      <c r="M91">
        <v>0.15</v>
      </c>
    </row>
    <row r="92" spans="1:13">
      <c r="A92" t="s">
        <v>37</v>
      </c>
      <c r="B92" t="s">
        <v>786</v>
      </c>
      <c r="C92" t="s">
        <v>787</v>
      </c>
      <c r="D92" t="s">
        <v>32</v>
      </c>
      <c r="E92" t="s">
        <v>122</v>
      </c>
      <c r="F92" t="s">
        <v>123</v>
      </c>
      <c r="G92">
        <v>2022</v>
      </c>
      <c r="H92">
        <v>18</v>
      </c>
      <c r="I92" s="594">
        <v>3677.7730497656239</v>
      </c>
      <c r="J92" s="595">
        <v>7.6414557261782061</v>
      </c>
      <c r="K92">
        <v>14.1</v>
      </c>
      <c r="L92">
        <v>36000</v>
      </c>
      <c r="M92">
        <v>0.15</v>
      </c>
    </row>
    <row r="93" spans="1:13">
      <c r="A93" t="s">
        <v>37</v>
      </c>
      <c r="B93" t="s">
        <v>788</v>
      </c>
      <c r="C93" t="s">
        <v>789</v>
      </c>
      <c r="D93" t="s">
        <v>32</v>
      </c>
      <c r="E93" t="s">
        <v>122</v>
      </c>
      <c r="F93" t="s">
        <v>123</v>
      </c>
      <c r="G93">
        <v>2022</v>
      </c>
      <c r="H93">
        <v>18</v>
      </c>
      <c r="I93" s="594">
        <v>3816.0351944936551</v>
      </c>
      <c r="J93" s="595">
        <v>7.9287284978390424</v>
      </c>
      <c r="K93">
        <v>15</v>
      </c>
      <c r="L93">
        <v>36000</v>
      </c>
      <c r="M93">
        <v>0.15</v>
      </c>
    </row>
    <row r="94" spans="1:13">
      <c r="A94" t="s">
        <v>37</v>
      </c>
      <c r="B94" t="s">
        <v>790</v>
      </c>
      <c r="C94" t="s">
        <v>791</v>
      </c>
      <c r="D94" t="s">
        <v>32</v>
      </c>
      <c r="E94" t="s">
        <v>122</v>
      </c>
      <c r="F94" t="s">
        <v>123</v>
      </c>
      <c r="G94">
        <v>2022</v>
      </c>
      <c r="H94">
        <v>18</v>
      </c>
      <c r="I94" s="594">
        <v>4134.038127368126</v>
      </c>
      <c r="J94" s="595">
        <v>8.5894558726589629</v>
      </c>
      <c r="K94">
        <v>17</v>
      </c>
      <c r="L94">
        <v>36000</v>
      </c>
      <c r="M94">
        <v>0.15</v>
      </c>
    </row>
    <row r="95" spans="1:13">
      <c r="A95" t="s">
        <v>37</v>
      </c>
      <c r="B95" t="s">
        <v>792</v>
      </c>
      <c r="C95" t="s">
        <v>793</v>
      </c>
      <c r="D95" t="s">
        <v>32</v>
      </c>
      <c r="E95" t="s">
        <v>122</v>
      </c>
      <c r="F95" t="s">
        <v>123</v>
      </c>
      <c r="G95">
        <v>2030</v>
      </c>
      <c r="H95">
        <v>18</v>
      </c>
      <c r="I95" s="594">
        <v>3698.5123714748288</v>
      </c>
      <c r="J95" s="595">
        <v>7.6845466419273345</v>
      </c>
      <c r="K95">
        <v>14.4</v>
      </c>
      <c r="L95">
        <v>36000</v>
      </c>
      <c r="M95">
        <v>0.15</v>
      </c>
    </row>
    <row r="96" spans="1:13">
      <c r="A96" t="s">
        <v>37</v>
      </c>
      <c r="B96" t="s">
        <v>794</v>
      </c>
      <c r="C96" t="s">
        <v>795</v>
      </c>
      <c r="D96" t="s">
        <v>32</v>
      </c>
      <c r="E96" t="s">
        <v>122</v>
      </c>
      <c r="F96" t="s">
        <v>123</v>
      </c>
      <c r="G96">
        <v>2030</v>
      </c>
      <c r="H96">
        <v>18</v>
      </c>
      <c r="I96" s="594">
        <v>4134.038127368126</v>
      </c>
      <c r="J96" s="595">
        <v>8.5894558726589629</v>
      </c>
      <c r="K96">
        <v>17</v>
      </c>
      <c r="L96">
        <v>36000</v>
      </c>
      <c r="M96">
        <v>0.15</v>
      </c>
    </row>
    <row r="97" spans="1:13">
      <c r="A97" t="s">
        <v>796</v>
      </c>
      <c r="B97" t="str">
        <f>A97</f>
        <v>*Portable AC Units (EIA EQ: Residential Portable Air Conditioners Ver1 Base, Ver2 Energy Star, Ver3 Typical Short, Ver4 Typical Long, Ver5 High Short Ver6 High Long)</v>
      </c>
      <c r="J97" s="595"/>
      <c r="K97" s="595"/>
    </row>
    <row r="98" spans="1:13">
      <c r="A98" t="s">
        <v>37</v>
      </c>
      <c r="B98" t="s">
        <v>797</v>
      </c>
      <c r="C98" t="s">
        <v>798</v>
      </c>
      <c r="D98" t="s">
        <v>32</v>
      </c>
      <c r="E98" t="s">
        <v>122</v>
      </c>
      <c r="F98" t="s">
        <v>123</v>
      </c>
      <c r="G98">
        <v>2015</v>
      </c>
      <c r="H98">
        <v>9.5</v>
      </c>
      <c r="I98" s="594">
        <v>483.91750654810841</v>
      </c>
      <c r="J98" s="595">
        <v>5.4842983680704851</v>
      </c>
      <c r="K98">
        <v>5.6</v>
      </c>
      <c r="L98">
        <v>6600</v>
      </c>
      <c r="M98">
        <v>0.15</v>
      </c>
    </row>
    <row r="99" spans="1:13">
      <c r="A99" t="s">
        <v>37</v>
      </c>
      <c r="B99" t="s">
        <v>799</v>
      </c>
      <c r="C99" t="s">
        <v>800</v>
      </c>
      <c r="D99" t="s">
        <v>32</v>
      </c>
      <c r="E99" t="s">
        <v>122</v>
      </c>
      <c r="F99" t="s">
        <v>123</v>
      </c>
      <c r="G99">
        <v>2020</v>
      </c>
      <c r="H99">
        <v>9.5</v>
      </c>
      <c r="I99" s="594">
        <v>483.91750654810841</v>
      </c>
      <c r="J99" s="595">
        <v>5.4842983680704851</v>
      </c>
      <c r="K99">
        <v>5.6</v>
      </c>
      <c r="L99">
        <v>6600</v>
      </c>
      <c r="M99">
        <v>0.15</v>
      </c>
    </row>
    <row r="100" spans="1:13">
      <c r="A100" t="s">
        <v>37</v>
      </c>
      <c r="B100" t="s">
        <v>801</v>
      </c>
      <c r="C100" t="s">
        <v>802</v>
      </c>
      <c r="D100" t="s">
        <v>32</v>
      </c>
      <c r="E100" t="s">
        <v>122</v>
      </c>
      <c r="F100" t="s">
        <v>123</v>
      </c>
      <c r="G100">
        <v>2022</v>
      </c>
      <c r="H100">
        <v>9.5</v>
      </c>
      <c r="I100" s="594">
        <v>483.91750654810841</v>
      </c>
      <c r="J100" s="595">
        <v>5.4842983680704851</v>
      </c>
      <c r="K100">
        <v>5.6</v>
      </c>
      <c r="L100">
        <v>6600</v>
      </c>
      <c r="M100">
        <v>0.15</v>
      </c>
    </row>
    <row r="101" spans="1:13">
      <c r="A101" t="s">
        <v>37</v>
      </c>
      <c r="B101" t="s">
        <v>803</v>
      </c>
      <c r="C101" t="s">
        <v>804</v>
      </c>
      <c r="D101" t="s">
        <v>32</v>
      </c>
      <c r="E101" t="s">
        <v>122</v>
      </c>
      <c r="F101" t="s">
        <v>123</v>
      </c>
      <c r="G101">
        <v>2022</v>
      </c>
      <c r="H101">
        <v>9.5</v>
      </c>
      <c r="I101" s="594">
        <v>559.96168614852547</v>
      </c>
      <c r="J101" s="595">
        <v>6.3461166830529896</v>
      </c>
      <c r="K101">
        <v>7.6</v>
      </c>
      <c r="L101">
        <v>6600</v>
      </c>
      <c r="M101">
        <v>0.15</v>
      </c>
    </row>
    <row r="102" spans="1:13">
      <c r="A102" t="s">
        <v>37</v>
      </c>
      <c r="B102" t="s">
        <v>805</v>
      </c>
      <c r="C102" t="s">
        <v>806</v>
      </c>
      <c r="D102" t="s">
        <v>32</v>
      </c>
      <c r="E102" t="s">
        <v>122</v>
      </c>
      <c r="F102" t="s">
        <v>123</v>
      </c>
      <c r="G102">
        <v>2025</v>
      </c>
      <c r="H102">
        <v>9.5</v>
      </c>
      <c r="I102" s="594">
        <v>525.39614996651767</v>
      </c>
      <c r="J102" s="595">
        <v>5.9543810853336687</v>
      </c>
      <c r="K102">
        <v>6.7</v>
      </c>
      <c r="L102">
        <v>6600</v>
      </c>
      <c r="M102">
        <v>0.15</v>
      </c>
    </row>
    <row r="103" spans="1:13">
      <c r="A103" t="s">
        <v>37</v>
      </c>
      <c r="B103" t="s">
        <v>807</v>
      </c>
      <c r="C103" t="s">
        <v>808</v>
      </c>
      <c r="D103" t="s">
        <v>32</v>
      </c>
      <c r="E103" t="s">
        <v>122</v>
      </c>
      <c r="F103" t="s">
        <v>123</v>
      </c>
      <c r="G103">
        <v>2025</v>
      </c>
      <c r="H103">
        <v>9.5</v>
      </c>
      <c r="I103" s="594">
        <v>559.96168614852547</v>
      </c>
      <c r="J103" s="595">
        <v>6.3461166830529896</v>
      </c>
      <c r="K103">
        <v>7.6</v>
      </c>
      <c r="L103">
        <v>6600</v>
      </c>
      <c r="M103">
        <v>0.15</v>
      </c>
    </row>
    <row r="104" spans="1:13">
      <c r="A104" s="12" t="s">
        <v>809</v>
      </c>
      <c r="B104" t="str">
        <f>A104</f>
        <v>*Electric Heat Pumps (EIA EQ: Residential Air Source Heat Pumps)</v>
      </c>
      <c r="J104" s="595"/>
      <c r="K104" s="595"/>
    </row>
    <row r="105" spans="1:13">
      <c r="A105" t="s">
        <v>37</v>
      </c>
      <c r="B105" t="s">
        <v>810</v>
      </c>
      <c r="C105" t="s">
        <v>811</v>
      </c>
      <c r="D105" t="s">
        <v>32</v>
      </c>
      <c r="E105" t="s">
        <v>122</v>
      </c>
      <c r="F105" t="s">
        <v>123</v>
      </c>
      <c r="G105">
        <v>2015</v>
      </c>
      <c r="H105">
        <v>15.5</v>
      </c>
      <c r="I105" s="594">
        <v>4002.6890898764968</v>
      </c>
      <c r="J105" s="595">
        <v>8.3165467395811721</v>
      </c>
      <c r="K105">
        <v>12.5</v>
      </c>
      <c r="L105">
        <v>36000</v>
      </c>
      <c r="M105">
        <v>0.15</v>
      </c>
    </row>
    <row r="106" spans="1:13">
      <c r="A106" t="s">
        <v>37</v>
      </c>
      <c r="B106" t="s">
        <v>812</v>
      </c>
      <c r="C106" t="s">
        <v>813</v>
      </c>
      <c r="D106" t="s">
        <v>32</v>
      </c>
      <c r="E106" t="s">
        <v>122</v>
      </c>
      <c r="F106" t="s">
        <v>123</v>
      </c>
      <c r="G106">
        <v>2020</v>
      </c>
      <c r="H106">
        <v>15.5</v>
      </c>
      <c r="I106" s="594">
        <v>4756.2177786442653</v>
      </c>
      <c r="J106" s="595">
        <v>9.8821833451327201</v>
      </c>
      <c r="K106">
        <v>14.5</v>
      </c>
      <c r="L106">
        <v>36000</v>
      </c>
      <c r="M106">
        <v>0.15</v>
      </c>
    </row>
    <row r="107" spans="1:13">
      <c r="A107" t="s">
        <v>37</v>
      </c>
      <c r="B107" t="s">
        <v>814</v>
      </c>
      <c r="C107" t="s">
        <v>815</v>
      </c>
      <c r="D107" t="s">
        <v>32</v>
      </c>
      <c r="E107" t="s">
        <v>122</v>
      </c>
      <c r="F107" t="s">
        <v>123</v>
      </c>
      <c r="G107">
        <v>2022</v>
      </c>
      <c r="H107">
        <v>15.5</v>
      </c>
      <c r="I107" s="594">
        <v>4756.2177786442653</v>
      </c>
      <c r="J107" s="595">
        <v>9.8821833451327201</v>
      </c>
      <c r="K107">
        <v>14.5</v>
      </c>
      <c r="L107">
        <v>36000</v>
      </c>
      <c r="M107">
        <v>0.15</v>
      </c>
    </row>
    <row r="108" spans="1:13">
      <c r="A108" t="s">
        <v>37</v>
      </c>
      <c r="B108" t="s">
        <v>816</v>
      </c>
      <c r="C108" t="s">
        <v>817</v>
      </c>
      <c r="D108" t="s">
        <v>32</v>
      </c>
      <c r="E108" t="s">
        <v>122</v>
      </c>
      <c r="F108" t="s">
        <v>123</v>
      </c>
      <c r="G108">
        <v>2022</v>
      </c>
      <c r="H108">
        <v>15.5</v>
      </c>
      <c r="I108" s="594">
        <v>5959.0984377781351</v>
      </c>
      <c r="J108" s="595">
        <v>12.381456458581987</v>
      </c>
      <c r="K108">
        <v>21.5</v>
      </c>
      <c r="L108">
        <v>36000</v>
      </c>
      <c r="M108">
        <v>0.15</v>
      </c>
    </row>
    <row r="109" spans="1:13">
      <c r="A109" t="s">
        <v>37</v>
      </c>
      <c r="B109" t="s">
        <v>818</v>
      </c>
      <c r="C109" t="s">
        <v>819</v>
      </c>
      <c r="D109" t="s">
        <v>32</v>
      </c>
      <c r="E109" t="s">
        <v>122</v>
      </c>
      <c r="F109" t="s">
        <v>123</v>
      </c>
      <c r="G109">
        <v>2023</v>
      </c>
      <c r="H109">
        <v>15.5</v>
      </c>
      <c r="I109" s="594">
        <v>4707.8260279894548</v>
      </c>
      <c r="J109" s="595">
        <v>9.7816378750514286</v>
      </c>
      <c r="K109">
        <v>14.3</v>
      </c>
      <c r="L109">
        <v>36000</v>
      </c>
      <c r="M109">
        <v>0.15</v>
      </c>
    </row>
    <row r="110" spans="1:13">
      <c r="A110" t="s">
        <v>37</v>
      </c>
      <c r="B110" t="s">
        <v>820</v>
      </c>
      <c r="C110" t="s">
        <v>821</v>
      </c>
      <c r="D110" t="s">
        <v>32</v>
      </c>
      <c r="E110" t="s">
        <v>122</v>
      </c>
      <c r="F110" t="s">
        <v>123</v>
      </c>
      <c r="G110">
        <v>2023</v>
      </c>
      <c r="H110">
        <v>15.5</v>
      </c>
      <c r="I110" s="594">
        <v>4797.6964220626751</v>
      </c>
      <c r="J110" s="595">
        <v>9.9683651766309715</v>
      </c>
      <c r="K110">
        <v>15.5</v>
      </c>
      <c r="L110">
        <v>36000</v>
      </c>
      <c r="M110">
        <v>0.15</v>
      </c>
    </row>
    <row r="111" spans="1:13">
      <c r="A111" t="s">
        <v>37</v>
      </c>
      <c r="B111" t="s">
        <v>822</v>
      </c>
      <c r="C111" t="s">
        <v>823</v>
      </c>
      <c r="D111" t="s">
        <v>32</v>
      </c>
      <c r="E111" t="s">
        <v>122</v>
      </c>
      <c r="F111" t="s">
        <v>123</v>
      </c>
      <c r="G111">
        <v>2023</v>
      </c>
      <c r="H111">
        <v>15.5</v>
      </c>
      <c r="I111" s="594">
        <v>5959.0984377781351</v>
      </c>
      <c r="J111" s="595">
        <v>12.381456458581987</v>
      </c>
      <c r="K111">
        <v>21.5</v>
      </c>
      <c r="L111">
        <v>36000</v>
      </c>
      <c r="M111">
        <v>0.15</v>
      </c>
    </row>
    <row r="112" spans="1:13">
      <c r="A112" t="s">
        <v>37</v>
      </c>
      <c r="B112" t="s">
        <v>824</v>
      </c>
      <c r="C112" t="s">
        <v>825</v>
      </c>
      <c r="D112" t="s">
        <v>32</v>
      </c>
      <c r="E112" t="s">
        <v>122</v>
      </c>
      <c r="F112" t="s">
        <v>123</v>
      </c>
      <c r="G112">
        <v>2030</v>
      </c>
      <c r="H112">
        <v>15.5</v>
      </c>
      <c r="I112" s="594">
        <v>4797.6964220626751</v>
      </c>
      <c r="J112" s="595">
        <v>9.9683651766309715</v>
      </c>
      <c r="K112">
        <v>15.2</v>
      </c>
      <c r="L112">
        <v>36000</v>
      </c>
      <c r="M112">
        <v>0.15</v>
      </c>
    </row>
    <row r="113" spans="1:14">
      <c r="A113" t="s">
        <v>37</v>
      </c>
      <c r="B113" t="s">
        <v>826</v>
      </c>
      <c r="C113" t="s">
        <v>827</v>
      </c>
      <c r="D113" t="s">
        <v>32</v>
      </c>
      <c r="E113" t="s">
        <v>122</v>
      </c>
      <c r="F113" t="s">
        <v>123</v>
      </c>
      <c r="G113">
        <v>2030</v>
      </c>
      <c r="H113">
        <v>15.5</v>
      </c>
      <c r="I113" s="594">
        <v>5959.0984377781351</v>
      </c>
      <c r="J113" s="595">
        <v>12.381456458581987</v>
      </c>
      <c r="K113">
        <v>21.5</v>
      </c>
      <c r="L113">
        <v>36000</v>
      </c>
      <c r="M113">
        <v>0.15</v>
      </c>
    </row>
    <row r="114" spans="1:14">
      <c r="A114" t="s">
        <v>37</v>
      </c>
      <c r="B114" t="s">
        <v>828</v>
      </c>
      <c r="C114" t="s">
        <v>829</v>
      </c>
      <c r="D114" t="s">
        <v>32</v>
      </c>
      <c r="E114" t="s">
        <v>122</v>
      </c>
      <c r="F114" t="s">
        <v>123</v>
      </c>
      <c r="G114">
        <v>2040</v>
      </c>
      <c r="H114">
        <v>15.5</v>
      </c>
      <c r="I114" s="594">
        <v>5005.0896391547212</v>
      </c>
      <c r="J114" s="595">
        <v>10.399274334122223</v>
      </c>
      <c r="K114">
        <v>15.7</v>
      </c>
      <c r="L114">
        <v>36000</v>
      </c>
      <c r="M114">
        <v>0.15</v>
      </c>
    </row>
    <row r="115" spans="1:14">
      <c r="A115" t="s">
        <v>37</v>
      </c>
      <c r="B115" t="s">
        <v>830</v>
      </c>
      <c r="C115" t="s">
        <v>831</v>
      </c>
      <c r="D115" t="s">
        <v>32</v>
      </c>
      <c r="E115" t="s">
        <v>122</v>
      </c>
      <c r="F115" t="s">
        <v>123</v>
      </c>
      <c r="G115">
        <v>2040</v>
      </c>
      <c r="H115">
        <v>15.5</v>
      </c>
      <c r="I115" s="594">
        <v>5959.0984377781351</v>
      </c>
      <c r="J115" s="595">
        <v>12.381456458581987</v>
      </c>
      <c r="K115">
        <v>21.5</v>
      </c>
      <c r="L115">
        <v>36000</v>
      </c>
      <c r="M115">
        <v>0.15</v>
      </c>
    </row>
    <row r="116" spans="1:14">
      <c r="A116" t="s">
        <v>37</v>
      </c>
      <c r="B116" t="s">
        <v>832</v>
      </c>
      <c r="C116" t="s">
        <v>833</v>
      </c>
      <c r="D116" t="s">
        <v>32</v>
      </c>
      <c r="E116" t="s">
        <v>122</v>
      </c>
      <c r="F116" t="s">
        <v>123</v>
      </c>
      <c r="G116">
        <v>2050</v>
      </c>
      <c r="H116">
        <v>15.5</v>
      </c>
      <c r="I116" s="594">
        <v>5067.307604282335</v>
      </c>
      <c r="J116" s="595">
        <v>10.5285470813696</v>
      </c>
      <c r="K116">
        <v>16.2</v>
      </c>
      <c r="L116">
        <v>36000</v>
      </c>
      <c r="M116">
        <v>0.15</v>
      </c>
    </row>
    <row r="117" spans="1:14">
      <c r="A117" t="s">
        <v>37</v>
      </c>
      <c r="B117" t="s">
        <v>834</v>
      </c>
      <c r="C117" t="s">
        <v>835</v>
      </c>
      <c r="D117" t="s">
        <v>32</v>
      </c>
      <c r="E117" t="s">
        <v>122</v>
      </c>
      <c r="F117" t="s">
        <v>123</v>
      </c>
      <c r="G117">
        <v>2050</v>
      </c>
      <c r="H117">
        <v>15.5</v>
      </c>
      <c r="I117" s="594">
        <v>5959.0984377781351</v>
      </c>
      <c r="J117" s="595">
        <v>12.381456458581987</v>
      </c>
      <c r="K117">
        <v>21.5</v>
      </c>
      <c r="L117">
        <v>36000</v>
      </c>
      <c r="M117">
        <v>0.15</v>
      </c>
    </row>
    <row r="118" spans="1:14">
      <c r="A118" t="s">
        <v>42</v>
      </c>
      <c r="B118" t="str">
        <f>A118</f>
        <v>*Geothermal Heat Pumps</v>
      </c>
      <c r="J118" s="595"/>
      <c r="K118" s="595"/>
    </row>
    <row r="119" spans="1:14">
      <c r="A119" t="s">
        <v>48</v>
      </c>
      <c r="B119" t="str">
        <f>A119</f>
        <v xml:space="preserve"> *Natural Gas Heat Pumps (EIA EQ: Residential Natural Gas Heat Pumps ver1 short, ver2 long)</v>
      </c>
      <c r="J119" s="595"/>
      <c r="K119" s="595"/>
    </row>
    <row r="120" spans="1:14">
      <c r="A120" t="s">
        <v>49</v>
      </c>
      <c r="B120" t="str">
        <f>A120</f>
        <v>*Water Heating</v>
      </c>
      <c r="J120" s="595"/>
      <c r="K120" s="595"/>
    </row>
    <row r="121" spans="1:14">
      <c r="A121" t="s">
        <v>50</v>
      </c>
      <c r="B121" t="str">
        <f>A121</f>
        <v>*Natural Gas Storage Water Heater</v>
      </c>
      <c r="J121" s="595"/>
      <c r="K121" s="595"/>
    </row>
    <row r="122" spans="1:14">
      <c r="A122" t="s">
        <v>37</v>
      </c>
      <c r="B122" t="s">
        <v>836</v>
      </c>
      <c r="C122" t="s">
        <v>837</v>
      </c>
      <c r="D122" t="s">
        <v>32</v>
      </c>
      <c r="E122" t="s">
        <v>125</v>
      </c>
      <c r="F122" t="s">
        <v>150</v>
      </c>
      <c r="G122">
        <v>2015</v>
      </c>
      <c r="H122">
        <v>13</v>
      </c>
      <c r="I122" s="594">
        <v>857.22529731379211</v>
      </c>
      <c r="J122" s="595">
        <v>12.023468201901652</v>
      </c>
      <c r="K122">
        <v>0.57999999999999996</v>
      </c>
      <c r="M122">
        <v>0.15</v>
      </c>
    </row>
    <row r="123" spans="1:14">
      <c r="A123" t="s">
        <v>37</v>
      </c>
      <c r="B123" t="s">
        <v>838</v>
      </c>
      <c r="C123" t="s">
        <v>839</v>
      </c>
      <c r="D123" t="s">
        <v>32</v>
      </c>
      <c r="E123" t="s">
        <v>125</v>
      </c>
      <c r="F123" t="s">
        <v>150</v>
      </c>
      <c r="G123">
        <v>2020</v>
      </c>
      <c r="H123">
        <v>13</v>
      </c>
      <c r="I123" s="594">
        <v>1565.8187890449508</v>
      </c>
      <c r="J123" s="595">
        <v>21.962222159118742</v>
      </c>
      <c r="K123">
        <v>0.63</v>
      </c>
      <c r="M123">
        <v>0.15</v>
      </c>
      <c r="N123" s="596"/>
    </row>
    <row r="124" spans="1:14">
      <c r="A124" t="s">
        <v>37</v>
      </c>
      <c r="B124" t="s">
        <v>840</v>
      </c>
      <c r="C124" t="s">
        <v>841</v>
      </c>
      <c r="D124" t="s">
        <v>32</v>
      </c>
      <c r="E124" t="s">
        <v>125</v>
      </c>
      <c r="F124" t="s">
        <v>150</v>
      </c>
      <c r="G124">
        <v>2022</v>
      </c>
      <c r="H124">
        <v>14.5</v>
      </c>
      <c r="I124" s="594">
        <v>839.94252922278815</v>
      </c>
      <c r="J124" s="595">
        <v>11.781059568798794</v>
      </c>
      <c r="K124">
        <v>0.61</v>
      </c>
      <c r="M124">
        <v>0.15</v>
      </c>
      <c r="N124" s="596"/>
    </row>
    <row r="125" spans="1:14">
      <c r="A125" t="s">
        <v>37</v>
      </c>
      <c r="B125" t="s">
        <v>842</v>
      </c>
      <c r="C125" t="s">
        <v>843</v>
      </c>
      <c r="D125" t="s">
        <v>32</v>
      </c>
      <c r="E125" t="s">
        <v>125</v>
      </c>
      <c r="F125" t="s">
        <v>150</v>
      </c>
      <c r="G125">
        <v>2022</v>
      </c>
      <c r="H125">
        <v>14.5</v>
      </c>
      <c r="I125" s="594">
        <v>839.94252922278815</v>
      </c>
      <c r="J125" s="595">
        <v>11.781059568798794</v>
      </c>
      <c r="K125">
        <v>0.61</v>
      </c>
      <c r="M125">
        <v>0.15</v>
      </c>
      <c r="N125" s="596"/>
    </row>
    <row r="126" spans="1:14">
      <c r="A126" t="s">
        <v>37</v>
      </c>
      <c r="B126" t="s">
        <v>844</v>
      </c>
      <c r="C126" t="s">
        <v>845</v>
      </c>
      <c r="D126" t="s">
        <v>32</v>
      </c>
      <c r="E126" t="s">
        <v>125</v>
      </c>
      <c r="F126" t="s">
        <v>150</v>
      </c>
      <c r="G126">
        <v>2022</v>
      </c>
      <c r="H126">
        <v>14.5</v>
      </c>
      <c r="I126" s="594">
        <v>915.98670882320528</v>
      </c>
      <c r="J126" s="595">
        <v>12.847657554451363</v>
      </c>
      <c r="K126">
        <v>0.66</v>
      </c>
      <c r="M126">
        <v>0.15</v>
      </c>
      <c r="N126" s="596"/>
    </row>
    <row r="127" spans="1:14">
      <c r="A127" t="s">
        <v>37</v>
      </c>
      <c r="B127" t="s">
        <v>846</v>
      </c>
      <c r="C127" s="12" t="s">
        <v>847</v>
      </c>
      <c r="D127" t="s">
        <v>32</v>
      </c>
      <c r="E127" t="s">
        <v>125</v>
      </c>
      <c r="F127" t="s">
        <v>150</v>
      </c>
      <c r="G127">
        <v>2022</v>
      </c>
      <c r="H127">
        <v>14.5</v>
      </c>
      <c r="I127" s="594">
        <v>1475.9483949717307</v>
      </c>
      <c r="J127" s="595">
        <v>20.701697266983896</v>
      </c>
      <c r="K127">
        <v>0.84</v>
      </c>
      <c r="M127">
        <v>0.15</v>
      </c>
      <c r="N127" s="596"/>
    </row>
    <row r="128" spans="1:14">
      <c r="A128" t="s">
        <v>37</v>
      </c>
      <c r="B128" t="s">
        <v>848</v>
      </c>
      <c r="C128" t="s">
        <v>849</v>
      </c>
      <c r="D128" t="s">
        <v>32</v>
      </c>
      <c r="E128" t="s">
        <v>125</v>
      </c>
      <c r="F128" t="s">
        <v>150</v>
      </c>
      <c r="G128">
        <v>2023</v>
      </c>
      <c r="H128">
        <v>14.5</v>
      </c>
      <c r="I128" s="594">
        <v>1482.8615022081322</v>
      </c>
      <c r="J128" s="595">
        <v>20.798660720225037</v>
      </c>
      <c r="K128">
        <v>0.83</v>
      </c>
      <c r="M128">
        <v>0.15</v>
      </c>
      <c r="N128" s="596"/>
    </row>
    <row r="129" spans="1:14">
      <c r="A129" t="s">
        <v>37</v>
      </c>
      <c r="B129" t="s">
        <v>850</v>
      </c>
      <c r="C129" t="s">
        <v>851</v>
      </c>
      <c r="D129" t="s">
        <v>32</v>
      </c>
      <c r="E129" t="s">
        <v>125</v>
      </c>
      <c r="F129" t="s">
        <v>150</v>
      </c>
      <c r="G129">
        <v>2030</v>
      </c>
      <c r="H129">
        <v>14.5</v>
      </c>
      <c r="I129" s="594">
        <v>839.94252922278815</v>
      </c>
      <c r="J129" s="595">
        <v>11.781059568798794</v>
      </c>
      <c r="K129">
        <v>0.61</v>
      </c>
      <c r="M129">
        <v>0.15</v>
      </c>
      <c r="N129" s="596"/>
    </row>
    <row r="130" spans="1:14">
      <c r="A130" t="s">
        <v>37</v>
      </c>
      <c r="B130" t="s">
        <v>852</v>
      </c>
      <c r="C130" t="s">
        <v>853</v>
      </c>
      <c r="D130" t="s">
        <v>32</v>
      </c>
      <c r="E130" t="s">
        <v>125</v>
      </c>
      <c r="F130" t="s">
        <v>150</v>
      </c>
      <c r="G130">
        <v>2030</v>
      </c>
      <c r="H130">
        <v>14.5</v>
      </c>
      <c r="I130" s="594">
        <v>1475.9483949717307</v>
      </c>
      <c r="J130" s="595">
        <v>20.701697266983896</v>
      </c>
      <c r="K130">
        <v>0.84</v>
      </c>
      <c r="M130">
        <v>0.15</v>
      </c>
      <c r="N130" s="596"/>
    </row>
    <row r="131" spans="1:14">
      <c r="A131" t="s">
        <v>37</v>
      </c>
      <c r="B131" t="s">
        <v>854</v>
      </c>
      <c r="C131" t="s">
        <v>855</v>
      </c>
      <c r="D131" t="s">
        <v>32</v>
      </c>
      <c r="E131" t="s">
        <v>125</v>
      </c>
      <c r="F131" t="s">
        <v>150</v>
      </c>
      <c r="G131">
        <v>2040</v>
      </c>
      <c r="H131">
        <v>14.5</v>
      </c>
      <c r="I131" s="594">
        <v>839.94252922278815</v>
      </c>
      <c r="J131" s="595">
        <v>11.781059568798794</v>
      </c>
      <c r="K131">
        <v>0.63</v>
      </c>
      <c r="M131">
        <v>0.15</v>
      </c>
      <c r="N131" s="596"/>
    </row>
    <row r="132" spans="1:14">
      <c r="A132" t="s">
        <v>37</v>
      </c>
      <c r="B132" t="s">
        <v>856</v>
      </c>
      <c r="C132" t="s">
        <v>857</v>
      </c>
      <c r="D132" t="s">
        <v>32</v>
      </c>
      <c r="E132" t="s">
        <v>125</v>
      </c>
      <c r="F132" t="s">
        <v>150</v>
      </c>
      <c r="G132">
        <v>2040</v>
      </c>
      <c r="H132">
        <v>14.5</v>
      </c>
      <c r="I132" s="594">
        <v>1475.9483949717307</v>
      </c>
      <c r="J132" s="595">
        <v>20.701697266983896</v>
      </c>
      <c r="K132">
        <v>0.84</v>
      </c>
      <c r="M132">
        <v>0.15</v>
      </c>
      <c r="N132" s="596"/>
    </row>
    <row r="133" spans="1:14">
      <c r="A133" t="s">
        <v>37</v>
      </c>
      <c r="B133" t="s">
        <v>858</v>
      </c>
      <c r="C133" t="s">
        <v>859</v>
      </c>
      <c r="D133" t="s">
        <v>32</v>
      </c>
      <c r="E133" t="s">
        <v>125</v>
      </c>
      <c r="F133" t="s">
        <v>150</v>
      </c>
      <c r="G133">
        <v>2050</v>
      </c>
      <c r="H133">
        <v>14.5</v>
      </c>
      <c r="I133" s="594">
        <v>839.94252922278815</v>
      </c>
      <c r="J133" s="595">
        <v>11.781059568798794</v>
      </c>
      <c r="K133">
        <v>0.61</v>
      </c>
      <c r="M133">
        <v>0.15</v>
      </c>
      <c r="N133" s="596"/>
    </row>
    <row r="134" spans="1:14">
      <c r="A134" t="s">
        <v>37</v>
      </c>
      <c r="B134" t="s">
        <v>860</v>
      </c>
      <c r="C134" t="s">
        <v>861</v>
      </c>
      <c r="D134" t="s">
        <v>32</v>
      </c>
      <c r="E134" t="s">
        <v>125</v>
      </c>
      <c r="F134" t="s">
        <v>150</v>
      </c>
      <c r="G134">
        <v>2050</v>
      </c>
      <c r="H134">
        <v>14.5</v>
      </c>
      <c r="I134" s="594">
        <v>1475.9483949717307</v>
      </c>
      <c r="J134" s="595">
        <v>20.701697266983896</v>
      </c>
      <c r="K134">
        <v>0.84</v>
      </c>
      <c r="M134">
        <v>0.15</v>
      </c>
      <c r="N134" s="596"/>
    </row>
    <row r="135" spans="1:14">
      <c r="A135" t="s">
        <v>51</v>
      </c>
      <c r="B135" t="str">
        <f>A135</f>
        <v>*Electric Water Heaters (EIA EQ: Residentail Electric Resistance Storage Water Heaters)</v>
      </c>
      <c r="J135" s="595"/>
      <c r="K135" s="595"/>
      <c r="M135" s="595"/>
    </row>
    <row r="136" spans="1:14">
      <c r="A136" t="s">
        <v>37</v>
      </c>
      <c r="B136" t="s">
        <v>862</v>
      </c>
      <c r="C136" t="s">
        <v>863</v>
      </c>
      <c r="D136" t="s">
        <v>32</v>
      </c>
      <c r="E136" t="s">
        <v>122</v>
      </c>
      <c r="F136" t="s">
        <v>150</v>
      </c>
      <c r="G136">
        <v>2015</v>
      </c>
      <c r="H136">
        <v>13</v>
      </c>
      <c r="I136" s="594">
        <v>528.85270358471848</v>
      </c>
      <c r="J136" s="595">
        <v>7.4177041729473894</v>
      </c>
      <c r="K136">
        <v>0.88</v>
      </c>
      <c r="M136">
        <v>0.15</v>
      </c>
    </row>
    <row r="137" spans="1:14">
      <c r="A137" t="s">
        <v>37</v>
      </c>
      <c r="B137" t="s">
        <v>864</v>
      </c>
      <c r="C137" t="s">
        <v>865</v>
      </c>
      <c r="D137" t="s">
        <v>32</v>
      </c>
      <c r="E137" t="s">
        <v>122</v>
      </c>
      <c r="F137" t="s">
        <v>150</v>
      </c>
      <c r="G137">
        <v>2020</v>
      </c>
      <c r="H137">
        <v>13</v>
      </c>
      <c r="I137" s="594">
        <v>691.31072364015483</v>
      </c>
      <c r="J137" s="595">
        <v>9.6963453241142332</v>
      </c>
      <c r="K137">
        <v>0.93</v>
      </c>
      <c r="M137">
        <v>0.15</v>
      </c>
      <c r="N137" s="596"/>
    </row>
    <row r="138" spans="1:14">
      <c r="A138" t="s">
        <v>37</v>
      </c>
      <c r="B138" t="s">
        <v>866</v>
      </c>
      <c r="C138" t="s">
        <v>867</v>
      </c>
      <c r="D138" t="s">
        <v>32</v>
      </c>
      <c r="E138" t="s">
        <v>122</v>
      </c>
      <c r="F138" t="s">
        <v>150</v>
      </c>
      <c r="G138">
        <v>2020</v>
      </c>
      <c r="H138">
        <v>15.1</v>
      </c>
      <c r="I138" s="594">
        <v>625.63620489434015</v>
      </c>
      <c r="J138" s="595">
        <v>8.7751925183233812</v>
      </c>
      <c r="K138">
        <v>0.92</v>
      </c>
      <c r="M138">
        <v>0.15</v>
      </c>
      <c r="N138" s="596"/>
    </row>
    <row r="139" spans="1:14">
      <c r="A139" t="s">
        <v>37</v>
      </c>
      <c r="B139" t="s">
        <v>868</v>
      </c>
      <c r="C139" t="s">
        <v>869</v>
      </c>
      <c r="D139" t="s">
        <v>32</v>
      </c>
      <c r="E139" t="s">
        <v>122</v>
      </c>
      <c r="F139" t="s">
        <v>150</v>
      </c>
      <c r="G139">
        <v>2022</v>
      </c>
      <c r="H139">
        <v>15.1</v>
      </c>
      <c r="I139" s="594">
        <v>625.63620489434015</v>
      </c>
      <c r="J139" s="595">
        <v>8.7751925183233812</v>
      </c>
      <c r="K139">
        <v>0.92</v>
      </c>
      <c r="M139">
        <v>0.15</v>
      </c>
      <c r="N139" s="596"/>
    </row>
    <row r="140" spans="1:14">
      <c r="A140" t="s">
        <v>37</v>
      </c>
      <c r="B140" t="s">
        <v>870</v>
      </c>
      <c r="C140" t="s">
        <v>871</v>
      </c>
      <c r="D140" t="s">
        <v>32</v>
      </c>
      <c r="E140" t="s">
        <v>122</v>
      </c>
      <c r="F140" t="s">
        <v>150</v>
      </c>
      <c r="G140">
        <v>2022</v>
      </c>
      <c r="H140">
        <v>15.1</v>
      </c>
      <c r="I140" s="594">
        <v>684.39761640375332</v>
      </c>
      <c r="J140" s="595">
        <v>9.5993818708730938</v>
      </c>
      <c r="K140">
        <v>0.93</v>
      </c>
      <c r="M140">
        <v>0.15</v>
      </c>
      <c r="N140" s="596"/>
    </row>
    <row r="141" spans="1:14">
      <c r="A141" t="s">
        <v>52</v>
      </c>
      <c r="B141" t="str">
        <f>A141</f>
        <v>*Fuel Oil (DSL) Storage Water Heaters</v>
      </c>
      <c r="J141" s="595"/>
      <c r="K141" s="595"/>
    </row>
    <row r="142" spans="1:14">
      <c r="A142" t="s">
        <v>37</v>
      </c>
      <c r="B142" t="s">
        <v>872</v>
      </c>
      <c r="C142" t="s">
        <v>873</v>
      </c>
      <c r="D142" t="s">
        <v>32</v>
      </c>
      <c r="E142" t="s">
        <v>126</v>
      </c>
      <c r="F142" t="s">
        <v>150</v>
      </c>
      <c r="G142">
        <v>2015</v>
      </c>
      <c r="H142">
        <v>13</v>
      </c>
      <c r="I142" s="594">
        <v>1666.0588439727733</v>
      </c>
      <c r="J142" s="595">
        <v>23.368192231115305</v>
      </c>
      <c r="K142">
        <v>0.51</v>
      </c>
      <c r="M142">
        <v>0.15</v>
      </c>
    </row>
    <row r="143" spans="1:14">
      <c r="A143" t="s">
        <v>37</v>
      </c>
      <c r="B143" t="s">
        <v>874</v>
      </c>
      <c r="C143" t="s">
        <v>875</v>
      </c>
      <c r="D143" t="s">
        <v>32</v>
      </c>
      <c r="E143" t="s">
        <v>126</v>
      </c>
      <c r="F143" t="s">
        <v>150</v>
      </c>
      <c r="G143">
        <v>2020</v>
      </c>
      <c r="H143">
        <v>13</v>
      </c>
      <c r="I143" s="594">
        <v>2073.9321709204646</v>
      </c>
      <c r="J143" s="595">
        <v>29.089035972342703</v>
      </c>
      <c r="K143">
        <v>0.67</v>
      </c>
      <c r="M143">
        <v>0.15</v>
      </c>
      <c r="N143" s="596"/>
    </row>
    <row r="144" spans="1:14">
      <c r="A144" t="s">
        <v>37</v>
      </c>
      <c r="B144" t="s">
        <v>876</v>
      </c>
      <c r="C144" t="s">
        <v>877</v>
      </c>
      <c r="D144" t="s">
        <v>32</v>
      </c>
      <c r="E144" t="s">
        <v>126</v>
      </c>
      <c r="F144" t="s">
        <v>150</v>
      </c>
      <c r="G144">
        <v>2022</v>
      </c>
      <c r="H144">
        <v>15.5</v>
      </c>
      <c r="I144" s="594">
        <v>2305.5212633399165</v>
      </c>
      <c r="J144" s="595">
        <v>32.337311655920971</v>
      </c>
      <c r="K144">
        <v>0.64</v>
      </c>
      <c r="M144">
        <v>0.15</v>
      </c>
      <c r="N144" s="596"/>
    </row>
    <row r="145" spans="1:14">
      <c r="A145" t="s">
        <v>37</v>
      </c>
      <c r="B145" t="s">
        <v>878</v>
      </c>
      <c r="C145" t="s">
        <v>877</v>
      </c>
      <c r="D145" t="s">
        <v>32</v>
      </c>
      <c r="E145" t="s">
        <v>126</v>
      </c>
      <c r="F145" t="s">
        <v>150</v>
      </c>
      <c r="G145">
        <v>2022</v>
      </c>
      <c r="H145">
        <v>15.5</v>
      </c>
      <c r="I145" s="594">
        <v>2340.0867995219241</v>
      </c>
      <c r="J145" s="595">
        <v>32.822128922126687</v>
      </c>
      <c r="K145">
        <v>0.66</v>
      </c>
      <c r="M145">
        <v>0.15</v>
      </c>
      <c r="N145" s="596"/>
    </row>
    <row r="146" spans="1:14">
      <c r="A146" t="s">
        <v>37</v>
      </c>
      <c r="B146" t="s">
        <v>879</v>
      </c>
      <c r="C146" t="s">
        <v>880</v>
      </c>
      <c r="D146" t="s">
        <v>32</v>
      </c>
      <c r="E146" t="s">
        <v>126</v>
      </c>
      <c r="F146" t="s">
        <v>150</v>
      </c>
      <c r="G146">
        <v>2022</v>
      </c>
      <c r="H146">
        <v>15.5</v>
      </c>
      <c r="I146" s="594">
        <v>2423.0440863587428</v>
      </c>
      <c r="J146" s="595">
        <v>33.985690361020396</v>
      </c>
      <c r="K146">
        <v>0.68</v>
      </c>
      <c r="M146">
        <v>0.15</v>
      </c>
      <c r="N146" s="596"/>
    </row>
    <row r="147" spans="1:14">
      <c r="A147" t="s">
        <v>53</v>
      </c>
      <c r="B147" t="str">
        <f>A147</f>
        <v>*Natural Gas Instantenous Water Heaters</v>
      </c>
      <c r="J147" s="595"/>
      <c r="K147" s="595"/>
    </row>
    <row r="148" spans="1:14">
      <c r="A148" t="s">
        <v>37</v>
      </c>
      <c r="B148" t="s">
        <v>881</v>
      </c>
      <c r="C148" t="s">
        <v>882</v>
      </c>
      <c r="D148" t="s">
        <v>32</v>
      </c>
      <c r="E148" t="s">
        <v>125</v>
      </c>
      <c r="F148" t="s">
        <v>150</v>
      </c>
      <c r="G148">
        <v>2015</v>
      </c>
      <c r="H148">
        <v>19</v>
      </c>
      <c r="I148" s="594">
        <v>2215.6508692666966</v>
      </c>
      <c r="J148" s="595">
        <v>31.076786763786128</v>
      </c>
      <c r="K148">
        <v>0.81</v>
      </c>
      <c r="M148">
        <v>0.15</v>
      </c>
    </row>
    <row r="149" spans="1:14">
      <c r="A149" t="s">
        <v>37</v>
      </c>
      <c r="B149" t="s">
        <v>883</v>
      </c>
      <c r="C149" t="s">
        <v>884</v>
      </c>
      <c r="D149" t="s">
        <v>32</v>
      </c>
      <c r="E149" t="s">
        <v>125</v>
      </c>
      <c r="F149" t="s">
        <v>150</v>
      </c>
      <c r="G149">
        <v>2020</v>
      </c>
      <c r="H149">
        <v>19</v>
      </c>
      <c r="I149" s="594">
        <v>1766.2988989005958</v>
      </c>
      <c r="J149" s="595">
        <v>24.774162303111872</v>
      </c>
      <c r="K149">
        <v>0.89</v>
      </c>
      <c r="M149">
        <v>0.15</v>
      </c>
      <c r="N149" s="596"/>
    </row>
    <row r="150" spans="1:14">
      <c r="A150" t="s">
        <v>37</v>
      </c>
      <c r="B150" t="s">
        <v>885</v>
      </c>
      <c r="C150" t="s">
        <v>886</v>
      </c>
      <c r="D150" t="s">
        <v>32</v>
      </c>
      <c r="E150" t="s">
        <v>125</v>
      </c>
      <c r="F150" t="s">
        <v>150</v>
      </c>
      <c r="G150">
        <v>2020</v>
      </c>
      <c r="H150">
        <v>20</v>
      </c>
      <c r="I150" s="594">
        <v>1306.5772676798927</v>
      </c>
      <c r="J150" s="595">
        <v>18.326092662575906</v>
      </c>
      <c r="K150">
        <v>0.81</v>
      </c>
      <c r="M150">
        <v>0.15</v>
      </c>
      <c r="N150" s="596"/>
    </row>
    <row r="151" spans="1:14">
      <c r="A151" t="s">
        <v>37</v>
      </c>
      <c r="B151" t="s">
        <v>885</v>
      </c>
      <c r="C151" t="s">
        <v>886</v>
      </c>
      <c r="D151" t="s">
        <v>32</v>
      </c>
      <c r="E151" t="s">
        <v>125</v>
      </c>
      <c r="F151" t="s">
        <v>150</v>
      </c>
      <c r="G151">
        <v>2020</v>
      </c>
      <c r="H151">
        <v>20</v>
      </c>
      <c r="I151" s="594">
        <v>1306.5772676798927</v>
      </c>
      <c r="J151" s="595">
        <v>18.326092662575906</v>
      </c>
      <c r="K151">
        <v>0.81</v>
      </c>
      <c r="M151">
        <v>0.15</v>
      </c>
      <c r="N151" s="596"/>
    </row>
    <row r="152" spans="1:14">
      <c r="A152" t="s">
        <v>37</v>
      </c>
      <c r="B152" t="s">
        <v>887</v>
      </c>
      <c r="C152" t="s">
        <v>888</v>
      </c>
      <c r="D152" t="s">
        <v>32</v>
      </c>
      <c r="E152" t="s">
        <v>125</v>
      </c>
      <c r="F152" t="s">
        <v>150</v>
      </c>
      <c r="G152">
        <v>2022</v>
      </c>
      <c r="H152">
        <v>20</v>
      </c>
      <c r="I152" s="594">
        <v>1413.7304298441168</v>
      </c>
      <c r="J152" s="595">
        <v>19.829026187813611</v>
      </c>
      <c r="K152">
        <v>0.87</v>
      </c>
      <c r="M152">
        <v>0.15</v>
      </c>
      <c r="N152" s="596"/>
    </row>
    <row r="153" spans="1:14">
      <c r="A153" t="s">
        <v>37</v>
      </c>
      <c r="B153" t="s">
        <v>889</v>
      </c>
      <c r="C153" t="s">
        <v>890</v>
      </c>
      <c r="D153" t="s">
        <v>32</v>
      </c>
      <c r="E153" t="s">
        <v>125</v>
      </c>
      <c r="F153" t="s">
        <v>150</v>
      </c>
      <c r="G153">
        <v>2022</v>
      </c>
      <c r="H153">
        <v>20</v>
      </c>
      <c r="I153" s="594">
        <v>1493.2311630627346</v>
      </c>
      <c r="J153" s="595">
        <v>20.94410590008675</v>
      </c>
      <c r="K153">
        <v>0.97</v>
      </c>
      <c r="M153">
        <v>0.15</v>
      </c>
      <c r="N153" s="596"/>
    </row>
    <row r="154" spans="1:14">
      <c r="A154" t="s">
        <v>37</v>
      </c>
      <c r="B154" t="s">
        <v>891</v>
      </c>
      <c r="C154" t="s">
        <v>892</v>
      </c>
      <c r="D154" t="s">
        <v>32</v>
      </c>
      <c r="E154" t="s">
        <v>125</v>
      </c>
      <c r="F154" t="s">
        <v>150</v>
      </c>
      <c r="G154">
        <v>2023</v>
      </c>
      <c r="H154">
        <v>20</v>
      </c>
      <c r="I154" s="594">
        <v>1489.7746094445338</v>
      </c>
      <c r="J154" s="595">
        <v>20.895624173466182</v>
      </c>
      <c r="K154">
        <v>0.95</v>
      </c>
      <c r="M154">
        <v>0.15</v>
      </c>
      <c r="N154" s="596"/>
    </row>
    <row r="155" spans="1:14">
      <c r="A155" t="s">
        <v>37</v>
      </c>
      <c r="B155" t="s">
        <v>893</v>
      </c>
      <c r="C155" t="s">
        <v>894</v>
      </c>
      <c r="D155" t="s">
        <v>32</v>
      </c>
      <c r="E155" t="s">
        <v>125</v>
      </c>
      <c r="F155" t="s">
        <v>150</v>
      </c>
      <c r="G155">
        <v>2030</v>
      </c>
      <c r="H155">
        <v>20</v>
      </c>
      <c r="I155" s="594">
        <v>1462.1221804989275</v>
      </c>
      <c r="J155" s="595">
        <v>20.507770360501606</v>
      </c>
      <c r="K155">
        <v>0.92</v>
      </c>
      <c r="M155">
        <v>0.15</v>
      </c>
      <c r="N155" s="596"/>
    </row>
    <row r="156" spans="1:14">
      <c r="A156" t="s">
        <v>37</v>
      </c>
      <c r="B156" t="s">
        <v>895</v>
      </c>
      <c r="C156" t="s">
        <v>896</v>
      </c>
      <c r="D156" t="s">
        <v>32</v>
      </c>
      <c r="E156" t="s">
        <v>125</v>
      </c>
      <c r="F156" t="s">
        <v>150</v>
      </c>
      <c r="G156">
        <v>2030</v>
      </c>
      <c r="H156">
        <v>20</v>
      </c>
      <c r="I156" s="594">
        <v>1493.2311630627346</v>
      </c>
      <c r="J156" s="595">
        <v>20.94410590008675</v>
      </c>
      <c r="K156">
        <v>0.97</v>
      </c>
      <c r="M156">
        <v>0.15</v>
      </c>
      <c r="N156" s="596"/>
    </row>
    <row r="157" spans="1:14">
      <c r="A157" t="s">
        <v>54</v>
      </c>
      <c r="B157" t="str">
        <f>A157</f>
        <v>*Solar (EIA EQ: Residentail Solar Water Heaters)</v>
      </c>
      <c r="J157" s="595"/>
      <c r="K157" s="595"/>
    </row>
    <row r="158" spans="1:14">
      <c r="A158" t="s">
        <v>37</v>
      </c>
      <c r="B158" t="s">
        <v>897</v>
      </c>
      <c r="C158" t="s">
        <v>898</v>
      </c>
      <c r="D158" t="s">
        <v>32</v>
      </c>
      <c r="E158" t="s">
        <v>122</v>
      </c>
      <c r="F158" t="s">
        <v>150</v>
      </c>
      <c r="G158" t="s">
        <v>899</v>
      </c>
      <c r="H158">
        <v>15</v>
      </c>
      <c r="I158" s="594">
        <v>7840</v>
      </c>
      <c r="J158" s="595">
        <v>61.791109582146873</v>
      </c>
      <c r="K158" s="595">
        <v>1</v>
      </c>
      <c r="M158">
        <v>0.1</v>
      </c>
    </row>
    <row r="159" spans="1:14">
      <c r="E159" t="s">
        <v>151</v>
      </c>
      <c r="I159" s="594"/>
      <c r="J159" s="595"/>
      <c r="K159" s="595"/>
    </row>
    <row r="160" spans="1:14">
      <c r="A160" t="s">
        <v>37</v>
      </c>
      <c r="B160" t="s">
        <v>900</v>
      </c>
      <c r="C160" t="s">
        <v>901</v>
      </c>
      <c r="D160" t="s">
        <v>32</v>
      </c>
      <c r="E160" t="s">
        <v>122</v>
      </c>
      <c r="F160" t="s">
        <v>150</v>
      </c>
      <c r="G160">
        <v>2015</v>
      </c>
      <c r="H160">
        <v>22.5</v>
      </c>
      <c r="I160" s="594">
        <v>7362.4592067676494</v>
      </c>
      <c r="J160" s="595">
        <v>58.027362709115557</v>
      </c>
      <c r="K160" s="595">
        <v>1</v>
      </c>
      <c r="M160">
        <v>0.1</v>
      </c>
    </row>
    <row r="161" spans="1:13">
      <c r="E161" t="s">
        <v>151</v>
      </c>
      <c r="I161" s="594"/>
      <c r="J161" s="595"/>
      <c r="K161" s="595"/>
    </row>
    <row r="162" spans="1:13">
      <c r="A162" t="s">
        <v>37</v>
      </c>
      <c r="B162" t="s">
        <v>902</v>
      </c>
      <c r="C162" t="s">
        <v>903</v>
      </c>
      <c r="D162" t="s">
        <v>32</v>
      </c>
      <c r="E162" t="s">
        <v>122</v>
      </c>
      <c r="F162" t="s">
        <v>150</v>
      </c>
      <c r="G162">
        <v>2020</v>
      </c>
      <c r="H162">
        <v>22.5</v>
      </c>
      <c r="I162" s="594">
        <v>7362.4592067676494</v>
      </c>
      <c r="J162" s="595">
        <v>58.027362709115557</v>
      </c>
      <c r="K162" s="595">
        <v>1</v>
      </c>
      <c r="M162">
        <v>0.1</v>
      </c>
    </row>
    <row r="163" spans="1:13">
      <c r="E163" t="s">
        <v>151</v>
      </c>
      <c r="I163" s="594"/>
      <c r="J163" s="595"/>
      <c r="K163" s="595"/>
    </row>
    <row r="164" spans="1:13">
      <c r="A164" t="s">
        <v>37</v>
      </c>
      <c r="B164" t="s">
        <v>904</v>
      </c>
      <c r="C164" t="s">
        <v>905</v>
      </c>
      <c r="D164" t="s">
        <v>32</v>
      </c>
      <c r="E164" t="s">
        <v>122</v>
      </c>
      <c r="F164" t="s">
        <v>150</v>
      </c>
      <c r="G164">
        <v>2030</v>
      </c>
      <c r="H164">
        <v>22.5</v>
      </c>
      <c r="I164" s="594">
        <v>5571.9644325396484</v>
      </c>
      <c r="J164" s="595">
        <v>43.915543984551306</v>
      </c>
      <c r="K164" s="595">
        <v>1</v>
      </c>
      <c r="M164">
        <v>0.1</v>
      </c>
    </row>
    <row r="165" spans="1:13">
      <c r="E165" t="s">
        <v>151</v>
      </c>
      <c r="I165" s="594"/>
      <c r="J165" s="595"/>
      <c r="K165" s="595"/>
    </row>
    <row r="166" spans="1:13">
      <c r="A166" t="s">
        <v>37</v>
      </c>
      <c r="B166" t="s">
        <v>906</v>
      </c>
      <c r="C166" t="s">
        <v>907</v>
      </c>
      <c r="D166" t="s">
        <v>32</v>
      </c>
      <c r="E166" t="s">
        <v>122</v>
      </c>
      <c r="F166" t="s">
        <v>150</v>
      </c>
      <c r="G166">
        <v>2030</v>
      </c>
      <c r="H166">
        <v>22.5</v>
      </c>
      <c r="I166" s="594">
        <v>5571.9644325396484</v>
      </c>
      <c r="J166" s="595">
        <v>43.915543984551306</v>
      </c>
      <c r="K166" s="595">
        <v>1</v>
      </c>
      <c r="M166">
        <v>0.1</v>
      </c>
    </row>
    <row r="167" spans="1:13">
      <c r="E167" t="s">
        <v>151</v>
      </c>
      <c r="I167" s="594"/>
      <c r="J167" s="595"/>
      <c r="K167" s="595"/>
    </row>
    <row r="168" spans="1:13">
      <c r="A168" t="s">
        <v>37</v>
      </c>
      <c r="B168" t="s">
        <v>908</v>
      </c>
      <c r="C168" t="s">
        <v>909</v>
      </c>
      <c r="D168" t="s">
        <v>32</v>
      </c>
      <c r="E168" t="s">
        <v>122</v>
      </c>
      <c r="F168" t="s">
        <v>150</v>
      </c>
      <c r="G168">
        <v>2040</v>
      </c>
      <c r="H168">
        <v>22.5</v>
      </c>
      <c r="I168" s="594">
        <v>5571.9644325396484</v>
      </c>
      <c r="J168" s="595">
        <v>43.915543984551306</v>
      </c>
      <c r="K168" s="595">
        <v>1</v>
      </c>
      <c r="M168">
        <v>0.1</v>
      </c>
    </row>
    <row r="169" spans="1:13">
      <c r="E169" t="s">
        <v>151</v>
      </c>
      <c r="I169" s="594"/>
      <c r="J169" s="595"/>
      <c r="K169" s="595"/>
    </row>
    <row r="170" spans="1:13">
      <c r="A170" t="s">
        <v>37</v>
      </c>
      <c r="B170" t="s">
        <v>910</v>
      </c>
      <c r="C170" t="s">
        <v>911</v>
      </c>
      <c r="D170" t="s">
        <v>32</v>
      </c>
      <c r="E170" t="s">
        <v>122</v>
      </c>
      <c r="F170" t="s">
        <v>150</v>
      </c>
      <c r="G170">
        <v>2040</v>
      </c>
      <c r="H170">
        <v>22.5</v>
      </c>
      <c r="I170" s="594">
        <v>5571.9644325396484</v>
      </c>
      <c r="J170" s="595">
        <v>43.915543984551306</v>
      </c>
      <c r="K170" s="595">
        <v>1</v>
      </c>
      <c r="M170">
        <v>0.1</v>
      </c>
    </row>
    <row r="171" spans="1:13">
      <c r="E171" t="s">
        <v>151</v>
      </c>
      <c r="I171" s="594"/>
      <c r="J171" s="595"/>
      <c r="K171" s="595"/>
    </row>
    <row r="172" spans="1:13">
      <c r="I172" s="594"/>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094D1-CBD0-4442-B790-41662AF5FB7D}">
  <dimension ref="A1:AI149"/>
  <sheetViews>
    <sheetView topLeftCell="J1" zoomScale="80" zoomScaleNormal="80" workbookViewId="0">
      <selection activeCell="Q72" sqref="Q72"/>
    </sheetView>
  </sheetViews>
  <sheetFormatPr defaultColWidth="34.7265625" defaultRowHeight="12.5"/>
  <cols>
    <col min="1" max="1" width="21.7265625" style="90" bestFit="1" customWidth="1"/>
    <col min="2" max="2" width="15.54296875" style="90" customWidth="1"/>
    <col min="3" max="3" width="34.7265625" style="90" customWidth="1"/>
    <col min="4" max="4" width="7.26953125" style="90" customWidth="1"/>
    <col min="5" max="5" width="13.26953125" style="90" customWidth="1"/>
    <col min="6" max="6" width="11.26953125" style="90" customWidth="1"/>
    <col min="7" max="7" width="9.453125" style="185" customWidth="1"/>
    <col min="8" max="8" width="6.54296875" style="185" customWidth="1"/>
    <col min="9" max="9" width="9" style="185" customWidth="1"/>
    <col min="10" max="10" width="10.54296875" style="337" customWidth="1"/>
    <col min="11" max="11" width="5.26953125" style="185" customWidth="1"/>
    <col min="12" max="12" width="7.7265625" style="185" customWidth="1"/>
    <col min="13" max="13" width="5" style="185" bestFit="1" customWidth="1"/>
    <col min="14" max="14" width="5.453125" style="185" customWidth="1"/>
    <col min="15" max="15" width="10.54296875" style="185" customWidth="1"/>
    <col min="16" max="16" width="12.26953125" style="90" customWidth="1"/>
    <col min="17" max="17" width="9.7265625" style="346" customWidth="1"/>
    <col min="18" max="18" width="14.7265625" style="185" customWidth="1"/>
    <col min="19" max="21" width="9.54296875" style="185" customWidth="1"/>
    <col min="22" max="26" width="9.54296875" style="347" customWidth="1"/>
    <col min="27" max="31" width="9.54296875" style="459" customWidth="1"/>
    <col min="32" max="35" width="6.26953125" style="185" customWidth="1"/>
    <col min="36" max="16384" width="34.7265625" style="90"/>
  </cols>
  <sheetData>
    <row r="1" spans="1:35" ht="40.5" customHeight="1">
      <c r="A1" s="190"/>
      <c r="B1" s="190" t="s">
        <v>7</v>
      </c>
      <c r="C1" s="651" t="s">
        <v>8</v>
      </c>
      <c r="D1" s="651" t="s">
        <v>431</v>
      </c>
      <c r="E1" s="651" t="s">
        <v>74</v>
      </c>
      <c r="F1" s="651" t="s">
        <v>75</v>
      </c>
      <c r="G1" s="185" t="s">
        <v>631</v>
      </c>
      <c r="H1" s="185" t="s">
        <v>632</v>
      </c>
      <c r="I1" s="185" t="s">
        <v>634</v>
      </c>
      <c r="J1" s="337" t="s">
        <v>79</v>
      </c>
      <c r="K1" s="185" t="s">
        <v>912</v>
      </c>
      <c r="L1" s="185" t="s">
        <v>913</v>
      </c>
      <c r="M1" s="185" t="s">
        <v>636</v>
      </c>
      <c r="N1" s="185" t="s">
        <v>914</v>
      </c>
      <c r="O1" s="185" t="s">
        <v>915</v>
      </c>
      <c r="P1" s="338" t="s">
        <v>916</v>
      </c>
      <c r="Q1" s="339" t="s">
        <v>917</v>
      </c>
      <c r="R1" s="340" t="s">
        <v>79</v>
      </c>
      <c r="S1" s="458"/>
      <c r="T1" s="463" t="s">
        <v>918</v>
      </c>
      <c r="U1" s="463" t="s">
        <v>919</v>
      </c>
      <c r="V1" s="667" t="s">
        <v>920</v>
      </c>
      <c r="W1" s="667"/>
      <c r="X1" s="667"/>
      <c r="Y1" s="667"/>
      <c r="Z1" s="667"/>
      <c r="AA1" s="668" t="s">
        <v>921</v>
      </c>
      <c r="AB1" s="668"/>
      <c r="AC1" s="668"/>
      <c r="AD1" s="668"/>
      <c r="AE1" s="668"/>
      <c r="AF1" s="455"/>
      <c r="AG1" s="455"/>
      <c r="AH1" s="455"/>
      <c r="AI1" s="340"/>
    </row>
    <row r="2" spans="1:35" ht="13">
      <c r="A2" s="190" t="s">
        <v>29</v>
      </c>
      <c r="B2" s="190"/>
      <c r="C2" s="190"/>
      <c r="D2" s="190"/>
      <c r="E2" s="190"/>
      <c r="F2" s="190"/>
      <c r="G2" s="342"/>
      <c r="H2" s="342"/>
      <c r="I2" s="342"/>
      <c r="J2" s="343"/>
      <c r="K2" s="342"/>
      <c r="L2" s="342"/>
      <c r="M2" s="342"/>
      <c r="N2" s="342"/>
      <c r="O2" s="342"/>
      <c r="P2" s="344"/>
      <c r="Q2" s="345"/>
      <c r="R2" s="342"/>
      <c r="S2" s="393"/>
      <c r="T2" s="393"/>
      <c r="U2" s="393"/>
      <c r="V2" s="393" t="s">
        <v>922</v>
      </c>
      <c r="W2" s="393" t="s">
        <v>923</v>
      </c>
      <c r="X2" s="393" t="s">
        <v>924</v>
      </c>
      <c r="Y2" s="393" t="s">
        <v>925</v>
      </c>
      <c r="Z2" s="393" t="s">
        <v>926</v>
      </c>
      <c r="AA2" s="393" t="s">
        <v>922</v>
      </c>
      <c r="AB2" s="393" t="s">
        <v>923</v>
      </c>
      <c r="AC2" s="393" t="s">
        <v>924</v>
      </c>
      <c r="AD2" s="393" t="s">
        <v>925</v>
      </c>
      <c r="AE2" s="393" t="s">
        <v>926</v>
      </c>
    </row>
    <row r="3" spans="1:35" s="29" customFormat="1" ht="13">
      <c r="A3" s="451"/>
      <c r="B3" s="451"/>
      <c r="C3" s="451"/>
      <c r="D3" s="451"/>
      <c r="E3" s="451"/>
      <c r="F3" s="451"/>
      <c r="G3" s="452"/>
      <c r="H3" s="452"/>
      <c r="I3" s="452"/>
      <c r="J3" s="464"/>
      <c r="K3" s="452"/>
      <c r="L3" s="452"/>
      <c r="M3" s="452"/>
      <c r="N3" s="452"/>
      <c r="O3" s="452"/>
      <c r="P3" s="465"/>
      <c r="Q3" s="466"/>
      <c r="R3" s="452"/>
      <c r="S3" s="393"/>
      <c r="T3" s="393"/>
      <c r="U3" s="452" t="e">
        <f>SUM(U5:U52)</f>
        <v>#REF!</v>
      </c>
      <c r="V3" s="452"/>
      <c r="W3" s="452"/>
      <c r="X3" s="452"/>
      <c r="Y3" s="452"/>
      <c r="Z3" s="452"/>
      <c r="AA3" s="452" t="e">
        <f>ResDemand!E19</f>
        <v>#REF!</v>
      </c>
      <c r="AB3" s="452" t="e">
        <f>ResDemand!E20</f>
        <v>#REF!</v>
      </c>
      <c r="AC3" s="452" t="e">
        <f>ResDemand!E21</f>
        <v>#REF!</v>
      </c>
      <c r="AD3" s="452" t="e">
        <f>ResDemand!E22</f>
        <v>#REF!</v>
      </c>
      <c r="AE3" s="452" t="e">
        <f>ResDemand!E23</f>
        <v>#REF!</v>
      </c>
      <c r="AF3" s="468" t="e">
        <f>SUM(AA3:AE3)-U3</f>
        <v>#REF!</v>
      </c>
      <c r="AG3" s="467"/>
      <c r="AH3" s="467"/>
      <c r="AI3" s="467"/>
    </row>
    <row r="4" spans="1:35" ht="13">
      <c r="A4" s="460" t="s">
        <v>512</v>
      </c>
      <c r="B4" s="352"/>
      <c r="C4" s="352"/>
      <c r="D4" s="352"/>
      <c r="E4" s="352"/>
      <c r="F4" s="352"/>
      <c r="G4" s="353"/>
      <c r="H4" s="353"/>
      <c r="I4" s="353"/>
      <c r="J4" s="354"/>
      <c r="K4" s="353"/>
      <c r="L4" s="353"/>
      <c r="M4" s="353">
        <f>M6</f>
        <v>0.16</v>
      </c>
      <c r="N4" s="353"/>
      <c r="O4" s="353"/>
      <c r="P4" s="457" t="e">
        <f>SUM(P5:P21)</f>
        <v>#REF!</v>
      </c>
      <c r="Q4" s="461" t="str">
        <f>A4</f>
        <v>ELC</v>
      </c>
      <c r="R4" s="353"/>
      <c r="S4" s="353"/>
      <c r="T4" s="353" t="e">
        <f>'2010 Fuel Share'!C72</f>
        <v>#REF!</v>
      </c>
      <c r="U4" s="353"/>
      <c r="V4" s="353"/>
      <c r="W4" s="353"/>
      <c r="X4" s="353"/>
      <c r="Y4" s="353"/>
      <c r="Z4" s="353"/>
      <c r="AA4" s="353" t="e">
        <f>SUM(AA6:AA52)</f>
        <v>#REF!</v>
      </c>
      <c r="AB4" s="353" t="e">
        <f t="shared" ref="AB4:AE4" si="0">SUM(AB6:AB52)</f>
        <v>#REF!</v>
      </c>
      <c r="AC4" s="353" t="e">
        <f t="shared" si="0"/>
        <v>#REF!</v>
      </c>
      <c r="AD4" s="353" t="e">
        <f t="shared" si="0"/>
        <v>#REF!</v>
      </c>
      <c r="AE4" s="353" t="e">
        <f t="shared" si="0"/>
        <v>#REF!</v>
      </c>
      <c r="AF4" s="651"/>
      <c r="AG4" s="651"/>
      <c r="AH4" s="651"/>
    </row>
    <row r="5" spans="1:35">
      <c r="A5" s="651" t="s">
        <v>927</v>
      </c>
      <c r="B5" s="651"/>
      <c r="C5" s="651"/>
      <c r="D5" s="651"/>
      <c r="E5" s="651"/>
      <c r="F5" s="651"/>
      <c r="P5" s="185"/>
    </row>
    <row r="6" spans="1:35">
      <c r="A6" s="651" t="s">
        <v>928</v>
      </c>
      <c r="B6" s="651" t="s">
        <v>929</v>
      </c>
      <c r="C6" s="651" t="s">
        <v>930</v>
      </c>
      <c r="D6" s="651" t="s">
        <v>32</v>
      </c>
      <c r="E6" s="651" t="s">
        <v>122</v>
      </c>
      <c r="F6" s="651" t="s">
        <v>123</v>
      </c>
      <c r="G6" s="185" t="s">
        <v>931</v>
      </c>
      <c r="H6" s="185">
        <v>20</v>
      </c>
      <c r="J6" s="337">
        <v>1</v>
      </c>
      <c r="K6" s="185">
        <v>1</v>
      </c>
      <c r="L6" s="185">
        <v>1</v>
      </c>
      <c r="M6" s="185">
        <v>0.16</v>
      </c>
      <c r="O6" s="185">
        <v>0.18</v>
      </c>
      <c r="P6" s="651"/>
      <c r="R6" s="185">
        <f>J6</f>
        <v>1</v>
      </c>
    </row>
    <row r="7" spans="1:35" s="558" customFormat="1">
      <c r="A7" s="558" t="s">
        <v>928</v>
      </c>
      <c r="B7" s="558" t="s">
        <v>640</v>
      </c>
      <c r="C7" s="558" t="s">
        <v>641</v>
      </c>
      <c r="D7" s="558" t="s">
        <v>32</v>
      </c>
      <c r="E7" s="558" t="s">
        <v>122</v>
      </c>
      <c r="F7" s="558" t="s">
        <v>123</v>
      </c>
      <c r="G7" s="605" t="s">
        <v>899</v>
      </c>
      <c r="H7" s="605">
        <v>20</v>
      </c>
      <c r="I7" s="605">
        <v>3.7369871363896365</v>
      </c>
      <c r="J7" s="606">
        <v>1</v>
      </c>
      <c r="K7" s="605">
        <v>1</v>
      </c>
      <c r="L7" s="605">
        <v>1</v>
      </c>
      <c r="M7" s="605">
        <v>0.16</v>
      </c>
      <c r="N7" s="605"/>
      <c r="O7" s="605">
        <v>0.18</v>
      </c>
      <c r="P7" s="605" t="e">
        <f>#REF!</f>
        <v>#REF!</v>
      </c>
      <c r="Q7" s="607" t="e">
        <f>P7/$P$4</f>
        <v>#REF!</v>
      </c>
      <c r="R7" s="605">
        <f>J7</f>
        <v>1</v>
      </c>
      <c r="S7" s="605"/>
      <c r="T7" s="605" t="e">
        <f t="shared" ref="T7" si="1">T4*$Q$7*$R$7/$M$7</f>
        <v>#REF!</v>
      </c>
      <c r="U7" s="605" t="e">
        <f>T7*$M$7</f>
        <v>#REF!</v>
      </c>
      <c r="V7" s="605" t="e">
        <f>$T7*AA$3/$U$3</f>
        <v>#REF!</v>
      </c>
      <c r="W7" s="605" t="e">
        <f>$T7*AB$3/$U$3</f>
        <v>#REF!</v>
      </c>
      <c r="X7" s="605" t="e">
        <f>$T7*AC$3/$U$3</f>
        <v>#REF!</v>
      </c>
      <c r="Y7" s="605" t="e">
        <f>$T7*AD$3/$U$3</f>
        <v>#REF!</v>
      </c>
      <c r="Z7" s="605" t="e">
        <f>$T7*AE$3/$U$3</f>
        <v>#REF!</v>
      </c>
      <c r="AA7" s="605" t="e">
        <f>$U7*AA3/$U$3</f>
        <v>#REF!</v>
      </c>
      <c r="AB7" s="605" t="e">
        <f>$U7*AB3/$U$3</f>
        <v>#REF!</v>
      </c>
      <c r="AC7" s="605" t="e">
        <f>$U7*AC3/$U$3</f>
        <v>#REF!</v>
      </c>
      <c r="AD7" s="605" t="e">
        <f>$U7*AD3/$U$3</f>
        <v>#REF!</v>
      </c>
      <c r="AE7" s="605" t="e">
        <f>$U7*AE3/$U$3</f>
        <v>#REF!</v>
      </c>
      <c r="AF7" s="605"/>
      <c r="AG7" s="605"/>
      <c r="AH7" s="605"/>
      <c r="AI7" s="605"/>
    </row>
    <row r="8" spans="1:35">
      <c r="A8" s="651" t="s">
        <v>932</v>
      </c>
      <c r="B8" s="651"/>
      <c r="C8" s="651"/>
      <c r="D8" s="651"/>
      <c r="E8" s="651"/>
      <c r="F8" s="651"/>
      <c r="P8" s="185"/>
    </row>
    <row r="9" spans="1:35">
      <c r="A9" s="651" t="s">
        <v>928</v>
      </c>
      <c r="B9" s="651" t="s">
        <v>555</v>
      </c>
      <c r="C9" s="651" t="s">
        <v>933</v>
      </c>
      <c r="D9" s="651" t="s">
        <v>32</v>
      </c>
      <c r="E9" s="651" t="s">
        <v>122</v>
      </c>
      <c r="F9" s="651" t="s">
        <v>123</v>
      </c>
      <c r="G9" s="185" t="s">
        <v>931</v>
      </c>
      <c r="H9" s="185">
        <v>15</v>
      </c>
      <c r="J9" s="337">
        <v>2.2657000026278018</v>
      </c>
      <c r="K9" s="185">
        <v>1</v>
      </c>
      <c r="L9" s="185">
        <v>1</v>
      </c>
      <c r="M9" s="185">
        <v>0.16</v>
      </c>
      <c r="O9" s="185">
        <v>0.18</v>
      </c>
      <c r="P9" s="651"/>
      <c r="R9" s="185">
        <f t="shared" ref="R9:R21" si="2">J9</f>
        <v>2.2657000026278018</v>
      </c>
    </row>
    <row r="10" spans="1:35" s="558" customFormat="1">
      <c r="A10" s="558" t="s">
        <v>928</v>
      </c>
      <c r="B10" s="558" t="s">
        <v>557</v>
      </c>
      <c r="C10" s="558" t="s">
        <v>934</v>
      </c>
      <c r="D10" s="558" t="s">
        <v>32</v>
      </c>
      <c r="E10" s="558" t="s">
        <v>122</v>
      </c>
      <c r="F10" s="558" t="s">
        <v>123</v>
      </c>
      <c r="G10" s="605" t="s">
        <v>899</v>
      </c>
      <c r="H10" s="605">
        <v>15</v>
      </c>
      <c r="I10" s="605">
        <v>6.5561177831397135</v>
      </c>
      <c r="J10" s="606">
        <v>2.2599999999999998</v>
      </c>
      <c r="K10" s="605">
        <v>1</v>
      </c>
      <c r="L10" s="605">
        <v>1</v>
      </c>
      <c r="M10" s="605">
        <v>0.16</v>
      </c>
      <c r="N10" s="605"/>
      <c r="O10" s="605">
        <v>0.18</v>
      </c>
      <c r="P10" s="605" t="e">
        <f>#REF!</f>
        <v>#REF!</v>
      </c>
      <c r="Q10" s="607" t="e">
        <f>P10/$P$4</f>
        <v>#REF!</v>
      </c>
      <c r="R10" s="605">
        <f t="shared" si="2"/>
        <v>2.2599999999999998</v>
      </c>
      <c r="S10" s="605"/>
      <c r="T10" s="605" t="e">
        <f t="shared" ref="T10" si="3">T4*$Q$10*$R$10/$M$10</f>
        <v>#REF!</v>
      </c>
      <c r="U10" s="605" t="e">
        <f>T10*$M$10</f>
        <v>#REF!</v>
      </c>
      <c r="V10" s="605" t="e">
        <f>$T10*AA$3/$U$3</f>
        <v>#REF!</v>
      </c>
      <c r="W10" s="605" t="e">
        <f>$T10*AB$3/$U$3</f>
        <v>#REF!</v>
      </c>
      <c r="X10" s="605" t="e">
        <f>$T10*AC$3/$U$3</f>
        <v>#REF!</v>
      </c>
      <c r="Y10" s="605" t="e">
        <f>$T10*AD$3/$U$3</f>
        <v>#REF!</v>
      </c>
      <c r="Z10" s="605" t="e">
        <f>$T10*AE$3/$U$3</f>
        <v>#REF!</v>
      </c>
      <c r="AA10" s="605" t="e">
        <f>$U10*AA$3/$U$3</f>
        <v>#REF!</v>
      </c>
      <c r="AB10" s="605" t="e">
        <f>$U10*AB3/$U$3</f>
        <v>#REF!</v>
      </c>
      <c r="AC10" s="605" t="e">
        <f>$U10*AC3/$U$3</f>
        <v>#REF!</v>
      </c>
      <c r="AD10" s="605" t="e">
        <f>$U10*AD3/$U$3</f>
        <v>#REF!</v>
      </c>
      <c r="AE10" s="605" t="e">
        <f>$U10*AE3/$U$3</f>
        <v>#REF!</v>
      </c>
      <c r="AF10" s="605"/>
      <c r="AG10" s="605"/>
      <c r="AH10" s="605"/>
      <c r="AI10" s="605"/>
    </row>
    <row r="11" spans="1:35">
      <c r="A11" s="651" t="s">
        <v>928</v>
      </c>
      <c r="B11" s="651" t="s">
        <v>559</v>
      </c>
      <c r="C11" s="651" t="s">
        <v>935</v>
      </c>
      <c r="D11" s="651" t="s">
        <v>32</v>
      </c>
      <c r="E11" s="651" t="s">
        <v>122</v>
      </c>
      <c r="F11" s="651" t="s">
        <v>123</v>
      </c>
      <c r="G11" s="185" t="s">
        <v>168</v>
      </c>
      <c r="H11" s="185">
        <v>15</v>
      </c>
      <c r="I11" s="185">
        <v>6.7609964638628277</v>
      </c>
      <c r="J11" s="337">
        <v>2.4</v>
      </c>
      <c r="K11" s="185">
        <v>1</v>
      </c>
      <c r="L11" s="185">
        <v>1</v>
      </c>
      <c r="M11" s="185">
        <v>0.16</v>
      </c>
      <c r="O11" s="185">
        <v>0.18</v>
      </c>
      <c r="P11" s="185"/>
      <c r="R11" s="185">
        <f t="shared" si="2"/>
        <v>2.4</v>
      </c>
    </row>
    <row r="12" spans="1:35">
      <c r="A12" s="651" t="s">
        <v>928</v>
      </c>
      <c r="B12" s="651" t="s">
        <v>561</v>
      </c>
      <c r="C12" s="651" t="s">
        <v>936</v>
      </c>
      <c r="D12" s="651" t="s">
        <v>32</v>
      </c>
      <c r="E12" s="651" t="s">
        <v>122</v>
      </c>
      <c r="F12" s="651" t="s">
        <v>123</v>
      </c>
      <c r="G12" s="185" t="s">
        <v>899</v>
      </c>
      <c r="H12" s="185">
        <v>15</v>
      </c>
      <c r="I12" s="185">
        <v>8.8097832710939876</v>
      </c>
      <c r="J12" s="337">
        <v>2.4</v>
      </c>
      <c r="K12" s="185">
        <v>1</v>
      </c>
      <c r="L12" s="185">
        <v>1</v>
      </c>
      <c r="M12" s="185">
        <v>0.16</v>
      </c>
      <c r="O12" s="185">
        <v>0.18</v>
      </c>
      <c r="P12" s="185"/>
      <c r="R12" s="185">
        <f t="shared" si="2"/>
        <v>2.4</v>
      </c>
    </row>
    <row r="13" spans="1:35">
      <c r="A13" s="651" t="s">
        <v>928</v>
      </c>
      <c r="B13" s="651" t="s">
        <v>563</v>
      </c>
      <c r="C13" s="651" t="s">
        <v>937</v>
      </c>
      <c r="D13" s="651" t="s">
        <v>32</v>
      </c>
      <c r="E13" s="651" t="s">
        <v>122</v>
      </c>
      <c r="F13" s="651" t="s">
        <v>123</v>
      </c>
      <c r="G13" s="185" t="s">
        <v>168</v>
      </c>
      <c r="H13" s="185">
        <v>15</v>
      </c>
      <c r="I13" s="185">
        <v>9.356126419688966</v>
      </c>
      <c r="J13" s="337">
        <v>2.58</v>
      </c>
      <c r="K13" s="185">
        <v>1</v>
      </c>
      <c r="L13" s="185">
        <v>1</v>
      </c>
      <c r="M13" s="185">
        <v>0.16</v>
      </c>
      <c r="O13" s="185">
        <v>0.18</v>
      </c>
      <c r="P13" s="185"/>
      <c r="R13" s="185">
        <f t="shared" si="2"/>
        <v>2.58</v>
      </c>
    </row>
    <row r="14" spans="1:35">
      <c r="A14" s="651" t="s">
        <v>928</v>
      </c>
      <c r="B14" s="651" t="s">
        <v>565</v>
      </c>
      <c r="C14" s="651" t="s">
        <v>938</v>
      </c>
      <c r="D14" s="651" t="s">
        <v>32</v>
      </c>
      <c r="E14" s="651" t="s">
        <v>122</v>
      </c>
      <c r="F14" s="651" t="s">
        <v>123</v>
      </c>
      <c r="G14" s="185" t="s">
        <v>899</v>
      </c>
      <c r="H14" s="185">
        <v>15</v>
      </c>
      <c r="I14" s="185">
        <v>9.7658837811351979</v>
      </c>
      <c r="J14" s="337">
        <v>2.4900000000000002</v>
      </c>
      <c r="K14" s="185">
        <v>1</v>
      </c>
      <c r="L14" s="185">
        <v>1</v>
      </c>
      <c r="M14" s="185">
        <v>0.16</v>
      </c>
      <c r="O14" s="185">
        <v>0.18</v>
      </c>
      <c r="P14" s="185"/>
      <c r="R14" s="185">
        <f t="shared" si="2"/>
        <v>2.4900000000000002</v>
      </c>
    </row>
    <row r="15" spans="1:35">
      <c r="A15" s="651" t="s">
        <v>928</v>
      </c>
      <c r="B15" s="651" t="s">
        <v>567</v>
      </c>
      <c r="C15" s="651" t="s">
        <v>939</v>
      </c>
      <c r="D15" s="651" t="s">
        <v>32</v>
      </c>
      <c r="E15" s="651" t="s">
        <v>122</v>
      </c>
      <c r="F15" s="651" t="s">
        <v>123</v>
      </c>
      <c r="G15" s="185" t="s">
        <v>168</v>
      </c>
      <c r="H15" s="185">
        <v>15</v>
      </c>
      <c r="I15" s="185">
        <v>9.7658837811351979</v>
      </c>
      <c r="J15" s="337">
        <v>2.4900000000000002</v>
      </c>
      <c r="K15" s="185">
        <v>1</v>
      </c>
      <c r="L15" s="185">
        <v>1</v>
      </c>
      <c r="M15" s="185">
        <v>0.16</v>
      </c>
      <c r="O15" s="185">
        <v>0.18</v>
      </c>
      <c r="P15" s="185"/>
      <c r="R15" s="185">
        <f t="shared" si="2"/>
        <v>2.4900000000000002</v>
      </c>
    </row>
    <row r="16" spans="1:35">
      <c r="A16" s="651" t="s">
        <v>928</v>
      </c>
      <c r="B16" s="651" t="s">
        <v>569</v>
      </c>
      <c r="C16" s="651" t="s">
        <v>940</v>
      </c>
      <c r="D16" s="651" t="s">
        <v>32</v>
      </c>
      <c r="E16" s="651" t="s">
        <v>122</v>
      </c>
      <c r="F16" s="651" t="s">
        <v>123</v>
      </c>
      <c r="G16" s="185" t="s">
        <v>219</v>
      </c>
      <c r="H16" s="185">
        <v>15</v>
      </c>
      <c r="I16" s="185">
        <v>10.2439340361558</v>
      </c>
      <c r="J16" s="337">
        <v>2.78</v>
      </c>
      <c r="K16" s="185">
        <v>1</v>
      </c>
      <c r="L16" s="185">
        <v>1</v>
      </c>
      <c r="M16" s="185">
        <v>0.16</v>
      </c>
      <c r="O16" s="185">
        <v>0.18</v>
      </c>
      <c r="P16" s="185"/>
      <c r="R16" s="185">
        <f t="shared" si="2"/>
        <v>2.78</v>
      </c>
    </row>
    <row r="17" spans="1:35">
      <c r="A17" s="651" t="s">
        <v>928</v>
      </c>
      <c r="B17" s="651" t="s">
        <v>571</v>
      </c>
      <c r="C17" s="651" t="s">
        <v>941</v>
      </c>
      <c r="D17" s="651" t="s">
        <v>32</v>
      </c>
      <c r="E17" s="651" t="s">
        <v>122</v>
      </c>
      <c r="F17" s="651" t="s">
        <v>123</v>
      </c>
      <c r="G17" s="185" t="s">
        <v>222</v>
      </c>
      <c r="H17" s="185">
        <v>15</v>
      </c>
      <c r="I17" s="185">
        <v>10.2439340361558</v>
      </c>
      <c r="J17" s="337">
        <v>2.8</v>
      </c>
      <c r="K17" s="185">
        <v>1</v>
      </c>
      <c r="L17" s="185">
        <v>1</v>
      </c>
      <c r="M17" s="185">
        <v>0.16</v>
      </c>
      <c r="O17" s="185">
        <v>0.18</v>
      </c>
      <c r="P17" s="185"/>
      <c r="R17" s="185">
        <f t="shared" si="2"/>
        <v>2.8</v>
      </c>
    </row>
    <row r="18" spans="1:35">
      <c r="A18" s="651" t="s">
        <v>928</v>
      </c>
      <c r="B18" s="651" t="s">
        <v>573</v>
      </c>
      <c r="C18" s="651" t="s">
        <v>942</v>
      </c>
      <c r="D18" s="651" t="s">
        <v>32</v>
      </c>
      <c r="E18" s="651" t="s">
        <v>122</v>
      </c>
      <c r="F18" s="651" t="s">
        <v>123</v>
      </c>
      <c r="G18" s="185" t="s">
        <v>899</v>
      </c>
      <c r="H18" s="185">
        <v>15</v>
      </c>
      <c r="I18" s="185">
        <v>10.926862971899521</v>
      </c>
      <c r="J18" s="337">
        <v>3.14</v>
      </c>
      <c r="K18" s="185">
        <v>1</v>
      </c>
      <c r="L18" s="185">
        <v>1</v>
      </c>
      <c r="M18" s="185">
        <v>0.16</v>
      </c>
      <c r="O18" s="185">
        <v>0.18</v>
      </c>
      <c r="P18" s="185"/>
      <c r="R18" s="185">
        <f t="shared" si="2"/>
        <v>3.14</v>
      </c>
    </row>
    <row r="19" spans="1:35">
      <c r="A19" s="651" t="s">
        <v>928</v>
      </c>
      <c r="B19" s="651" t="s">
        <v>575</v>
      </c>
      <c r="C19" s="651" t="s">
        <v>943</v>
      </c>
      <c r="D19" s="651" t="s">
        <v>32</v>
      </c>
      <c r="E19" s="651" t="s">
        <v>122</v>
      </c>
      <c r="F19" s="651" t="s">
        <v>123</v>
      </c>
      <c r="G19" s="185" t="s">
        <v>219</v>
      </c>
      <c r="H19" s="185">
        <v>15</v>
      </c>
      <c r="I19" s="185">
        <v>11.20003454619701</v>
      </c>
      <c r="J19" s="337">
        <v>3.17</v>
      </c>
      <c r="K19" s="185">
        <v>1</v>
      </c>
      <c r="L19" s="185">
        <v>1</v>
      </c>
      <c r="M19" s="185">
        <v>0.16</v>
      </c>
      <c r="O19" s="185">
        <v>0.18</v>
      </c>
      <c r="P19" s="185"/>
      <c r="R19" s="185">
        <f t="shared" si="2"/>
        <v>3.17</v>
      </c>
    </row>
    <row r="20" spans="1:35">
      <c r="A20" s="651" t="s">
        <v>928</v>
      </c>
      <c r="B20" s="651" t="s">
        <v>577</v>
      </c>
      <c r="C20" s="651" t="s">
        <v>944</v>
      </c>
      <c r="D20" s="651" t="s">
        <v>32</v>
      </c>
      <c r="E20" s="651" t="s">
        <v>122</v>
      </c>
      <c r="F20" s="651" t="s">
        <v>123</v>
      </c>
      <c r="G20" s="185" t="s">
        <v>222</v>
      </c>
      <c r="H20" s="185">
        <v>15</v>
      </c>
      <c r="I20" s="185">
        <v>11.268327439771381</v>
      </c>
      <c r="J20" s="337">
        <v>3.22</v>
      </c>
      <c r="K20" s="185">
        <v>1</v>
      </c>
      <c r="L20" s="185">
        <v>1</v>
      </c>
      <c r="M20" s="185">
        <v>0.16</v>
      </c>
      <c r="O20" s="185">
        <v>0.18</v>
      </c>
      <c r="P20" s="185"/>
      <c r="R20" s="185">
        <f t="shared" si="2"/>
        <v>3.22</v>
      </c>
    </row>
    <row r="21" spans="1:35">
      <c r="A21" s="651" t="s">
        <v>928</v>
      </c>
      <c r="B21" s="651" t="s">
        <v>579</v>
      </c>
      <c r="C21" s="651" t="s">
        <v>945</v>
      </c>
      <c r="D21" s="651" t="s">
        <v>32</v>
      </c>
      <c r="E21" s="651" t="s">
        <v>122</v>
      </c>
      <c r="F21" s="651" t="s">
        <v>123</v>
      </c>
      <c r="G21" s="185" t="s">
        <v>946</v>
      </c>
      <c r="H21" s="185">
        <v>15</v>
      </c>
      <c r="I21" s="185">
        <v>11.268327439771381</v>
      </c>
      <c r="J21" s="337">
        <v>3.22</v>
      </c>
      <c r="K21" s="185">
        <v>1</v>
      </c>
      <c r="L21" s="185">
        <v>1</v>
      </c>
      <c r="M21" s="185">
        <v>0.16</v>
      </c>
      <c r="O21" s="185">
        <v>0.18</v>
      </c>
      <c r="P21" s="185"/>
      <c r="R21" s="185">
        <f t="shared" si="2"/>
        <v>3.22</v>
      </c>
    </row>
    <row r="22" spans="1:35" ht="13">
      <c r="A22" s="460" t="s">
        <v>947</v>
      </c>
      <c r="B22" s="352"/>
      <c r="C22" s="352"/>
      <c r="D22" s="352"/>
      <c r="E22" s="352"/>
      <c r="F22" s="352"/>
      <c r="G22" s="353"/>
      <c r="H22" s="353"/>
      <c r="I22" s="353"/>
      <c r="J22" s="354"/>
      <c r="K22" s="353"/>
      <c r="L22" s="353"/>
      <c r="M22" s="353">
        <f>M24</f>
        <v>0.16</v>
      </c>
      <c r="N22" s="353"/>
      <c r="O22" s="353"/>
      <c r="P22" s="353" t="e">
        <f>SUM(P23:P35)</f>
        <v>#REF!</v>
      </c>
      <c r="Q22" s="355" t="s">
        <v>947</v>
      </c>
      <c r="R22" s="353"/>
      <c r="S22" s="353"/>
      <c r="T22" s="353" t="e">
        <f>'2010 Fuel Share'!C73</f>
        <v>#REF!</v>
      </c>
      <c r="U22" s="353"/>
      <c r="V22" s="353"/>
      <c r="W22" s="353"/>
      <c r="X22" s="353"/>
      <c r="Y22" s="353"/>
      <c r="Z22" s="353"/>
      <c r="AA22" s="353"/>
      <c r="AB22" s="353"/>
      <c r="AC22" s="353"/>
      <c r="AD22" s="353"/>
      <c r="AE22" s="353"/>
      <c r="AF22" s="651" t="e">
        <f>(U25+U32+U39+U45)/U3</f>
        <v>#REF!</v>
      </c>
      <c r="AG22" s="651"/>
      <c r="AH22" s="651"/>
    </row>
    <row r="23" spans="1:35">
      <c r="A23" s="651" t="s">
        <v>948</v>
      </c>
      <c r="B23" s="651"/>
      <c r="C23" s="651"/>
      <c r="D23" s="651"/>
      <c r="E23" s="651"/>
      <c r="F23" s="651"/>
      <c r="P23" s="185"/>
    </row>
    <row r="24" spans="1:35">
      <c r="A24" s="651" t="s">
        <v>928</v>
      </c>
      <c r="B24" s="651" t="s">
        <v>949</v>
      </c>
      <c r="C24" s="651" t="s">
        <v>950</v>
      </c>
      <c r="D24" s="651" t="s">
        <v>32</v>
      </c>
      <c r="E24" s="651" t="s">
        <v>125</v>
      </c>
      <c r="F24" s="651" t="s">
        <v>123</v>
      </c>
      <c r="G24" s="185" t="s">
        <v>931</v>
      </c>
      <c r="H24" s="185">
        <v>15</v>
      </c>
      <c r="J24" s="337">
        <v>0.81440001726150502</v>
      </c>
      <c r="K24" s="185">
        <v>1</v>
      </c>
      <c r="L24" s="185">
        <v>1</v>
      </c>
      <c r="M24" s="185">
        <v>0.16</v>
      </c>
      <c r="O24" s="185">
        <v>0.18</v>
      </c>
      <c r="P24" s="651"/>
      <c r="R24" s="185">
        <f t="shared" ref="R24:R29" si="4">J24</f>
        <v>0.81440001726150502</v>
      </c>
    </row>
    <row r="25" spans="1:35" s="558" customFormat="1">
      <c r="A25" s="558" t="s">
        <v>928</v>
      </c>
      <c r="B25" s="558" t="s">
        <v>951</v>
      </c>
      <c r="C25" s="558" t="s">
        <v>952</v>
      </c>
      <c r="D25" s="558" t="s">
        <v>32</v>
      </c>
      <c r="E25" s="558" t="s">
        <v>125</v>
      </c>
      <c r="F25" s="558" t="s">
        <v>123</v>
      </c>
      <c r="G25" s="605" t="s">
        <v>899</v>
      </c>
      <c r="H25" s="605">
        <v>15</v>
      </c>
      <c r="I25" s="605">
        <v>4.9170883373547847</v>
      </c>
      <c r="J25" s="606">
        <v>0.78</v>
      </c>
      <c r="K25" s="605">
        <v>1</v>
      </c>
      <c r="L25" s="605">
        <v>1</v>
      </c>
      <c r="M25" s="605">
        <v>0.16</v>
      </c>
      <c r="N25" s="605"/>
      <c r="O25" s="605">
        <v>0.18</v>
      </c>
      <c r="P25" s="605" t="e">
        <f>#REF!</f>
        <v>#REF!</v>
      </c>
      <c r="Q25" s="607" t="e">
        <f>P25/$P$22</f>
        <v>#REF!</v>
      </c>
      <c r="R25" s="605">
        <f t="shared" si="4"/>
        <v>0.78</v>
      </c>
      <c r="S25" s="605"/>
      <c r="T25" s="605" t="e">
        <f t="shared" ref="T25" si="5">T22*$Q$25*$R$25/$M$25</f>
        <v>#REF!</v>
      </c>
      <c r="U25" s="605" t="e">
        <f>T22*$Q$25*$R$25</f>
        <v>#REF!</v>
      </c>
      <c r="V25" s="605" t="e">
        <f>$T25*AA$3/$U$3</f>
        <v>#REF!</v>
      </c>
      <c r="W25" s="605" t="e">
        <f>$T25*AB$3/$U$3</f>
        <v>#REF!</v>
      </c>
      <c r="X25" s="605" t="e">
        <f>$T25*AC$3/$U$3</f>
        <v>#REF!</v>
      </c>
      <c r="Y25" s="605" t="e">
        <f>$T25*AD$3/$U$3</f>
        <v>#REF!</v>
      </c>
      <c r="Z25" s="605" t="e">
        <f>$T25*AE$3/$U$3</f>
        <v>#REF!</v>
      </c>
      <c r="AA25" s="605" t="e">
        <f>$U25*AA$3/$U$3</f>
        <v>#REF!</v>
      </c>
      <c r="AB25" s="605" t="e">
        <f>$U25*AB$3/$U$3</f>
        <v>#REF!</v>
      </c>
      <c r="AC25" s="605" t="e">
        <f>$U25*AC$3/$U$3</f>
        <v>#REF!</v>
      </c>
      <c r="AD25" s="605" t="e">
        <f>$U25*AD$3/$U$3</f>
        <v>#REF!</v>
      </c>
      <c r="AE25" s="605" t="e">
        <f>$U25*AE$3/$U$3</f>
        <v>#REF!</v>
      </c>
      <c r="AF25" s="605"/>
      <c r="AG25" s="605"/>
      <c r="AH25" s="605"/>
      <c r="AI25" s="605"/>
    </row>
    <row r="26" spans="1:35">
      <c r="A26" s="651" t="s">
        <v>928</v>
      </c>
      <c r="B26" s="651" t="s">
        <v>953</v>
      </c>
      <c r="C26" s="651" t="s">
        <v>954</v>
      </c>
      <c r="D26" s="651" t="s">
        <v>32</v>
      </c>
      <c r="E26" s="651" t="s">
        <v>125</v>
      </c>
      <c r="F26" s="651" t="s">
        <v>123</v>
      </c>
      <c r="G26" s="185" t="s">
        <v>899</v>
      </c>
      <c r="H26" s="185">
        <v>15</v>
      </c>
      <c r="I26" s="185">
        <v>4.9170883373547847</v>
      </c>
      <c r="J26" s="337">
        <v>0.8</v>
      </c>
      <c r="K26" s="185">
        <v>1</v>
      </c>
      <c r="L26" s="185">
        <v>1</v>
      </c>
      <c r="M26" s="185">
        <v>0.16</v>
      </c>
      <c r="O26" s="185">
        <v>0.18</v>
      </c>
      <c r="P26" s="185"/>
      <c r="R26" s="185">
        <f t="shared" si="4"/>
        <v>0.8</v>
      </c>
    </row>
    <row r="27" spans="1:35">
      <c r="A27" s="651" t="s">
        <v>928</v>
      </c>
      <c r="B27" s="651" t="s">
        <v>955</v>
      </c>
      <c r="C27" s="651" t="s">
        <v>956</v>
      </c>
      <c r="D27" s="651" t="s">
        <v>32</v>
      </c>
      <c r="E27" s="651" t="s">
        <v>125</v>
      </c>
      <c r="F27" s="651" t="s">
        <v>123</v>
      </c>
      <c r="G27" s="185" t="s">
        <v>899</v>
      </c>
      <c r="H27" s="185">
        <v>20</v>
      </c>
      <c r="I27" s="185">
        <v>5.4087971710902627</v>
      </c>
      <c r="J27" s="337">
        <v>0.9</v>
      </c>
      <c r="K27" s="185">
        <v>1</v>
      </c>
      <c r="L27" s="185">
        <v>1</v>
      </c>
      <c r="M27" s="185">
        <v>0.16</v>
      </c>
      <c r="O27" s="185">
        <v>0.18</v>
      </c>
      <c r="P27" s="185"/>
      <c r="R27" s="185">
        <f t="shared" si="4"/>
        <v>0.9</v>
      </c>
    </row>
    <row r="28" spans="1:35">
      <c r="A28" s="651" t="s">
        <v>928</v>
      </c>
      <c r="B28" s="651" t="s">
        <v>957</v>
      </c>
      <c r="C28" s="651" t="s">
        <v>958</v>
      </c>
      <c r="D28" s="651" t="s">
        <v>32</v>
      </c>
      <c r="E28" s="651" t="s">
        <v>125</v>
      </c>
      <c r="F28" s="651" t="s">
        <v>123</v>
      </c>
      <c r="G28" s="185" t="s">
        <v>899</v>
      </c>
      <c r="H28" s="185">
        <v>20</v>
      </c>
      <c r="I28" s="185">
        <v>6.2938730718141249</v>
      </c>
      <c r="J28" s="337">
        <v>0.95</v>
      </c>
      <c r="K28" s="185">
        <v>1</v>
      </c>
      <c r="L28" s="185">
        <v>1</v>
      </c>
      <c r="M28" s="185">
        <v>0.16</v>
      </c>
      <c r="O28" s="185">
        <v>0.18</v>
      </c>
      <c r="P28" s="185"/>
      <c r="R28" s="185">
        <f t="shared" si="4"/>
        <v>0.95</v>
      </c>
    </row>
    <row r="29" spans="1:35">
      <c r="A29" s="651" t="s">
        <v>928</v>
      </c>
      <c r="B29" s="651" t="s">
        <v>959</v>
      </c>
      <c r="C29" s="651" t="s">
        <v>960</v>
      </c>
      <c r="D29" s="651" t="s">
        <v>32</v>
      </c>
      <c r="E29" s="651" t="s">
        <v>125</v>
      </c>
      <c r="F29" s="651" t="s">
        <v>123</v>
      </c>
      <c r="G29" s="185" t="s">
        <v>899</v>
      </c>
      <c r="H29" s="185">
        <v>20</v>
      </c>
      <c r="I29" s="185">
        <v>7.3756325060321766</v>
      </c>
      <c r="J29" s="337">
        <v>0.98</v>
      </c>
      <c r="K29" s="185">
        <v>1</v>
      </c>
      <c r="L29" s="185">
        <v>1</v>
      </c>
      <c r="M29" s="185">
        <v>0.16</v>
      </c>
      <c r="O29" s="185">
        <v>0.18</v>
      </c>
      <c r="P29" s="185"/>
      <c r="R29" s="185">
        <f t="shared" si="4"/>
        <v>0.98</v>
      </c>
    </row>
    <row r="30" spans="1:35">
      <c r="A30" s="651" t="s">
        <v>961</v>
      </c>
      <c r="B30" s="651"/>
      <c r="C30" s="651"/>
      <c r="D30" s="651"/>
      <c r="E30" s="651"/>
      <c r="F30" s="651"/>
      <c r="P30" s="185"/>
    </row>
    <row r="31" spans="1:35">
      <c r="A31" s="651" t="s">
        <v>928</v>
      </c>
      <c r="B31" s="651" t="s">
        <v>962</v>
      </c>
      <c r="C31" s="651" t="s">
        <v>963</v>
      </c>
      <c r="D31" s="651" t="s">
        <v>32</v>
      </c>
      <c r="E31" s="651" t="s">
        <v>125</v>
      </c>
      <c r="F31" s="651" t="s">
        <v>123</v>
      </c>
      <c r="G31" s="185" t="s">
        <v>931</v>
      </c>
      <c r="H31" s="185">
        <v>20</v>
      </c>
      <c r="J31" s="337">
        <v>0.8</v>
      </c>
      <c r="K31" s="185">
        <v>1</v>
      </c>
      <c r="L31" s="185">
        <v>1</v>
      </c>
      <c r="M31" s="185">
        <v>0.16</v>
      </c>
      <c r="O31" s="185">
        <v>0.18</v>
      </c>
      <c r="P31" s="651"/>
      <c r="R31" s="185">
        <f t="shared" ref="R31:R35" si="6">J31</f>
        <v>0.8</v>
      </c>
    </row>
    <row r="32" spans="1:35" s="558" customFormat="1">
      <c r="A32" s="558" t="s">
        <v>928</v>
      </c>
      <c r="B32" s="558" t="s">
        <v>964</v>
      </c>
      <c r="C32" s="558" t="s">
        <v>965</v>
      </c>
      <c r="D32" s="558" t="s">
        <v>32</v>
      </c>
      <c r="E32" s="558" t="s">
        <v>125</v>
      </c>
      <c r="F32" s="558" t="s">
        <v>123</v>
      </c>
      <c r="G32" s="605" t="s">
        <v>899</v>
      </c>
      <c r="H32" s="605">
        <v>20</v>
      </c>
      <c r="I32" s="605">
        <v>6.4905566053083152</v>
      </c>
      <c r="J32" s="606">
        <v>0.8</v>
      </c>
      <c r="K32" s="605">
        <v>1</v>
      </c>
      <c r="L32" s="605">
        <v>1</v>
      </c>
      <c r="M32" s="605">
        <v>0.16</v>
      </c>
      <c r="N32" s="605"/>
      <c r="O32" s="605">
        <v>0.18</v>
      </c>
      <c r="P32" s="605" t="e">
        <f>#REF!</f>
        <v>#REF!</v>
      </c>
      <c r="Q32" s="607" t="e">
        <f>P32/$P$22</f>
        <v>#REF!</v>
      </c>
      <c r="R32" s="605">
        <f t="shared" si="6"/>
        <v>0.8</v>
      </c>
      <c r="S32" s="605"/>
      <c r="T32" s="605" t="e">
        <f t="shared" ref="T32" si="7">T22*$Q$32*$R$32/$M$32</f>
        <v>#REF!</v>
      </c>
      <c r="U32" s="605" t="e">
        <f>T22*$Q$32*$R$32</f>
        <v>#REF!</v>
      </c>
      <c r="V32" s="605" t="e">
        <f>$T32*AA$3/$U$3</f>
        <v>#REF!</v>
      </c>
      <c r="W32" s="605" t="e">
        <f>$T32*AB$3/$U$3</f>
        <v>#REF!</v>
      </c>
      <c r="X32" s="605" t="e">
        <f>$T32*AC$3/$U$3</f>
        <v>#REF!</v>
      </c>
      <c r="Y32" s="605" t="e">
        <f>$T32*AD$3/$U$3</f>
        <v>#REF!</v>
      </c>
      <c r="Z32" s="605" t="e">
        <f>$T32*AE$3/$U$3</f>
        <v>#REF!</v>
      </c>
      <c r="AA32" s="605" t="e">
        <f>$U32*AA$3/$U$3</f>
        <v>#REF!</v>
      </c>
      <c r="AB32" s="605" t="e">
        <f>$U32*AB$3/$U$3</f>
        <v>#REF!</v>
      </c>
      <c r="AC32" s="605" t="e">
        <f>$U32*AC$3/$U$3</f>
        <v>#REF!</v>
      </c>
      <c r="AD32" s="605" t="e">
        <f>$U32*AD$3/$U$3</f>
        <v>#REF!</v>
      </c>
      <c r="AE32" s="605" t="e">
        <f>$U32*AE$3/$U$3</f>
        <v>#REF!</v>
      </c>
      <c r="AF32" s="605"/>
      <c r="AG32" s="605"/>
      <c r="AH32" s="605"/>
      <c r="AI32" s="605"/>
    </row>
    <row r="33" spans="1:35">
      <c r="A33" s="651" t="s">
        <v>928</v>
      </c>
      <c r="B33" s="651" t="s">
        <v>966</v>
      </c>
      <c r="C33" s="651" t="s">
        <v>967</v>
      </c>
      <c r="D33" s="651" t="s">
        <v>32</v>
      </c>
      <c r="E33" s="651" t="s">
        <v>125</v>
      </c>
      <c r="F33" s="651" t="s">
        <v>123</v>
      </c>
      <c r="G33" s="185" t="s">
        <v>168</v>
      </c>
      <c r="H33" s="185">
        <v>20</v>
      </c>
      <c r="I33" s="185">
        <v>6.8839236722966968</v>
      </c>
      <c r="J33" s="337">
        <v>0.82</v>
      </c>
      <c r="K33" s="185">
        <v>1</v>
      </c>
      <c r="L33" s="185">
        <v>1</v>
      </c>
      <c r="M33" s="185">
        <v>0.16</v>
      </c>
      <c r="O33" s="185">
        <v>0.18</v>
      </c>
      <c r="P33" s="185"/>
      <c r="R33" s="185">
        <f t="shared" si="6"/>
        <v>0.82</v>
      </c>
    </row>
    <row r="34" spans="1:35">
      <c r="A34" s="651" t="s">
        <v>928</v>
      </c>
      <c r="B34" s="651" t="s">
        <v>968</v>
      </c>
      <c r="C34" s="651" t="s">
        <v>969</v>
      </c>
      <c r="D34" s="651" t="s">
        <v>32</v>
      </c>
      <c r="E34" s="651" t="s">
        <v>125</v>
      </c>
      <c r="F34" s="651" t="s">
        <v>123</v>
      </c>
      <c r="G34" s="185" t="s">
        <v>899</v>
      </c>
      <c r="H34" s="185">
        <v>20</v>
      </c>
      <c r="I34" s="185">
        <v>8.3590501735031335</v>
      </c>
      <c r="J34" s="337">
        <v>0.85</v>
      </c>
      <c r="K34" s="185">
        <v>1</v>
      </c>
      <c r="L34" s="185">
        <v>1</v>
      </c>
      <c r="M34" s="185">
        <v>0.16</v>
      </c>
      <c r="O34" s="185">
        <v>0.18</v>
      </c>
      <c r="P34" s="185"/>
      <c r="R34" s="185">
        <f t="shared" si="6"/>
        <v>0.85</v>
      </c>
    </row>
    <row r="35" spans="1:35">
      <c r="A35" s="651" t="s">
        <v>928</v>
      </c>
      <c r="B35" s="651" t="s">
        <v>970</v>
      </c>
      <c r="C35" s="651" t="s">
        <v>971</v>
      </c>
      <c r="D35" s="651" t="s">
        <v>32</v>
      </c>
      <c r="E35" s="651" t="s">
        <v>125</v>
      </c>
      <c r="F35" s="651" t="s">
        <v>123</v>
      </c>
      <c r="G35" s="185" t="s">
        <v>899</v>
      </c>
      <c r="H35" s="185">
        <v>20</v>
      </c>
      <c r="I35" s="185">
        <v>7.8673413397676546</v>
      </c>
      <c r="J35" s="337">
        <v>0.98</v>
      </c>
      <c r="K35" s="185">
        <v>1</v>
      </c>
      <c r="L35" s="185">
        <v>1</v>
      </c>
      <c r="M35" s="185">
        <v>0.16</v>
      </c>
      <c r="O35" s="185">
        <v>0.18</v>
      </c>
      <c r="P35" s="185"/>
      <c r="R35" s="185">
        <f t="shared" si="6"/>
        <v>0.98</v>
      </c>
    </row>
    <row r="36" spans="1:35" ht="13">
      <c r="A36" s="460" t="s">
        <v>972</v>
      </c>
      <c r="B36" s="352"/>
      <c r="C36" s="352"/>
      <c r="D36" s="352"/>
      <c r="E36" s="352"/>
      <c r="F36" s="352"/>
      <c r="G36" s="353"/>
      <c r="H36" s="353"/>
      <c r="I36" s="353"/>
      <c r="J36" s="354"/>
      <c r="K36" s="353"/>
      <c r="L36" s="353"/>
      <c r="M36" s="353">
        <f>M38</f>
        <v>0.16</v>
      </c>
      <c r="N36" s="353"/>
      <c r="O36" s="353"/>
      <c r="P36" s="353" t="e">
        <f>SUM(P37:P52)</f>
        <v>#REF!</v>
      </c>
      <c r="Q36" s="355" t="s">
        <v>972</v>
      </c>
      <c r="R36" s="353"/>
      <c r="S36" s="353"/>
      <c r="T36" s="353" t="e">
        <f>'2010 Fuel Share'!C74</f>
        <v>#REF!</v>
      </c>
      <c r="U36" s="353"/>
      <c r="V36" s="353"/>
      <c r="W36" s="353"/>
      <c r="X36" s="353"/>
      <c r="Y36" s="353"/>
      <c r="Z36" s="353"/>
      <c r="AA36" s="353"/>
      <c r="AB36" s="353"/>
      <c r="AC36" s="353"/>
      <c r="AD36" s="353"/>
      <c r="AE36" s="353"/>
      <c r="AF36" s="651"/>
      <c r="AG36" s="651"/>
      <c r="AH36" s="651"/>
    </row>
    <row r="37" spans="1:35">
      <c r="A37" s="651" t="s">
        <v>973</v>
      </c>
      <c r="B37" s="651"/>
      <c r="C37" s="651"/>
      <c r="D37" s="651"/>
      <c r="E37" s="651"/>
      <c r="F37" s="651"/>
      <c r="P37" s="185"/>
    </row>
    <row r="38" spans="1:35">
      <c r="A38" s="651" t="s">
        <v>928</v>
      </c>
      <c r="B38" s="651" t="s">
        <v>974</v>
      </c>
      <c r="C38" s="651" t="s">
        <v>975</v>
      </c>
      <c r="D38" s="651" t="s">
        <v>32</v>
      </c>
      <c r="E38" s="651" t="s">
        <v>126</v>
      </c>
      <c r="F38" s="651" t="s">
        <v>123</v>
      </c>
      <c r="G38" s="185" t="s">
        <v>931</v>
      </c>
      <c r="H38" s="185">
        <v>20</v>
      </c>
      <c r="J38" s="337">
        <v>0.81739997863769498</v>
      </c>
      <c r="K38" s="185">
        <v>1</v>
      </c>
      <c r="L38" s="185">
        <v>1</v>
      </c>
      <c r="M38" s="185">
        <v>0.16</v>
      </c>
      <c r="O38" s="185">
        <v>0.45</v>
      </c>
      <c r="P38" s="651"/>
      <c r="R38" s="185">
        <f t="shared" ref="R38:R42" si="8">J38</f>
        <v>0.81739997863769498</v>
      </c>
    </row>
    <row r="39" spans="1:35" s="558" customFormat="1">
      <c r="A39" s="558" t="s">
        <v>928</v>
      </c>
      <c r="B39" s="558" t="s">
        <v>976</v>
      </c>
      <c r="C39" s="558" t="s">
        <v>977</v>
      </c>
      <c r="D39" s="558" t="s">
        <v>32</v>
      </c>
      <c r="E39" s="558" t="s">
        <v>126</v>
      </c>
      <c r="F39" s="558" t="s">
        <v>123</v>
      </c>
      <c r="G39" s="605" t="s">
        <v>899</v>
      </c>
      <c r="H39" s="605">
        <v>20</v>
      </c>
      <c r="I39" s="605">
        <v>6.3922148385612205</v>
      </c>
      <c r="J39" s="606">
        <f>TechData_DMD!I150</f>
        <v>4.9809999999999999</v>
      </c>
      <c r="K39" s="605">
        <v>1</v>
      </c>
      <c r="L39" s="605">
        <v>1</v>
      </c>
      <c r="M39" s="605">
        <v>0.16</v>
      </c>
      <c r="N39" s="605"/>
      <c r="O39" s="605">
        <v>0.45</v>
      </c>
      <c r="P39" s="605" t="e">
        <f>#REF!</f>
        <v>#REF!</v>
      </c>
      <c r="Q39" s="607" t="e">
        <f>P39/$P$36</f>
        <v>#REF!</v>
      </c>
      <c r="R39" s="605">
        <f t="shared" si="8"/>
        <v>4.9809999999999999</v>
      </c>
      <c r="S39" s="605"/>
      <c r="T39" s="605" t="e">
        <f t="shared" ref="T39" si="9">T36*$Q$39*$R$39/$M$39</f>
        <v>#REF!</v>
      </c>
      <c r="U39" s="605" t="e">
        <f>T36*$Q$39*$R$39</f>
        <v>#REF!</v>
      </c>
      <c r="V39" s="605" t="e">
        <f>$T39*AA$3/$U$3</f>
        <v>#REF!</v>
      </c>
      <c r="W39" s="605" t="e">
        <f>$T39*AB$3/$U$3</f>
        <v>#REF!</v>
      </c>
      <c r="X39" s="605" t="e">
        <f>$T39*AC$3/$U$3</f>
        <v>#REF!</v>
      </c>
      <c r="Y39" s="605" t="e">
        <f>$T39*AD$3/$U$3</f>
        <v>#REF!</v>
      </c>
      <c r="Z39" s="605" t="e">
        <f>$T39*AE$3/$U$3</f>
        <v>#REF!</v>
      </c>
      <c r="AA39" s="605" t="e">
        <f>$U39*AA$3/$U$3</f>
        <v>#REF!</v>
      </c>
      <c r="AB39" s="605" t="e">
        <f>$U39*AB$3/$U$3</f>
        <v>#REF!</v>
      </c>
      <c r="AC39" s="605" t="e">
        <f>$U39*AC$3/$U$3</f>
        <v>#REF!</v>
      </c>
      <c r="AD39" s="605" t="e">
        <f>$U39*AD$3/$U$3</f>
        <v>#REF!</v>
      </c>
      <c r="AE39" s="605" t="e">
        <f>$U39*AE$3/$U$3</f>
        <v>#REF!</v>
      </c>
      <c r="AF39" s="605"/>
      <c r="AG39" s="605"/>
      <c r="AH39" s="605"/>
      <c r="AI39" s="605"/>
    </row>
    <row r="40" spans="1:35">
      <c r="A40" s="651" t="s">
        <v>928</v>
      </c>
      <c r="B40" s="651" t="s">
        <v>978</v>
      </c>
      <c r="C40" s="651" t="s">
        <v>979</v>
      </c>
      <c r="D40" s="651" t="s">
        <v>32</v>
      </c>
      <c r="E40" s="651" t="s">
        <v>126</v>
      </c>
      <c r="F40" s="651" t="s">
        <v>123</v>
      </c>
      <c r="G40" s="185" t="s">
        <v>168</v>
      </c>
      <c r="H40" s="185">
        <v>20</v>
      </c>
      <c r="I40" s="185">
        <v>6.8839236722966968</v>
      </c>
      <c r="J40" s="337">
        <v>0.83</v>
      </c>
      <c r="K40" s="185">
        <v>1</v>
      </c>
      <c r="L40" s="185">
        <v>1</v>
      </c>
      <c r="M40" s="185">
        <v>0.16</v>
      </c>
      <c r="O40" s="185">
        <v>0.45</v>
      </c>
      <c r="P40" s="185"/>
      <c r="R40" s="185">
        <f t="shared" si="8"/>
        <v>0.83</v>
      </c>
    </row>
    <row r="41" spans="1:35">
      <c r="A41" s="651" t="s">
        <v>928</v>
      </c>
      <c r="B41" s="651" t="s">
        <v>980</v>
      </c>
      <c r="C41" s="651" t="s">
        <v>981</v>
      </c>
      <c r="D41" s="651" t="s">
        <v>32</v>
      </c>
      <c r="E41" s="651" t="s">
        <v>126</v>
      </c>
      <c r="F41" s="651" t="s">
        <v>123</v>
      </c>
      <c r="G41" s="185" t="s">
        <v>899</v>
      </c>
      <c r="H41" s="185">
        <v>20</v>
      </c>
      <c r="I41" s="185">
        <v>9.3424678409740913</v>
      </c>
      <c r="J41" s="337">
        <v>0.85</v>
      </c>
      <c r="K41" s="185">
        <v>1</v>
      </c>
      <c r="L41" s="185">
        <v>1</v>
      </c>
      <c r="M41" s="185">
        <v>0.16</v>
      </c>
      <c r="O41" s="185">
        <v>0.45</v>
      </c>
      <c r="P41" s="185"/>
      <c r="R41" s="185">
        <f t="shared" si="8"/>
        <v>0.85</v>
      </c>
    </row>
    <row r="42" spans="1:35">
      <c r="A42" s="651" t="s">
        <v>928</v>
      </c>
      <c r="B42" s="651" t="s">
        <v>982</v>
      </c>
      <c r="C42" s="651" t="s">
        <v>983</v>
      </c>
      <c r="D42" s="651" t="s">
        <v>32</v>
      </c>
      <c r="E42" s="651" t="s">
        <v>126</v>
      </c>
      <c r="F42" s="651" t="s">
        <v>123</v>
      </c>
      <c r="G42" s="185" t="s">
        <v>899</v>
      </c>
      <c r="H42" s="185">
        <v>20</v>
      </c>
      <c r="I42" s="185">
        <v>9.3424678409740913</v>
      </c>
      <c r="J42" s="337">
        <v>0.98</v>
      </c>
      <c r="K42" s="185">
        <v>1</v>
      </c>
      <c r="L42" s="185">
        <v>1</v>
      </c>
      <c r="M42" s="185">
        <v>0.16</v>
      </c>
      <c r="O42" s="185">
        <v>0.45</v>
      </c>
      <c r="P42" s="185"/>
      <c r="R42" s="185">
        <f t="shared" si="8"/>
        <v>0.98</v>
      </c>
    </row>
    <row r="43" spans="1:35">
      <c r="A43" s="651" t="s">
        <v>984</v>
      </c>
      <c r="B43" s="651"/>
      <c r="C43" s="651"/>
      <c r="D43" s="651"/>
      <c r="E43" s="651"/>
      <c r="F43" s="651"/>
      <c r="P43" s="185"/>
    </row>
    <row r="44" spans="1:35">
      <c r="A44" s="651" t="s">
        <v>928</v>
      </c>
      <c r="B44" s="651" t="s">
        <v>985</v>
      </c>
      <c r="C44" s="651" t="s">
        <v>986</v>
      </c>
      <c r="D44" s="651" t="s">
        <v>32</v>
      </c>
      <c r="E44" s="651" t="s">
        <v>126</v>
      </c>
      <c r="F44" s="651" t="s">
        <v>123</v>
      </c>
      <c r="G44" s="185" t="s">
        <v>931</v>
      </c>
      <c r="H44" s="185">
        <v>20</v>
      </c>
      <c r="J44" s="337">
        <v>0.8</v>
      </c>
      <c r="K44" s="185">
        <v>1</v>
      </c>
      <c r="L44" s="185">
        <v>1</v>
      </c>
      <c r="M44" s="185">
        <v>0.16</v>
      </c>
      <c r="O44" s="185">
        <v>0.45</v>
      </c>
      <c r="P44" s="651"/>
      <c r="R44" s="185">
        <f t="shared" ref="R44:R48" si="10">J44</f>
        <v>0.8</v>
      </c>
    </row>
    <row r="45" spans="1:35" s="558" customFormat="1">
      <c r="A45" s="558" t="s">
        <v>928</v>
      </c>
      <c r="B45" s="558" t="s">
        <v>987</v>
      </c>
      <c r="C45" s="558" t="s">
        <v>988</v>
      </c>
      <c r="D45" s="558" t="s">
        <v>32</v>
      </c>
      <c r="E45" s="558" t="s">
        <v>126</v>
      </c>
      <c r="F45" s="558" t="s">
        <v>123</v>
      </c>
      <c r="G45" s="605" t="s">
        <v>899</v>
      </c>
      <c r="H45" s="605">
        <v>20</v>
      </c>
      <c r="I45" s="605">
        <v>9.0146619518171054</v>
      </c>
      <c r="J45" s="606">
        <f>TechData_DMD!I156</f>
        <v>1.9630999999999998</v>
      </c>
      <c r="K45" s="605">
        <v>1</v>
      </c>
      <c r="L45" s="605">
        <v>1</v>
      </c>
      <c r="M45" s="605">
        <v>0.16</v>
      </c>
      <c r="N45" s="605"/>
      <c r="O45" s="605">
        <v>0.45</v>
      </c>
      <c r="P45" s="605" t="e">
        <f>#REF!</f>
        <v>#REF!</v>
      </c>
      <c r="Q45" s="607" t="e">
        <f t="shared" ref="Q45" si="11">P45/$P$36</f>
        <v>#REF!</v>
      </c>
      <c r="R45" s="605">
        <f t="shared" si="10"/>
        <v>1.9630999999999998</v>
      </c>
      <c r="S45" s="605"/>
      <c r="T45" s="605" t="e">
        <f t="shared" ref="T45" si="12">T36*$Q$45*$R$45/$M$45</f>
        <v>#REF!</v>
      </c>
      <c r="U45" s="605" t="e">
        <f>T36*$Q$45*$R$45</f>
        <v>#REF!</v>
      </c>
      <c r="V45" s="605" t="e">
        <f>$T45*AA$3/$U$3</f>
        <v>#REF!</v>
      </c>
      <c r="W45" s="605" t="e">
        <f>$T45*AB$3/$U$3</f>
        <v>#REF!</v>
      </c>
      <c r="X45" s="605" t="e">
        <f>$T45*AC$3/$U$3</f>
        <v>#REF!</v>
      </c>
      <c r="Y45" s="605" t="e">
        <f>$T45*AD$3/$U$3</f>
        <v>#REF!</v>
      </c>
      <c r="Z45" s="605" t="e">
        <f>$T45*AE$3/$U$3</f>
        <v>#REF!</v>
      </c>
      <c r="AA45" s="605" t="e">
        <f>$U45*AA$3/$U$3</f>
        <v>#REF!</v>
      </c>
      <c r="AB45" s="605" t="e">
        <f>$U45*AB$3/$U$3</f>
        <v>#REF!</v>
      </c>
      <c r="AC45" s="605" t="e">
        <f>$U45*AC$3/$U$3</f>
        <v>#REF!</v>
      </c>
      <c r="AD45" s="605" t="e">
        <f>$U45*AD$3/$U$3</f>
        <v>#REF!</v>
      </c>
      <c r="AE45" s="605" t="e">
        <f>$U45*AE$3/$U$3</f>
        <v>#REF!</v>
      </c>
      <c r="AF45" s="605"/>
      <c r="AG45" s="605"/>
      <c r="AH45" s="605"/>
      <c r="AI45" s="605"/>
    </row>
    <row r="46" spans="1:35">
      <c r="A46" s="651" t="s">
        <v>928</v>
      </c>
      <c r="B46" s="651" t="s">
        <v>989</v>
      </c>
      <c r="C46" s="651" t="s">
        <v>990</v>
      </c>
      <c r="D46" s="651" t="s">
        <v>32</v>
      </c>
      <c r="E46" s="651" t="s">
        <v>126</v>
      </c>
      <c r="F46" s="651" t="s">
        <v>123</v>
      </c>
      <c r="G46" s="185" t="s">
        <v>168</v>
      </c>
      <c r="H46" s="185">
        <v>20</v>
      </c>
      <c r="I46" s="185">
        <v>9.5610051004120802</v>
      </c>
      <c r="J46" s="337">
        <v>0.85</v>
      </c>
      <c r="K46" s="185">
        <v>1</v>
      </c>
      <c r="L46" s="185">
        <v>1</v>
      </c>
      <c r="M46" s="185">
        <v>0.16</v>
      </c>
      <c r="O46" s="185">
        <v>0.45</v>
      </c>
      <c r="P46" s="185"/>
      <c r="R46" s="185">
        <f t="shared" si="10"/>
        <v>0.85</v>
      </c>
    </row>
    <row r="47" spans="1:35">
      <c r="A47" s="651" t="s">
        <v>928</v>
      </c>
      <c r="B47" s="651" t="s">
        <v>991</v>
      </c>
      <c r="C47" s="651" t="s">
        <v>992</v>
      </c>
      <c r="D47" s="651" t="s">
        <v>32</v>
      </c>
      <c r="E47" s="651" t="s">
        <v>126</v>
      </c>
      <c r="F47" s="651" t="s">
        <v>123</v>
      </c>
      <c r="G47" s="185" t="s">
        <v>899</v>
      </c>
      <c r="H47" s="185">
        <v>20</v>
      </c>
      <c r="I47" s="185">
        <v>11.60979190764324</v>
      </c>
      <c r="J47" s="337">
        <v>0.85</v>
      </c>
      <c r="K47" s="185">
        <v>1</v>
      </c>
      <c r="L47" s="185">
        <v>1</v>
      </c>
      <c r="M47" s="185">
        <v>0.16</v>
      </c>
      <c r="O47" s="185">
        <v>0.45</v>
      </c>
      <c r="P47" s="185"/>
      <c r="R47" s="185">
        <f t="shared" si="10"/>
        <v>0.85</v>
      </c>
    </row>
    <row r="48" spans="1:35">
      <c r="A48" s="651" t="s">
        <v>928</v>
      </c>
      <c r="B48" s="651" t="s">
        <v>993</v>
      </c>
      <c r="C48" s="651" t="s">
        <v>994</v>
      </c>
      <c r="D48" s="651" t="s">
        <v>32</v>
      </c>
      <c r="E48" s="651" t="s">
        <v>126</v>
      </c>
      <c r="F48" s="651" t="s">
        <v>123</v>
      </c>
      <c r="G48" s="185" t="s">
        <v>899</v>
      </c>
      <c r="H48" s="185">
        <v>20</v>
      </c>
      <c r="I48" s="185">
        <v>10.926862971899521</v>
      </c>
      <c r="J48" s="337">
        <v>0.98</v>
      </c>
      <c r="K48" s="185">
        <v>1</v>
      </c>
      <c r="L48" s="185">
        <v>1</v>
      </c>
      <c r="M48" s="185">
        <v>0.16</v>
      </c>
      <c r="O48" s="185">
        <v>0.45</v>
      </c>
      <c r="P48" s="185"/>
      <c r="R48" s="185">
        <f t="shared" si="10"/>
        <v>0.98</v>
      </c>
    </row>
    <row r="49" spans="1:35">
      <c r="A49" s="651" t="s">
        <v>995</v>
      </c>
      <c r="B49" s="651"/>
      <c r="C49" s="651"/>
      <c r="D49" s="651"/>
      <c r="E49" s="651"/>
      <c r="F49" s="651"/>
      <c r="P49" s="185"/>
    </row>
    <row r="50" spans="1:35">
      <c r="A50" s="651" t="s">
        <v>928</v>
      </c>
      <c r="B50" s="651" t="s">
        <v>589</v>
      </c>
      <c r="C50" s="651" t="s">
        <v>996</v>
      </c>
      <c r="D50" s="651" t="s">
        <v>32</v>
      </c>
      <c r="E50" s="651" t="s">
        <v>125</v>
      </c>
      <c r="F50" s="651" t="s">
        <v>123</v>
      </c>
      <c r="G50" s="185" t="s">
        <v>931</v>
      </c>
      <c r="H50" s="185">
        <v>15</v>
      </c>
      <c r="J50" s="337">
        <v>1.29999995231628</v>
      </c>
      <c r="K50" s="185">
        <v>1</v>
      </c>
      <c r="L50" s="185">
        <v>1</v>
      </c>
      <c r="M50" s="185">
        <v>0.16</v>
      </c>
      <c r="O50" s="185">
        <v>0.18</v>
      </c>
      <c r="P50" s="185"/>
      <c r="R50" s="185">
        <f t="shared" ref="R50:R52" si="13">J50</f>
        <v>1.29999995231628</v>
      </c>
    </row>
    <row r="51" spans="1:35">
      <c r="A51" s="651" t="s">
        <v>928</v>
      </c>
      <c r="B51" s="651" t="s">
        <v>591</v>
      </c>
      <c r="C51" s="651" t="s">
        <v>997</v>
      </c>
      <c r="D51" s="651" t="s">
        <v>32</v>
      </c>
      <c r="E51" s="651" t="s">
        <v>125</v>
      </c>
      <c r="F51" s="651" t="s">
        <v>123</v>
      </c>
      <c r="G51" s="185" t="s">
        <v>899</v>
      </c>
      <c r="H51" s="185">
        <v>15</v>
      </c>
      <c r="I51" s="185">
        <v>12.292720843386961</v>
      </c>
      <c r="J51" s="337">
        <v>1.3</v>
      </c>
      <c r="K51" s="185">
        <v>1</v>
      </c>
      <c r="L51" s="185">
        <v>1</v>
      </c>
      <c r="M51" s="185">
        <v>0.16</v>
      </c>
      <c r="O51" s="185">
        <v>0.18</v>
      </c>
      <c r="P51" s="185"/>
      <c r="R51" s="185">
        <f t="shared" si="13"/>
        <v>1.3</v>
      </c>
    </row>
    <row r="52" spans="1:35">
      <c r="A52" s="651" t="s">
        <v>928</v>
      </c>
      <c r="B52" s="651" t="s">
        <v>593</v>
      </c>
      <c r="C52" s="651" t="s">
        <v>998</v>
      </c>
      <c r="D52" s="651" t="s">
        <v>32</v>
      </c>
      <c r="E52" s="651" t="s">
        <v>125</v>
      </c>
      <c r="F52" s="651" t="s">
        <v>123</v>
      </c>
      <c r="G52" s="185" t="s">
        <v>219</v>
      </c>
      <c r="H52" s="185">
        <v>15</v>
      </c>
      <c r="I52" s="185">
        <v>12.292720843386961</v>
      </c>
      <c r="J52" s="337">
        <v>1.4</v>
      </c>
      <c r="K52" s="185">
        <v>1</v>
      </c>
      <c r="L52" s="185">
        <v>1</v>
      </c>
      <c r="M52" s="185">
        <v>0.16</v>
      </c>
      <c r="O52" s="185">
        <v>0.18</v>
      </c>
      <c r="P52" s="185"/>
      <c r="R52" s="185">
        <f t="shared" si="13"/>
        <v>1.4</v>
      </c>
    </row>
    <row r="53" spans="1:35" ht="13">
      <c r="A53" s="190" t="s">
        <v>44</v>
      </c>
      <c r="B53" s="190"/>
      <c r="C53" s="190"/>
      <c r="D53" s="190"/>
      <c r="E53" s="190"/>
      <c r="F53" s="190"/>
      <c r="G53" s="342"/>
      <c r="H53" s="342"/>
      <c r="I53" s="342"/>
      <c r="J53" s="343"/>
      <c r="K53" s="342"/>
      <c r="L53" s="342"/>
      <c r="M53" s="342"/>
      <c r="N53" s="342"/>
      <c r="O53" s="342"/>
      <c r="P53" s="342"/>
      <c r="Q53" s="348"/>
      <c r="R53" s="342"/>
      <c r="S53" s="342"/>
      <c r="T53" s="342"/>
      <c r="U53" s="452" t="e">
        <f>SUM(U55:U91)</f>
        <v>#REF!</v>
      </c>
      <c r="V53" s="452"/>
      <c r="W53" s="452"/>
      <c r="X53" s="452"/>
      <c r="Y53" s="452"/>
      <c r="Z53" s="452"/>
      <c r="AA53" s="480" t="e">
        <f>ResDemand!E6</f>
        <v>#REF!</v>
      </c>
      <c r="AB53" s="480" t="e">
        <f>ResDemand!E7</f>
        <v>#REF!</v>
      </c>
      <c r="AC53" s="480" t="e">
        <f>ResDemand!E8</f>
        <v>#REF!</v>
      </c>
      <c r="AD53" s="480" t="e">
        <f>ResDemand!E9</f>
        <v>#REF!</v>
      </c>
      <c r="AE53" s="480" t="e">
        <f>ResDemand!E10</f>
        <v>#REF!</v>
      </c>
      <c r="AF53" s="468" t="e">
        <f>SUM(AA53:AE53)-U53</f>
        <v>#REF!</v>
      </c>
      <c r="AG53" s="651"/>
      <c r="AH53" s="651"/>
      <c r="AI53" s="651"/>
    </row>
    <row r="54" spans="1:35">
      <c r="A54" s="352" t="s">
        <v>512</v>
      </c>
      <c r="B54" s="352"/>
      <c r="C54" s="352"/>
      <c r="D54" s="352"/>
      <c r="E54" s="352"/>
      <c r="F54" s="352"/>
      <c r="G54" s="353"/>
      <c r="H54" s="353"/>
      <c r="I54" s="353"/>
      <c r="J54" s="354"/>
      <c r="K54" s="353"/>
      <c r="L54" s="353"/>
      <c r="M54" s="353">
        <f>M56</f>
        <v>0.15</v>
      </c>
      <c r="N54" s="353"/>
      <c r="O54" s="353"/>
      <c r="P54" s="353">
        <f>SUM(P55:P86)</f>
        <v>1098.7367952463014</v>
      </c>
      <c r="Q54" s="355" t="s">
        <v>512</v>
      </c>
      <c r="R54" s="353"/>
      <c r="S54" s="353"/>
      <c r="T54" s="353" t="e">
        <f>'2010 Fuel Share'!E72</f>
        <v>#REF!</v>
      </c>
      <c r="U54" s="353"/>
      <c r="V54" s="353"/>
      <c r="W54" s="353"/>
      <c r="X54" s="353"/>
      <c r="Y54" s="353"/>
      <c r="Z54" s="353"/>
      <c r="AA54" s="481" t="e">
        <f>SUM(AA55:AA91)</f>
        <v>#REF!</v>
      </c>
      <c r="AB54" s="481" t="e">
        <f t="shared" ref="AB54:AE54" si="14">SUM(AB55:AB91)</f>
        <v>#REF!</v>
      </c>
      <c r="AC54" s="481" t="e">
        <f t="shared" si="14"/>
        <v>#REF!</v>
      </c>
      <c r="AD54" s="481" t="e">
        <f t="shared" si="14"/>
        <v>#REF!</v>
      </c>
      <c r="AE54" s="481" t="e">
        <f t="shared" si="14"/>
        <v>#REF!</v>
      </c>
      <c r="AF54" s="341"/>
    </row>
    <row r="55" spans="1:35">
      <c r="A55" s="651" t="s">
        <v>999</v>
      </c>
      <c r="B55" s="651"/>
      <c r="C55" s="651"/>
      <c r="D55" s="651"/>
      <c r="E55" s="651"/>
      <c r="F55" s="651"/>
      <c r="P55" s="185"/>
      <c r="AF55" s="341"/>
    </row>
    <row r="56" spans="1:35">
      <c r="A56" s="651" t="s">
        <v>928</v>
      </c>
      <c r="B56" s="651" t="s">
        <v>1000</v>
      </c>
      <c r="C56" s="651" t="s">
        <v>1001</v>
      </c>
      <c r="D56" s="651" t="s">
        <v>32</v>
      </c>
      <c r="E56" s="651" t="s">
        <v>122</v>
      </c>
      <c r="F56" s="651" t="s">
        <v>124</v>
      </c>
      <c r="G56" s="185" t="s">
        <v>931</v>
      </c>
      <c r="H56" s="185">
        <v>10</v>
      </c>
      <c r="J56" s="337">
        <v>2.7435958263219513</v>
      </c>
      <c r="K56" s="185">
        <v>1</v>
      </c>
      <c r="L56" s="185">
        <v>1</v>
      </c>
      <c r="M56" s="185">
        <v>0.15</v>
      </c>
      <c r="O56" s="185">
        <v>0.6</v>
      </c>
      <c r="P56" s="651"/>
      <c r="R56" s="185">
        <f t="shared" ref="R56:R62" si="15">J56</f>
        <v>2.7435958263219513</v>
      </c>
      <c r="AF56" s="341"/>
    </row>
    <row r="57" spans="1:35" s="558" customFormat="1">
      <c r="A57" s="558" t="s">
        <v>928</v>
      </c>
      <c r="B57" s="558" t="s">
        <v>1002</v>
      </c>
      <c r="C57" s="558" t="s">
        <v>1003</v>
      </c>
      <c r="D57" s="558" t="s">
        <v>32</v>
      </c>
      <c r="E57" s="558" t="s">
        <v>122</v>
      </c>
      <c r="F57" s="558" t="s">
        <v>124</v>
      </c>
      <c r="G57" s="605" t="s">
        <v>899</v>
      </c>
      <c r="H57" s="605">
        <v>10</v>
      </c>
      <c r="I57" s="605">
        <v>2.7043985855451314</v>
      </c>
      <c r="J57" s="606">
        <v>2.74</v>
      </c>
      <c r="K57" s="605">
        <v>1</v>
      </c>
      <c r="L57" s="605">
        <v>1</v>
      </c>
      <c r="M57" s="605">
        <v>0.15</v>
      </c>
      <c r="N57" s="605"/>
      <c r="O57" s="605">
        <v>0.6</v>
      </c>
      <c r="P57" s="605">
        <v>669.43392212990602</v>
      </c>
      <c r="Q57" s="607">
        <f>P57/$P$54</f>
        <v>0.60927596584206545</v>
      </c>
      <c r="R57" s="605">
        <f t="shared" si="15"/>
        <v>2.74</v>
      </c>
      <c r="S57" s="605"/>
      <c r="T57" s="605" t="e">
        <f t="shared" ref="T57" si="16">T54*$Q$57*$R$57/$M$57</f>
        <v>#REF!</v>
      </c>
      <c r="U57" s="605" t="e">
        <f>T54*$Q$57*$R$57</f>
        <v>#REF!</v>
      </c>
      <c r="V57" s="605" t="e">
        <f>$T57*AA$53/$U$53</f>
        <v>#REF!</v>
      </c>
      <c r="W57" s="605" t="e">
        <f t="shared" ref="W57:Z57" si="17">$T57*AB$53/$U$53</f>
        <v>#REF!</v>
      </c>
      <c r="X57" s="605" t="e">
        <f t="shared" si="17"/>
        <v>#REF!</v>
      </c>
      <c r="Y57" s="605" t="e">
        <f t="shared" si="17"/>
        <v>#REF!</v>
      </c>
      <c r="Z57" s="605" t="e">
        <f t="shared" si="17"/>
        <v>#REF!</v>
      </c>
      <c r="AA57" s="605" t="e">
        <f>$U57*AA53/$U$53</f>
        <v>#REF!</v>
      </c>
      <c r="AB57" s="605" t="e">
        <f t="shared" ref="AB57:AE57" si="18">$U57*AB53/$U$53</f>
        <v>#REF!</v>
      </c>
      <c r="AC57" s="605" t="e">
        <f t="shared" si="18"/>
        <v>#REF!</v>
      </c>
      <c r="AD57" s="605" t="e">
        <f t="shared" si="18"/>
        <v>#REF!</v>
      </c>
      <c r="AE57" s="605" t="e">
        <f t="shared" si="18"/>
        <v>#REF!</v>
      </c>
      <c r="AF57" s="608"/>
      <c r="AG57" s="605"/>
      <c r="AH57" s="605"/>
      <c r="AI57" s="605"/>
    </row>
    <row r="58" spans="1:35">
      <c r="A58" s="651" t="s">
        <v>928</v>
      </c>
      <c r="B58" s="651" t="s">
        <v>1004</v>
      </c>
      <c r="C58" s="651" t="s">
        <v>1005</v>
      </c>
      <c r="D58" s="651" t="s">
        <v>32</v>
      </c>
      <c r="E58" s="651" t="s">
        <v>122</v>
      </c>
      <c r="F58" s="651" t="s">
        <v>124</v>
      </c>
      <c r="G58" s="185" t="s">
        <v>899</v>
      </c>
      <c r="H58" s="185">
        <v>10</v>
      </c>
      <c r="I58" s="185">
        <v>2.8519112356657748</v>
      </c>
      <c r="J58" s="337">
        <v>3.17</v>
      </c>
      <c r="K58" s="185">
        <v>1</v>
      </c>
      <c r="L58" s="185">
        <v>1</v>
      </c>
      <c r="M58" s="185">
        <v>0.15</v>
      </c>
      <c r="O58" s="185">
        <v>0.6</v>
      </c>
      <c r="P58" s="185"/>
      <c r="R58" s="185">
        <f t="shared" si="15"/>
        <v>3.17</v>
      </c>
      <c r="AF58" s="341"/>
    </row>
    <row r="59" spans="1:35">
      <c r="A59" s="651" t="s">
        <v>928</v>
      </c>
      <c r="B59" s="651" t="s">
        <v>1006</v>
      </c>
      <c r="C59" s="651" t="s">
        <v>1007</v>
      </c>
      <c r="D59" s="651" t="s">
        <v>32</v>
      </c>
      <c r="E59" s="651" t="s">
        <v>122</v>
      </c>
      <c r="F59" s="651" t="s">
        <v>124</v>
      </c>
      <c r="G59" s="185" t="s">
        <v>168</v>
      </c>
      <c r="H59" s="185">
        <v>10</v>
      </c>
      <c r="I59" s="185">
        <v>2.901082119039323</v>
      </c>
      <c r="J59" s="337">
        <v>3.22</v>
      </c>
      <c r="K59" s="185">
        <v>1</v>
      </c>
      <c r="L59" s="185">
        <v>1</v>
      </c>
      <c r="M59" s="185">
        <v>0.15</v>
      </c>
      <c r="O59" s="185">
        <v>0.6</v>
      </c>
      <c r="P59" s="185"/>
      <c r="R59" s="185">
        <f t="shared" si="15"/>
        <v>3.22</v>
      </c>
      <c r="AF59" s="341"/>
    </row>
    <row r="60" spans="1:35">
      <c r="A60" s="651" t="s">
        <v>928</v>
      </c>
      <c r="B60" s="651" t="s">
        <v>1008</v>
      </c>
      <c r="C60" s="651" t="s">
        <v>1009</v>
      </c>
      <c r="D60" s="651" t="s">
        <v>32</v>
      </c>
      <c r="E60" s="651" t="s">
        <v>122</v>
      </c>
      <c r="F60" s="651" t="s">
        <v>124</v>
      </c>
      <c r="G60" s="185" t="s">
        <v>222</v>
      </c>
      <c r="H60" s="185">
        <v>10</v>
      </c>
      <c r="I60" s="185">
        <v>2.901082119039323</v>
      </c>
      <c r="J60" s="337">
        <v>3.28</v>
      </c>
      <c r="K60" s="185">
        <v>1</v>
      </c>
      <c r="L60" s="185">
        <v>1</v>
      </c>
      <c r="M60" s="185">
        <v>0.15</v>
      </c>
      <c r="O60" s="185">
        <v>0.6</v>
      </c>
      <c r="P60" s="185"/>
      <c r="R60" s="185">
        <f t="shared" si="15"/>
        <v>3.28</v>
      </c>
      <c r="AF60" s="341"/>
    </row>
    <row r="61" spans="1:35">
      <c r="A61" s="651" t="s">
        <v>928</v>
      </c>
      <c r="B61" s="651" t="s">
        <v>1010</v>
      </c>
      <c r="C61" s="651" t="s">
        <v>1011</v>
      </c>
      <c r="D61" s="651" t="s">
        <v>32</v>
      </c>
      <c r="E61" s="651" t="s">
        <v>122</v>
      </c>
      <c r="F61" s="651" t="s">
        <v>124</v>
      </c>
      <c r="G61" s="185" t="s">
        <v>899</v>
      </c>
      <c r="H61" s="185">
        <v>10</v>
      </c>
      <c r="I61" s="185">
        <v>4.4745503869928545</v>
      </c>
      <c r="J61" s="337">
        <v>3.52</v>
      </c>
      <c r="K61" s="185">
        <v>1</v>
      </c>
      <c r="L61" s="185">
        <v>1</v>
      </c>
      <c r="M61" s="185">
        <v>0.15</v>
      </c>
      <c r="O61" s="185">
        <v>0.6</v>
      </c>
      <c r="P61" s="185"/>
      <c r="R61" s="185">
        <f t="shared" si="15"/>
        <v>3.52</v>
      </c>
      <c r="AF61" s="341"/>
    </row>
    <row r="62" spans="1:35">
      <c r="A62" s="651" t="s">
        <v>928</v>
      </c>
      <c r="B62" s="651" t="s">
        <v>1012</v>
      </c>
      <c r="C62" s="651" t="s">
        <v>1013</v>
      </c>
      <c r="D62" s="651" t="s">
        <v>32</v>
      </c>
      <c r="E62" s="651" t="s">
        <v>122</v>
      </c>
      <c r="F62" s="651" t="s">
        <v>124</v>
      </c>
      <c r="G62" s="185" t="s">
        <v>219</v>
      </c>
      <c r="H62" s="185">
        <v>10</v>
      </c>
      <c r="I62" s="185">
        <v>5.0646009874754281</v>
      </c>
      <c r="J62" s="337">
        <v>3.81</v>
      </c>
      <c r="K62" s="185">
        <v>1</v>
      </c>
      <c r="L62" s="185">
        <v>1</v>
      </c>
      <c r="M62" s="185">
        <v>0.15</v>
      </c>
      <c r="O62" s="185">
        <v>0.6</v>
      </c>
      <c r="P62" s="185"/>
      <c r="R62" s="185">
        <f t="shared" si="15"/>
        <v>3.81</v>
      </c>
      <c r="AF62" s="341"/>
    </row>
    <row r="63" spans="1:35">
      <c r="A63" s="651" t="s">
        <v>1014</v>
      </c>
      <c r="B63" s="651"/>
      <c r="C63" s="651"/>
      <c r="D63" s="651"/>
      <c r="E63" s="651"/>
      <c r="F63" s="651"/>
      <c r="P63" s="185"/>
      <c r="AF63" s="341"/>
    </row>
    <row r="64" spans="1:35">
      <c r="A64" s="651" t="s">
        <v>928</v>
      </c>
      <c r="B64" s="651" t="s">
        <v>1015</v>
      </c>
      <c r="C64" s="651" t="s">
        <v>1016</v>
      </c>
      <c r="D64" s="651" t="s">
        <v>32</v>
      </c>
      <c r="E64" s="651" t="s">
        <v>122</v>
      </c>
      <c r="F64" s="651" t="s">
        <v>124</v>
      </c>
      <c r="G64" s="185" t="s">
        <v>931</v>
      </c>
      <c r="H64" s="185">
        <v>15</v>
      </c>
      <c r="J64" s="337">
        <v>2.9175658769245518</v>
      </c>
      <c r="K64" s="185">
        <v>1</v>
      </c>
      <c r="L64" s="185">
        <v>1</v>
      </c>
      <c r="M64" s="185">
        <v>0.15</v>
      </c>
      <c r="O64" s="185">
        <v>0.18</v>
      </c>
      <c r="P64" s="651"/>
      <c r="R64" s="185">
        <f t="shared" ref="R64:R72" si="19">J64</f>
        <v>2.9175658769245518</v>
      </c>
      <c r="AF64" s="341"/>
    </row>
    <row r="65" spans="1:35" s="558" customFormat="1">
      <c r="A65" s="558" t="s">
        <v>928</v>
      </c>
      <c r="B65" s="558" t="s">
        <v>1017</v>
      </c>
      <c r="C65" s="558" t="s">
        <v>1018</v>
      </c>
      <c r="D65" s="558" t="s">
        <v>32</v>
      </c>
      <c r="E65" s="558" t="s">
        <v>122</v>
      </c>
      <c r="F65" s="558" t="s">
        <v>124</v>
      </c>
      <c r="G65" s="605" t="s">
        <v>899</v>
      </c>
      <c r="H65" s="605">
        <v>15</v>
      </c>
      <c r="I65" s="605">
        <v>8.7414903775196162</v>
      </c>
      <c r="J65" s="606">
        <v>2.92</v>
      </c>
      <c r="K65" s="605">
        <v>1</v>
      </c>
      <c r="L65" s="605">
        <v>1</v>
      </c>
      <c r="M65" s="605">
        <v>0.15</v>
      </c>
      <c r="N65" s="605"/>
      <c r="O65" s="605">
        <v>0.18</v>
      </c>
      <c r="P65" s="605">
        <v>429.30287311639552</v>
      </c>
      <c r="Q65" s="607">
        <f>P65/$P$54</f>
        <v>0.39072403415793466</v>
      </c>
      <c r="R65" s="605">
        <f t="shared" si="19"/>
        <v>2.92</v>
      </c>
      <c r="S65" s="605"/>
      <c r="T65" s="605" t="e">
        <f t="shared" ref="T65" si="20">T54*$Q$65*$R$65/$M$65</f>
        <v>#REF!</v>
      </c>
      <c r="U65" s="605" t="e">
        <f>T54*$Q$65*$R$65</f>
        <v>#REF!</v>
      </c>
      <c r="V65" s="605" t="e">
        <f>$T65*AA$53/$U$53</f>
        <v>#REF!</v>
      </c>
      <c r="W65" s="605" t="e">
        <f t="shared" ref="W65" si="21">$T65*AB$53/$U$53</f>
        <v>#REF!</v>
      </c>
      <c r="X65" s="605" t="e">
        <f t="shared" ref="X65" si="22">$T65*AC$53/$U$53</f>
        <v>#REF!</v>
      </c>
      <c r="Y65" s="605" t="e">
        <f t="shared" ref="Y65" si="23">$T65*AD$53/$U$53</f>
        <v>#REF!</v>
      </c>
      <c r="Z65" s="605" t="e">
        <f t="shared" ref="Z65" si="24">$T65*AE$53/$U$53</f>
        <v>#REF!</v>
      </c>
      <c r="AA65" s="605" t="e">
        <f>$U65*AA53/$U$53</f>
        <v>#REF!</v>
      </c>
      <c r="AB65" s="605" t="e">
        <f>$U65*AB53/$U$53</f>
        <v>#REF!</v>
      </c>
      <c r="AC65" s="605" t="e">
        <f>$U65*AC53/$U$53</f>
        <v>#REF!</v>
      </c>
      <c r="AD65" s="605" t="e">
        <f>$U65*AD53/$U$53</f>
        <v>#REF!</v>
      </c>
      <c r="AE65" s="605" t="e">
        <f>$U65*AE53/$U$53</f>
        <v>#REF!</v>
      </c>
      <c r="AF65" s="608"/>
      <c r="AG65" s="605"/>
      <c r="AH65" s="605"/>
      <c r="AI65" s="605"/>
    </row>
    <row r="66" spans="1:35">
      <c r="A66" s="651" t="s">
        <v>1019</v>
      </c>
      <c r="B66" s="651" t="s">
        <v>1020</v>
      </c>
      <c r="C66" s="651" t="s">
        <v>1021</v>
      </c>
      <c r="D66" s="651" t="s">
        <v>32</v>
      </c>
      <c r="E66" s="651" t="s">
        <v>122</v>
      </c>
      <c r="F66" s="651" t="s">
        <v>124</v>
      </c>
      <c r="G66" s="185" t="s">
        <v>168</v>
      </c>
      <c r="H66" s="185">
        <v>15</v>
      </c>
      <c r="I66" s="185">
        <v>9.6975908875608248</v>
      </c>
      <c r="J66" s="337">
        <v>4.0999999999999996</v>
      </c>
      <c r="K66" s="185">
        <v>1</v>
      </c>
      <c r="L66" s="185">
        <v>1</v>
      </c>
      <c r="M66" s="185">
        <v>0.15</v>
      </c>
      <c r="O66" s="185">
        <v>0.18</v>
      </c>
      <c r="P66" s="185"/>
      <c r="R66" s="185">
        <f t="shared" si="19"/>
        <v>4.0999999999999996</v>
      </c>
      <c r="AF66" s="341"/>
    </row>
    <row r="67" spans="1:35">
      <c r="A67" s="651" t="s">
        <v>928</v>
      </c>
      <c r="B67" s="651" t="s">
        <v>1022</v>
      </c>
      <c r="C67" s="651" t="s">
        <v>1023</v>
      </c>
      <c r="D67" s="651" t="s">
        <v>32</v>
      </c>
      <c r="E67" s="651" t="s">
        <v>122</v>
      </c>
      <c r="F67" s="651" t="s">
        <v>124</v>
      </c>
      <c r="G67" s="185" t="s">
        <v>219</v>
      </c>
      <c r="H67" s="185">
        <v>15</v>
      </c>
      <c r="I67" s="185">
        <v>9.6975908875608248</v>
      </c>
      <c r="J67" s="337">
        <v>4.0999999999999996</v>
      </c>
      <c r="K67" s="185">
        <v>1</v>
      </c>
      <c r="L67" s="185">
        <v>1</v>
      </c>
      <c r="M67" s="185">
        <v>0.15</v>
      </c>
      <c r="O67" s="185">
        <v>0.18</v>
      </c>
      <c r="P67" s="185"/>
      <c r="R67" s="185">
        <f t="shared" si="19"/>
        <v>4.0999999999999996</v>
      </c>
      <c r="AF67" s="341"/>
    </row>
    <row r="68" spans="1:35">
      <c r="A68" s="651" t="s">
        <v>928</v>
      </c>
      <c r="B68" s="651" t="s">
        <v>1024</v>
      </c>
      <c r="C68" s="651" t="s">
        <v>1025</v>
      </c>
      <c r="D68" s="651" t="s">
        <v>32</v>
      </c>
      <c r="E68" s="651" t="s">
        <v>122</v>
      </c>
      <c r="F68" s="651" t="s">
        <v>124</v>
      </c>
      <c r="G68" s="185" t="s">
        <v>899</v>
      </c>
      <c r="H68" s="185">
        <v>15</v>
      </c>
      <c r="I68" s="185">
        <v>10.517105610453291</v>
      </c>
      <c r="J68" s="337">
        <v>4.6900000000000004</v>
      </c>
      <c r="K68" s="185">
        <v>1</v>
      </c>
      <c r="L68" s="185">
        <v>1</v>
      </c>
      <c r="M68" s="185">
        <v>0.15</v>
      </c>
      <c r="O68" s="185">
        <v>0.18</v>
      </c>
      <c r="P68" s="185"/>
      <c r="R68" s="185">
        <f t="shared" si="19"/>
        <v>4.6900000000000004</v>
      </c>
      <c r="AF68" s="341"/>
    </row>
    <row r="69" spans="1:35">
      <c r="A69" s="651" t="s">
        <v>928</v>
      </c>
      <c r="B69" s="651" t="s">
        <v>1026</v>
      </c>
      <c r="C69" s="651" t="s">
        <v>1027</v>
      </c>
      <c r="D69" s="651" t="s">
        <v>32</v>
      </c>
      <c r="E69" s="651" t="s">
        <v>122</v>
      </c>
      <c r="F69" s="651" t="s">
        <v>124</v>
      </c>
      <c r="G69" s="185" t="s">
        <v>219</v>
      </c>
      <c r="H69" s="185">
        <v>15</v>
      </c>
      <c r="I69" s="185">
        <v>10.107348249007059</v>
      </c>
      <c r="J69" s="337">
        <v>4.6900000000000004</v>
      </c>
      <c r="K69" s="185">
        <v>1</v>
      </c>
      <c r="L69" s="185">
        <v>1</v>
      </c>
      <c r="M69" s="185">
        <v>0.15</v>
      </c>
      <c r="O69" s="185">
        <v>0.18</v>
      </c>
      <c r="P69" s="185"/>
      <c r="R69" s="185">
        <f t="shared" si="19"/>
        <v>4.6900000000000004</v>
      </c>
      <c r="AF69" s="341"/>
    </row>
    <row r="70" spans="1:35">
      <c r="A70" s="651" t="s">
        <v>928</v>
      </c>
      <c r="B70" s="651" t="s">
        <v>1028</v>
      </c>
      <c r="C70" s="651" t="s">
        <v>1029</v>
      </c>
      <c r="D70" s="651" t="s">
        <v>32</v>
      </c>
      <c r="E70" s="651" t="s">
        <v>122</v>
      </c>
      <c r="F70" s="651" t="s">
        <v>124</v>
      </c>
      <c r="G70" s="185" t="s">
        <v>899</v>
      </c>
      <c r="H70" s="185">
        <v>15</v>
      </c>
      <c r="I70" s="185">
        <v>12.292720843386961</v>
      </c>
      <c r="J70" s="337">
        <v>6.15</v>
      </c>
      <c r="K70" s="185">
        <v>1</v>
      </c>
      <c r="L70" s="185">
        <v>1</v>
      </c>
      <c r="M70" s="185">
        <v>0.15</v>
      </c>
      <c r="O70" s="185">
        <v>0.18</v>
      </c>
      <c r="P70" s="185"/>
      <c r="R70" s="185">
        <f t="shared" si="19"/>
        <v>6.15</v>
      </c>
      <c r="AF70" s="341"/>
    </row>
    <row r="71" spans="1:35">
      <c r="A71" s="651" t="s">
        <v>928</v>
      </c>
      <c r="B71" s="651" t="s">
        <v>1030</v>
      </c>
      <c r="C71" s="651" t="s">
        <v>1031</v>
      </c>
      <c r="D71" s="651" t="s">
        <v>32</v>
      </c>
      <c r="E71" s="651" t="s">
        <v>122</v>
      </c>
      <c r="F71" s="651" t="s">
        <v>124</v>
      </c>
      <c r="G71" s="185" t="s">
        <v>168</v>
      </c>
      <c r="H71" s="185">
        <v>15</v>
      </c>
      <c r="I71" s="185">
        <v>16.390294457849279</v>
      </c>
      <c r="J71" s="337">
        <v>7.03</v>
      </c>
      <c r="K71" s="185">
        <v>1</v>
      </c>
      <c r="L71" s="185">
        <v>1</v>
      </c>
      <c r="M71" s="185">
        <v>0.15</v>
      </c>
      <c r="O71" s="185">
        <v>0.18</v>
      </c>
      <c r="P71" s="185"/>
      <c r="R71" s="185">
        <f t="shared" si="19"/>
        <v>7.03</v>
      </c>
      <c r="AF71" s="341"/>
    </row>
    <row r="72" spans="1:35">
      <c r="A72" s="651" t="s">
        <v>928</v>
      </c>
      <c r="B72" s="651" t="s">
        <v>1032</v>
      </c>
      <c r="C72" s="651" t="s">
        <v>1033</v>
      </c>
      <c r="D72" s="651" t="s">
        <v>32</v>
      </c>
      <c r="E72" s="651" t="s">
        <v>122</v>
      </c>
      <c r="F72" s="651" t="s">
        <v>124</v>
      </c>
      <c r="G72" s="185" t="s">
        <v>219</v>
      </c>
      <c r="H72" s="185">
        <v>15</v>
      </c>
      <c r="I72" s="185">
        <v>15.707365522105562</v>
      </c>
      <c r="J72" s="337">
        <v>7.03</v>
      </c>
      <c r="K72" s="185">
        <v>1</v>
      </c>
      <c r="L72" s="185">
        <v>1</v>
      </c>
      <c r="M72" s="185">
        <v>0.15</v>
      </c>
      <c r="O72" s="185">
        <v>0.18</v>
      </c>
      <c r="P72" s="185"/>
      <c r="R72" s="185">
        <f t="shared" si="19"/>
        <v>7.03</v>
      </c>
      <c r="AF72" s="341"/>
    </row>
    <row r="73" spans="1:35">
      <c r="A73" s="651" t="s">
        <v>932</v>
      </c>
      <c r="B73" s="651"/>
      <c r="C73" s="651"/>
      <c r="D73" s="651"/>
      <c r="E73" s="651"/>
      <c r="F73" s="651"/>
      <c r="P73" s="185"/>
      <c r="AF73" s="341"/>
    </row>
    <row r="74" spans="1:35">
      <c r="A74" s="651" t="s">
        <v>928</v>
      </c>
      <c r="B74" s="651" t="s">
        <v>556</v>
      </c>
      <c r="C74" s="651" t="s">
        <v>1034</v>
      </c>
      <c r="D74" s="651" t="s">
        <v>32</v>
      </c>
      <c r="E74" s="651" t="s">
        <v>122</v>
      </c>
      <c r="F74" s="651" t="s">
        <v>124</v>
      </c>
      <c r="G74" s="185" t="s">
        <v>931</v>
      </c>
      <c r="H74" s="185">
        <v>15</v>
      </c>
      <c r="J74" s="337">
        <v>2.9980069977321731</v>
      </c>
      <c r="K74" s="185">
        <v>1</v>
      </c>
      <c r="L74" s="185">
        <v>1</v>
      </c>
      <c r="M74" s="185">
        <v>0.15</v>
      </c>
      <c r="O74" s="185">
        <v>0.45</v>
      </c>
      <c r="P74" s="651"/>
      <c r="R74" s="185">
        <f t="shared" ref="R74:R86" si="25">J74</f>
        <v>2.9980069977321731</v>
      </c>
      <c r="AF74" s="341"/>
    </row>
    <row r="75" spans="1:35" s="558" customFormat="1">
      <c r="A75" s="558" t="s">
        <v>928</v>
      </c>
      <c r="B75" s="558" t="s">
        <v>558</v>
      </c>
      <c r="C75" s="558" t="s">
        <v>1035</v>
      </c>
      <c r="D75" s="558" t="s">
        <v>32</v>
      </c>
      <c r="E75" s="558" t="s">
        <v>122</v>
      </c>
      <c r="F75" s="558" t="s">
        <v>124</v>
      </c>
      <c r="G75" s="605" t="s">
        <v>899</v>
      </c>
      <c r="H75" s="605">
        <v>15</v>
      </c>
      <c r="I75" s="605">
        <v>6.5561177831397135</v>
      </c>
      <c r="J75" s="606">
        <v>3</v>
      </c>
      <c r="K75" s="605">
        <v>1</v>
      </c>
      <c r="L75" s="605">
        <v>1</v>
      </c>
      <c r="M75" s="605">
        <v>0.15</v>
      </c>
      <c r="N75" s="605"/>
      <c r="O75" s="605">
        <v>0.45</v>
      </c>
      <c r="P75" s="605">
        <v>0</v>
      </c>
      <c r="Q75" s="607">
        <f>P75/$P$54</f>
        <v>0</v>
      </c>
      <c r="R75" s="605">
        <f t="shared" si="25"/>
        <v>3</v>
      </c>
      <c r="S75" s="605"/>
      <c r="T75" s="605" t="e">
        <f>T54*$Q$75*$R$75/$M$75</f>
        <v>#REF!</v>
      </c>
      <c r="U75" s="605" t="e">
        <f>T54*$Q$75*$R$75</f>
        <v>#REF!</v>
      </c>
      <c r="V75" s="605" t="e">
        <f>$T75*AA$53/$U$53</f>
        <v>#REF!</v>
      </c>
      <c r="W75" s="605" t="e">
        <f t="shared" ref="W75" si="26">$T75*AB$53/$U$53</f>
        <v>#REF!</v>
      </c>
      <c r="X75" s="605" t="e">
        <f t="shared" ref="X75" si="27">$T75*AC$53/$U$53</f>
        <v>#REF!</v>
      </c>
      <c r="Y75" s="605" t="e">
        <f t="shared" ref="Y75" si="28">$T75*AD$53/$U$53</f>
        <v>#REF!</v>
      </c>
      <c r="Z75" s="605" t="e">
        <f t="shared" ref="Z75" si="29">$T75*AE$53/$U$53</f>
        <v>#REF!</v>
      </c>
      <c r="AA75" s="605" t="e">
        <f>$U75*AA53/$U$53</f>
        <v>#REF!</v>
      </c>
      <c r="AB75" s="605" t="e">
        <f>$U75*AB53/$U$53</f>
        <v>#REF!</v>
      </c>
      <c r="AC75" s="605" t="e">
        <f>$U75*AC53/$U$53</f>
        <v>#REF!</v>
      </c>
      <c r="AD75" s="605" t="e">
        <f>$U75*AD53/$U$53</f>
        <v>#REF!</v>
      </c>
      <c r="AE75" s="605" t="e">
        <f>$U75*AE53/$U$53</f>
        <v>#REF!</v>
      </c>
      <c r="AF75" s="608"/>
      <c r="AG75" s="605"/>
      <c r="AH75" s="605"/>
      <c r="AI75" s="605"/>
    </row>
    <row r="76" spans="1:35">
      <c r="A76" s="651" t="s">
        <v>928</v>
      </c>
      <c r="B76" s="651" t="s">
        <v>560</v>
      </c>
      <c r="C76" s="651" t="s">
        <v>1036</v>
      </c>
      <c r="D76" s="651" t="s">
        <v>32</v>
      </c>
      <c r="E76" s="651" t="s">
        <v>122</v>
      </c>
      <c r="F76" s="651" t="s">
        <v>124</v>
      </c>
      <c r="G76" s="185" t="s">
        <v>168</v>
      </c>
      <c r="H76" s="185">
        <v>15</v>
      </c>
      <c r="I76" s="185">
        <v>6.7609964638628277</v>
      </c>
      <c r="J76" s="337">
        <v>4.0999999999999996</v>
      </c>
      <c r="K76" s="185">
        <v>1</v>
      </c>
      <c r="L76" s="185">
        <v>1</v>
      </c>
      <c r="M76" s="185">
        <v>0.15</v>
      </c>
      <c r="O76" s="185">
        <v>0.45</v>
      </c>
      <c r="P76" s="185"/>
      <c r="R76" s="185">
        <f t="shared" si="25"/>
        <v>4.0999999999999996</v>
      </c>
      <c r="AF76" s="341"/>
    </row>
    <row r="77" spans="1:35">
      <c r="A77" s="651" t="s">
        <v>928</v>
      </c>
      <c r="B77" s="651" t="s">
        <v>562</v>
      </c>
      <c r="C77" s="651" t="s">
        <v>1037</v>
      </c>
      <c r="D77" s="651" t="s">
        <v>32</v>
      </c>
      <c r="E77" s="651" t="s">
        <v>122</v>
      </c>
      <c r="F77" s="651" t="s">
        <v>124</v>
      </c>
      <c r="G77" s="185" t="s">
        <v>899</v>
      </c>
      <c r="H77" s="185">
        <v>15</v>
      </c>
      <c r="I77" s="185">
        <v>9.4927122068377106</v>
      </c>
      <c r="J77" s="337">
        <v>4.4000000000000004</v>
      </c>
      <c r="K77" s="185">
        <v>1</v>
      </c>
      <c r="L77" s="185">
        <v>1</v>
      </c>
      <c r="M77" s="185">
        <v>0.15</v>
      </c>
      <c r="O77" s="185">
        <v>0.45</v>
      </c>
      <c r="P77" s="185"/>
      <c r="R77" s="185">
        <f t="shared" si="25"/>
        <v>4.4000000000000004</v>
      </c>
      <c r="AF77" s="341"/>
    </row>
    <row r="78" spans="1:35">
      <c r="A78" s="651" t="s">
        <v>928</v>
      </c>
      <c r="B78" s="651" t="s">
        <v>564</v>
      </c>
      <c r="C78" s="651" t="s">
        <v>1038</v>
      </c>
      <c r="D78" s="651" t="s">
        <v>32</v>
      </c>
      <c r="E78" s="651" t="s">
        <v>122</v>
      </c>
      <c r="F78" s="651" t="s">
        <v>124</v>
      </c>
      <c r="G78" s="185" t="s">
        <v>168</v>
      </c>
      <c r="H78" s="185">
        <v>15</v>
      </c>
      <c r="I78" s="185">
        <v>9.4927122068377106</v>
      </c>
      <c r="J78" s="337">
        <v>4.4000000000000004</v>
      </c>
      <c r="K78" s="185">
        <v>1</v>
      </c>
      <c r="L78" s="185">
        <v>1</v>
      </c>
      <c r="M78" s="185">
        <v>0.15</v>
      </c>
      <c r="O78" s="185">
        <v>0.45</v>
      </c>
      <c r="P78" s="185"/>
      <c r="R78" s="185">
        <f t="shared" si="25"/>
        <v>4.4000000000000004</v>
      </c>
      <c r="AF78" s="341"/>
    </row>
    <row r="79" spans="1:35">
      <c r="A79" s="651" t="s">
        <v>928</v>
      </c>
      <c r="B79" s="651" t="s">
        <v>566</v>
      </c>
      <c r="C79" s="651" t="s">
        <v>1039</v>
      </c>
      <c r="D79" s="651" t="s">
        <v>32</v>
      </c>
      <c r="E79" s="651" t="s">
        <v>122</v>
      </c>
      <c r="F79" s="651" t="s">
        <v>124</v>
      </c>
      <c r="G79" s="185" t="s">
        <v>899</v>
      </c>
      <c r="H79" s="185">
        <v>15</v>
      </c>
      <c r="I79" s="185">
        <v>9.8341766747095694</v>
      </c>
      <c r="J79" s="337">
        <v>4.6900000000000004</v>
      </c>
      <c r="K79" s="185">
        <v>1</v>
      </c>
      <c r="L79" s="185">
        <v>1</v>
      </c>
      <c r="M79" s="185">
        <v>0.15</v>
      </c>
      <c r="O79" s="185">
        <v>0.45</v>
      </c>
      <c r="P79" s="185"/>
      <c r="R79" s="185">
        <f t="shared" si="25"/>
        <v>4.6900000000000004</v>
      </c>
      <c r="AF79" s="341"/>
    </row>
    <row r="80" spans="1:35">
      <c r="A80" s="651" t="s">
        <v>928</v>
      </c>
      <c r="B80" s="651" t="s">
        <v>568</v>
      </c>
      <c r="C80" s="651" t="s">
        <v>1040</v>
      </c>
      <c r="D80" s="651" t="s">
        <v>32</v>
      </c>
      <c r="E80" s="651" t="s">
        <v>122</v>
      </c>
      <c r="F80" s="651" t="s">
        <v>124</v>
      </c>
      <c r="G80" s="185" t="s">
        <v>168</v>
      </c>
      <c r="H80" s="185">
        <v>15</v>
      </c>
      <c r="I80" s="185">
        <v>8.6049045903708734</v>
      </c>
      <c r="J80" s="337">
        <v>4.84</v>
      </c>
      <c r="K80" s="185">
        <v>1</v>
      </c>
      <c r="L80" s="185">
        <v>1</v>
      </c>
      <c r="M80" s="185">
        <v>0.15</v>
      </c>
      <c r="O80" s="185">
        <v>0.45</v>
      </c>
      <c r="P80" s="185"/>
      <c r="R80" s="185">
        <f t="shared" si="25"/>
        <v>4.84</v>
      </c>
      <c r="AF80" s="341"/>
    </row>
    <row r="81" spans="1:35">
      <c r="A81" s="651" t="s">
        <v>928</v>
      </c>
      <c r="B81" s="651" t="s">
        <v>570</v>
      </c>
      <c r="C81" s="651" t="s">
        <v>1041</v>
      </c>
      <c r="D81" s="651" t="s">
        <v>32</v>
      </c>
      <c r="E81" s="651" t="s">
        <v>122</v>
      </c>
      <c r="F81" s="651" t="s">
        <v>124</v>
      </c>
      <c r="G81" s="185" t="s">
        <v>219</v>
      </c>
      <c r="H81" s="185">
        <v>15</v>
      </c>
      <c r="I81" s="185">
        <v>8.6049045903708734</v>
      </c>
      <c r="J81" s="337">
        <v>4.84</v>
      </c>
      <c r="K81" s="185">
        <v>1</v>
      </c>
      <c r="L81" s="185">
        <v>1</v>
      </c>
      <c r="M81" s="185">
        <v>0.15</v>
      </c>
      <c r="O81" s="185">
        <v>0.45</v>
      </c>
      <c r="P81" s="185"/>
      <c r="R81" s="185">
        <f t="shared" si="25"/>
        <v>4.84</v>
      </c>
      <c r="AF81" s="341"/>
    </row>
    <row r="82" spans="1:35">
      <c r="A82" s="651" t="s">
        <v>928</v>
      </c>
      <c r="B82" s="651" t="s">
        <v>572</v>
      </c>
      <c r="C82" s="651" t="s">
        <v>1042</v>
      </c>
      <c r="D82" s="651" t="s">
        <v>32</v>
      </c>
      <c r="E82" s="651" t="s">
        <v>122</v>
      </c>
      <c r="F82" s="651" t="s">
        <v>124</v>
      </c>
      <c r="G82" s="185" t="s">
        <v>222</v>
      </c>
      <c r="H82" s="185">
        <v>15</v>
      </c>
      <c r="I82" s="185">
        <v>8.6049045903708734</v>
      </c>
      <c r="J82" s="337">
        <v>4.84</v>
      </c>
      <c r="K82" s="185">
        <v>1</v>
      </c>
      <c r="L82" s="185">
        <v>1</v>
      </c>
      <c r="M82" s="185">
        <v>0.15</v>
      </c>
      <c r="O82" s="185">
        <v>0.45</v>
      </c>
      <c r="P82" s="185"/>
      <c r="R82" s="185">
        <f t="shared" si="25"/>
        <v>4.84</v>
      </c>
      <c r="AF82" s="341"/>
    </row>
    <row r="83" spans="1:35">
      <c r="A83" s="651" t="s">
        <v>928</v>
      </c>
      <c r="B83" s="651" t="s">
        <v>574</v>
      </c>
      <c r="C83" s="651" t="s">
        <v>1043</v>
      </c>
      <c r="D83" s="651" t="s">
        <v>32</v>
      </c>
      <c r="E83" s="651" t="s">
        <v>122</v>
      </c>
      <c r="F83" s="651" t="s">
        <v>124</v>
      </c>
      <c r="G83" s="185" t="s">
        <v>899</v>
      </c>
      <c r="H83" s="185">
        <v>15</v>
      </c>
      <c r="I83" s="185">
        <v>10.858570078325149</v>
      </c>
      <c r="J83" s="337">
        <v>6.45</v>
      </c>
      <c r="K83" s="185">
        <v>1</v>
      </c>
      <c r="L83" s="185">
        <v>1</v>
      </c>
      <c r="M83" s="185">
        <v>0.15</v>
      </c>
      <c r="O83" s="185">
        <v>0.45</v>
      </c>
      <c r="P83" s="185"/>
      <c r="R83" s="185">
        <f t="shared" si="25"/>
        <v>6.45</v>
      </c>
      <c r="AF83" s="341"/>
    </row>
    <row r="84" spans="1:35">
      <c r="A84" s="651" t="s">
        <v>928</v>
      </c>
      <c r="B84" s="651" t="s">
        <v>576</v>
      </c>
      <c r="C84" s="651" t="s">
        <v>1044</v>
      </c>
      <c r="D84" s="651" t="s">
        <v>32</v>
      </c>
      <c r="E84" s="651" t="s">
        <v>122</v>
      </c>
      <c r="F84" s="651" t="s">
        <v>124</v>
      </c>
      <c r="G84" s="185" t="s">
        <v>219</v>
      </c>
      <c r="H84" s="185">
        <v>15</v>
      </c>
      <c r="I84" s="185">
        <v>10.995155865473894</v>
      </c>
      <c r="J84" s="337">
        <v>6.74</v>
      </c>
      <c r="K84" s="185">
        <v>1</v>
      </c>
      <c r="L84" s="185">
        <v>1</v>
      </c>
      <c r="M84" s="185">
        <v>0.15</v>
      </c>
      <c r="O84" s="185">
        <v>0.45</v>
      </c>
      <c r="P84" s="185"/>
      <c r="R84" s="185">
        <f t="shared" si="25"/>
        <v>6.74</v>
      </c>
      <c r="AF84" s="341"/>
    </row>
    <row r="85" spans="1:35">
      <c r="A85" s="651" t="s">
        <v>928</v>
      </c>
      <c r="B85" s="651" t="s">
        <v>578</v>
      </c>
      <c r="C85" s="651" t="s">
        <v>1045</v>
      </c>
      <c r="D85" s="651" t="s">
        <v>32</v>
      </c>
      <c r="E85" s="651" t="s">
        <v>122</v>
      </c>
      <c r="F85" s="651" t="s">
        <v>124</v>
      </c>
      <c r="G85" s="185" t="s">
        <v>222</v>
      </c>
      <c r="H85" s="185">
        <v>15</v>
      </c>
      <c r="I85" s="185">
        <v>11.268327439771381</v>
      </c>
      <c r="J85" s="337">
        <v>7.03</v>
      </c>
      <c r="K85" s="185">
        <v>1</v>
      </c>
      <c r="L85" s="185">
        <v>1</v>
      </c>
      <c r="M85" s="185">
        <v>0.15</v>
      </c>
      <c r="O85" s="185">
        <v>0.45</v>
      </c>
      <c r="P85" s="185"/>
      <c r="R85" s="185">
        <f t="shared" si="25"/>
        <v>7.03</v>
      </c>
      <c r="AF85" s="341"/>
    </row>
    <row r="86" spans="1:35">
      <c r="A86" s="651" t="s">
        <v>928</v>
      </c>
      <c r="B86" s="651" t="s">
        <v>580</v>
      </c>
      <c r="C86" s="651" t="s">
        <v>1046</v>
      </c>
      <c r="D86" s="651" t="s">
        <v>32</v>
      </c>
      <c r="E86" s="651" t="s">
        <v>122</v>
      </c>
      <c r="F86" s="651" t="s">
        <v>124</v>
      </c>
      <c r="G86" s="185" t="s">
        <v>946</v>
      </c>
      <c r="H86" s="185">
        <v>15</v>
      </c>
      <c r="I86" s="185">
        <v>11.268327439771381</v>
      </c>
      <c r="J86" s="337">
        <v>7.33</v>
      </c>
      <c r="K86" s="185">
        <v>1</v>
      </c>
      <c r="L86" s="185">
        <v>1</v>
      </c>
      <c r="M86" s="185">
        <v>0.15</v>
      </c>
      <c r="O86" s="185">
        <v>0.45</v>
      </c>
      <c r="P86" s="185"/>
      <c r="R86" s="185">
        <f t="shared" si="25"/>
        <v>7.33</v>
      </c>
      <c r="AF86" s="341"/>
    </row>
    <row r="87" spans="1:35">
      <c r="A87" s="352" t="s">
        <v>947</v>
      </c>
      <c r="B87" s="352"/>
      <c r="C87" s="352"/>
      <c r="D87" s="352"/>
      <c r="E87" s="352"/>
      <c r="F87" s="352"/>
      <c r="G87" s="353"/>
      <c r="H87" s="353"/>
      <c r="I87" s="353"/>
      <c r="J87" s="354"/>
      <c r="K87" s="353"/>
      <c r="L87" s="353"/>
      <c r="M87" s="353">
        <f>M89</f>
        <v>0.15</v>
      </c>
      <c r="N87" s="353"/>
      <c r="O87" s="353"/>
      <c r="P87" s="353">
        <f>SUM(P88:P91)</f>
        <v>0</v>
      </c>
      <c r="Q87" s="355" t="s">
        <v>947</v>
      </c>
      <c r="R87" s="353"/>
      <c r="S87" s="353"/>
      <c r="T87" s="353" t="e">
        <f>'2010 Fuel Share'!E73</f>
        <v>#REF!</v>
      </c>
      <c r="U87" s="353"/>
      <c r="V87" s="353"/>
      <c r="W87" s="353"/>
      <c r="X87" s="353"/>
      <c r="Y87" s="353"/>
      <c r="Z87" s="353"/>
      <c r="AA87" s="353"/>
      <c r="AB87" s="353"/>
      <c r="AC87" s="353"/>
      <c r="AD87" s="353"/>
      <c r="AE87" s="353"/>
      <c r="AF87" s="341"/>
    </row>
    <row r="88" spans="1:35">
      <c r="A88" s="651" t="s">
        <v>995</v>
      </c>
      <c r="B88" s="651"/>
      <c r="C88" s="651"/>
      <c r="D88" s="651"/>
      <c r="E88" s="651"/>
      <c r="F88" s="651"/>
      <c r="P88" s="185"/>
      <c r="AF88" s="341"/>
    </row>
    <row r="89" spans="1:35">
      <c r="A89" s="651" t="s">
        <v>928</v>
      </c>
      <c r="B89" s="651" t="s">
        <v>590</v>
      </c>
      <c r="C89" s="651" t="s">
        <v>1047</v>
      </c>
      <c r="D89" s="651" t="s">
        <v>32</v>
      </c>
      <c r="E89" s="651" t="s">
        <v>125</v>
      </c>
      <c r="F89" s="651" t="s">
        <v>124</v>
      </c>
      <c r="G89" s="185" t="s">
        <v>931</v>
      </c>
      <c r="H89" s="185">
        <v>15</v>
      </c>
      <c r="I89" s="185">
        <v>0</v>
      </c>
      <c r="J89" s="337">
        <v>0.67000001668930098</v>
      </c>
      <c r="K89" s="185">
        <v>1</v>
      </c>
      <c r="L89" s="185">
        <v>1</v>
      </c>
      <c r="M89" s="185">
        <v>0.15</v>
      </c>
      <c r="O89" s="185">
        <v>0.18</v>
      </c>
      <c r="P89" s="651"/>
      <c r="R89" s="185">
        <f t="shared" ref="R89:R91" si="30">J89</f>
        <v>0.67000001668930098</v>
      </c>
      <c r="AF89" s="341"/>
    </row>
    <row r="90" spans="1:35" s="558" customFormat="1">
      <c r="A90" s="558" t="s">
        <v>928</v>
      </c>
      <c r="B90" s="558" t="s">
        <v>592</v>
      </c>
      <c r="C90" s="558" t="s">
        <v>1048</v>
      </c>
      <c r="D90" s="558" t="s">
        <v>32</v>
      </c>
      <c r="E90" s="558" t="s">
        <v>125</v>
      </c>
      <c r="F90" s="558" t="s">
        <v>124</v>
      </c>
      <c r="G90" s="605" t="s">
        <v>899</v>
      </c>
      <c r="H90" s="605">
        <v>15</v>
      </c>
      <c r="I90" s="605">
        <v>12.292720843386961</v>
      </c>
      <c r="J90" s="606">
        <v>0.6</v>
      </c>
      <c r="K90" s="605">
        <v>1</v>
      </c>
      <c r="L90" s="605">
        <v>1</v>
      </c>
      <c r="M90" s="605">
        <v>0.15</v>
      </c>
      <c r="N90" s="605"/>
      <c r="O90" s="605">
        <v>0.18</v>
      </c>
      <c r="Q90" s="607">
        <v>1</v>
      </c>
      <c r="R90" s="605">
        <f t="shared" si="30"/>
        <v>0.6</v>
      </c>
      <c r="S90" s="605"/>
      <c r="T90" s="605" t="e">
        <f>T87*$Q$90*$R$90/$M$90</f>
        <v>#REF!</v>
      </c>
      <c r="U90" s="605" t="e">
        <f>T87*$Q$90*$R$90</f>
        <v>#REF!</v>
      </c>
      <c r="V90" s="605" t="e">
        <f>$T90*AA$53/$U$53</f>
        <v>#REF!</v>
      </c>
      <c r="W90" s="605" t="e">
        <f t="shared" ref="W90" si="31">$T90*AB$53/$U$53</f>
        <v>#REF!</v>
      </c>
      <c r="X90" s="605" t="e">
        <f t="shared" ref="X90" si="32">$T90*AC$53/$U$53</f>
        <v>#REF!</v>
      </c>
      <c r="Y90" s="605" t="e">
        <f t="shared" ref="Y90" si="33">$T90*AD$53/$U$53</f>
        <v>#REF!</v>
      </c>
      <c r="Z90" s="605" t="e">
        <f t="shared" ref="Z90" si="34">$T90*AE$53/$U$53</f>
        <v>#REF!</v>
      </c>
      <c r="AA90" s="605" t="e">
        <f>$U90*AA53/$U$53</f>
        <v>#REF!</v>
      </c>
      <c r="AB90" s="605" t="e">
        <f t="shared" ref="AB90:AE90" si="35">$U90*AB53/$U$53</f>
        <v>#REF!</v>
      </c>
      <c r="AC90" s="605" t="e">
        <f t="shared" si="35"/>
        <v>#REF!</v>
      </c>
      <c r="AD90" s="605" t="e">
        <f t="shared" si="35"/>
        <v>#REF!</v>
      </c>
      <c r="AE90" s="605" t="e">
        <f t="shared" si="35"/>
        <v>#REF!</v>
      </c>
      <c r="AF90" s="608"/>
      <c r="AG90" s="605"/>
      <c r="AH90" s="605"/>
      <c r="AI90" s="605"/>
    </row>
    <row r="91" spans="1:35">
      <c r="A91" s="651" t="s">
        <v>928</v>
      </c>
      <c r="B91" s="651" t="s">
        <v>594</v>
      </c>
      <c r="C91" s="651" t="s">
        <v>1049</v>
      </c>
      <c r="D91" s="651" t="s">
        <v>32</v>
      </c>
      <c r="E91" s="651" t="s">
        <v>125</v>
      </c>
      <c r="F91" s="651" t="s">
        <v>124</v>
      </c>
      <c r="G91" s="185" t="s">
        <v>219</v>
      </c>
      <c r="H91" s="185">
        <v>15</v>
      </c>
      <c r="I91" s="185">
        <v>12.292720843386961</v>
      </c>
      <c r="J91" s="337">
        <v>0.7</v>
      </c>
      <c r="K91" s="185">
        <v>1</v>
      </c>
      <c r="L91" s="185">
        <v>1</v>
      </c>
      <c r="M91" s="185">
        <v>0.15</v>
      </c>
      <c r="O91" s="185">
        <v>0.18</v>
      </c>
      <c r="P91" s="185"/>
      <c r="R91" s="185">
        <f t="shared" si="30"/>
        <v>0.7</v>
      </c>
    </row>
    <row r="92" spans="1:35" ht="13">
      <c r="A92" s="190" t="s">
        <v>49</v>
      </c>
      <c r="B92" s="190"/>
      <c r="C92" s="190"/>
      <c r="D92" s="190"/>
      <c r="E92" s="190"/>
      <c r="F92" s="190"/>
      <c r="G92" s="342"/>
      <c r="H92" s="342"/>
      <c r="I92" s="342"/>
      <c r="J92" s="343"/>
      <c r="K92" s="342"/>
      <c r="L92" s="342"/>
      <c r="M92" s="342"/>
      <c r="N92" s="342"/>
      <c r="O92" s="342"/>
      <c r="P92" s="349"/>
      <c r="Q92" s="350"/>
      <c r="R92" s="342"/>
      <c r="S92" s="342"/>
      <c r="T92" s="342"/>
      <c r="U92" s="393" t="e">
        <f>SUM(U94:U114)</f>
        <v>#REF!</v>
      </c>
      <c r="V92" s="393"/>
      <c r="W92" s="393"/>
      <c r="X92" s="393"/>
      <c r="Y92" s="393"/>
      <c r="Z92" s="393"/>
      <c r="AA92" s="393" t="e">
        <f>ResDemand!E104</f>
        <v>#REF!</v>
      </c>
      <c r="AB92" s="393" t="e">
        <f>ResDemand!E105</f>
        <v>#REF!</v>
      </c>
      <c r="AC92" s="393" t="e">
        <f>ResDemand!E106</f>
        <v>#REF!</v>
      </c>
      <c r="AD92" s="393" t="e">
        <f>ResDemand!E107</f>
        <v>#REF!</v>
      </c>
      <c r="AE92" s="393" t="e">
        <f>ResDemand!E108</f>
        <v>#REF!</v>
      </c>
      <c r="AF92" s="468" t="e">
        <f>SUM(AA92:AE92)-U92</f>
        <v>#REF!</v>
      </c>
      <c r="AG92" s="651"/>
      <c r="AH92" s="651"/>
    </row>
    <row r="93" spans="1:35">
      <c r="A93" s="352" t="s">
        <v>947</v>
      </c>
      <c r="B93" s="352"/>
      <c r="C93" s="352"/>
      <c r="D93" s="352"/>
      <c r="E93" s="352"/>
      <c r="F93" s="352"/>
      <c r="G93" s="353"/>
      <c r="H93" s="353"/>
      <c r="I93" s="353"/>
      <c r="J93" s="354"/>
      <c r="K93" s="353"/>
      <c r="L93" s="353"/>
      <c r="M93" s="353">
        <f>M94</f>
        <v>0.1</v>
      </c>
      <c r="N93" s="353"/>
      <c r="O93" s="353"/>
      <c r="P93" s="353">
        <f>SUM(P95:P100)</f>
        <v>1190.0516923675102</v>
      </c>
      <c r="Q93" s="355" t="s">
        <v>947</v>
      </c>
      <c r="R93" s="353"/>
      <c r="S93" s="353"/>
      <c r="T93" s="353" t="e">
        <f>'2010 Fuel Share'!D73</f>
        <v>#REF!</v>
      </c>
      <c r="U93" s="353"/>
      <c r="V93" s="353"/>
      <c r="W93" s="353"/>
      <c r="X93" s="353"/>
      <c r="Y93" s="353"/>
      <c r="Z93" s="353"/>
      <c r="AA93" s="353" t="e">
        <f>SUM(AA94:AA114)</f>
        <v>#REF!</v>
      </c>
      <c r="AB93" s="353" t="e">
        <f t="shared" ref="AB93:AE93" si="36">SUM(AB94:AB114)</f>
        <v>#REF!</v>
      </c>
      <c r="AC93" s="353" t="e">
        <f t="shared" si="36"/>
        <v>#REF!</v>
      </c>
      <c r="AD93" s="353" t="e">
        <f t="shared" si="36"/>
        <v>#REF!</v>
      </c>
      <c r="AE93" s="353" t="e">
        <f t="shared" si="36"/>
        <v>#REF!</v>
      </c>
    </row>
    <row r="94" spans="1:35">
      <c r="A94" s="651" t="s">
        <v>928</v>
      </c>
      <c r="B94" s="651" t="s">
        <v>1050</v>
      </c>
      <c r="C94" s="651" t="s">
        <v>1051</v>
      </c>
      <c r="D94" s="651" t="s">
        <v>32</v>
      </c>
      <c r="E94" s="651" t="s">
        <v>125</v>
      </c>
      <c r="F94" s="651" t="s">
        <v>150</v>
      </c>
      <c r="G94" s="185" t="s">
        <v>931</v>
      </c>
      <c r="H94" s="185">
        <v>10</v>
      </c>
      <c r="J94" s="337">
        <v>0.57569998502731301</v>
      </c>
      <c r="K94" s="185">
        <v>1</v>
      </c>
      <c r="L94" s="185">
        <v>1</v>
      </c>
      <c r="M94" s="185">
        <v>0.1</v>
      </c>
      <c r="O94" s="185">
        <v>0.18</v>
      </c>
      <c r="P94" s="651"/>
      <c r="R94" s="185">
        <f t="shared" ref="R94:R100" si="37">J94</f>
        <v>0.57569998502731301</v>
      </c>
    </row>
    <row r="95" spans="1:35" s="558" customFormat="1">
      <c r="A95" s="558" t="s">
        <v>928</v>
      </c>
      <c r="B95" s="558" t="s">
        <v>1052</v>
      </c>
      <c r="C95" s="558" t="s">
        <v>1053</v>
      </c>
      <c r="D95" s="558" t="s">
        <v>32</v>
      </c>
      <c r="E95" s="558" t="s">
        <v>125</v>
      </c>
      <c r="F95" s="558" t="s">
        <v>150</v>
      </c>
      <c r="G95" s="605" t="s">
        <v>899</v>
      </c>
      <c r="H95" s="605">
        <v>10</v>
      </c>
      <c r="I95" s="605">
        <v>7.6212655484737528</v>
      </c>
      <c r="J95" s="606" t="e">
        <f>TechData_DMD!#REF!</f>
        <v>#REF!</v>
      </c>
      <c r="K95" s="605">
        <v>1</v>
      </c>
      <c r="L95" s="605">
        <v>1</v>
      </c>
      <c r="M95" s="605">
        <v>0.1</v>
      </c>
      <c r="N95" s="605"/>
      <c r="O95" s="605">
        <v>0.18</v>
      </c>
      <c r="P95" s="605">
        <v>1190.0516923675102</v>
      </c>
      <c r="Q95" s="607">
        <f>P95/P93</f>
        <v>1</v>
      </c>
      <c r="R95" s="605" t="e">
        <f t="shared" si="37"/>
        <v>#REF!</v>
      </c>
      <c r="S95" s="605"/>
      <c r="T95" s="605" t="e">
        <f>T93*$Q$95*$R$95/M95</f>
        <v>#REF!</v>
      </c>
      <c r="U95" s="605" t="e">
        <f>T93*$Q$95*$R$95</f>
        <v>#REF!</v>
      </c>
      <c r="V95" s="605" t="e">
        <f>$T95*AA$92/$U$92</f>
        <v>#REF!</v>
      </c>
      <c r="W95" s="605" t="e">
        <f t="shared" ref="W95:Z95" si="38">$T95*AB$92/$U$92</f>
        <v>#REF!</v>
      </c>
      <c r="X95" s="605" t="e">
        <f t="shared" si="38"/>
        <v>#REF!</v>
      </c>
      <c r="Y95" s="605" t="e">
        <f t="shared" si="38"/>
        <v>#REF!</v>
      </c>
      <c r="Z95" s="605" t="e">
        <f t="shared" si="38"/>
        <v>#REF!</v>
      </c>
      <c r="AA95" s="605" t="e">
        <f>$U95*AA92/$U$92</f>
        <v>#REF!</v>
      </c>
      <c r="AB95" s="605" t="e">
        <f t="shared" ref="AB95:AE95" si="39">$U95*AB92/$U$92</f>
        <v>#REF!</v>
      </c>
      <c r="AC95" s="605" t="e">
        <f t="shared" si="39"/>
        <v>#REF!</v>
      </c>
      <c r="AD95" s="605" t="e">
        <f t="shared" si="39"/>
        <v>#REF!</v>
      </c>
      <c r="AE95" s="605" t="e">
        <f t="shared" si="39"/>
        <v>#REF!</v>
      </c>
      <c r="AF95" s="605"/>
      <c r="AG95" s="605"/>
      <c r="AH95" s="605"/>
      <c r="AI95" s="605"/>
    </row>
    <row r="96" spans="1:35">
      <c r="A96" s="651" t="s">
        <v>928</v>
      </c>
      <c r="B96" s="651" t="s">
        <v>1054</v>
      </c>
      <c r="C96" s="651" t="s">
        <v>837</v>
      </c>
      <c r="D96" s="651" t="s">
        <v>32</v>
      </c>
      <c r="E96" s="651" t="s">
        <v>125</v>
      </c>
      <c r="F96" s="651" t="s">
        <v>150</v>
      </c>
      <c r="G96" s="185" t="s">
        <v>168</v>
      </c>
      <c r="H96" s="185">
        <v>10</v>
      </c>
      <c r="I96" s="185">
        <v>7.7906270051065025</v>
      </c>
      <c r="J96" s="337">
        <v>0.62</v>
      </c>
      <c r="K96" s="185">
        <v>1</v>
      </c>
      <c r="L96" s="185">
        <v>1</v>
      </c>
      <c r="M96" s="185">
        <v>0.1</v>
      </c>
      <c r="O96" s="185">
        <v>0.18</v>
      </c>
      <c r="P96" s="185"/>
      <c r="R96" s="185">
        <f t="shared" si="37"/>
        <v>0.62</v>
      </c>
    </row>
    <row r="97" spans="1:35">
      <c r="A97" s="651" t="s">
        <v>928</v>
      </c>
      <c r="B97" s="651" t="s">
        <v>1055</v>
      </c>
      <c r="C97" s="651" t="s">
        <v>1056</v>
      </c>
      <c r="D97" s="651" t="s">
        <v>32</v>
      </c>
      <c r="E97" s="651" t="s">
        <v>125</v>
      </c>
      <c r="F97" s="651" t="s">
        <v>150</v>
      </c>
      <c r="G97" s="185" t="s">
        <v>899</v>
      </c>
      <c r="H97" s="185">
        <v>10</v>
      </c>
      <c r="I97" s="185">
        <v>10.585091039546878</v>
      </c>
      <c r="J97" s="337">
        <v>0.67</v>
      </c>
      <c r="K97" s="185">
        <v>1</v>
      </c>
      <c r="L97" s="185">
        <v>1</v>
      </c>
      <c r="M97" s="185">
        <v>0.1</v>
      </c>
      <c r="O97" s="185">
        <v>0.18</v>
      </c>
      <c r="P97" s="185"/>
      <c r="R97" s="185">
        <f t="shared" si="37"/>
        <v>0.67</v>
      </c>
    </row>
    <row r="98" spans="1:35">
      <c r="A98" s="651" t="s">
        <v>928</v>
      </c>
      <c r="B98" s="651" t="s">
        <v>1057</v>
      </c>
      <c r="C98" s="651" t="s">
        <v>1058</v>
      </c>
      <c r="D98" s="651" t="s">
        <v>32</v>
      </c>
      <c r="E98" s="651" t="s">
        <v>125</v>
      </c>
      <c r="F98" s="651" t="s">
        <v>150</v>
      </c>
      <c r="G98" s="185" t="s">
        <v>899</v>
      </c>
      <c r="H98" s="185">
        <v>10</v>
      </c>
      <c r="I98" s="185">
        <v>18.629760229602507</v>
      </c>
      <c r="J98" s="337">
        <v>0.82</v>
      </c>
      <c r="K98" s="185">
        <v>1</v>
      </c>
      <c r="L98" s="185">
        <v>1</v>
      </c>
      <c r="M98" s="185">
        <v>0.1</v>
      </c>
      <c r="O98" s="185">
        <v>0.18</v>
      </c>
      <c r="P98" s="185"/>
      <c r="R98" s="185">
        <f t="shared" si="37"/>
        <v>0.82</v>
      </c>
    </row>
    <row r="99" spans="1:35">
      <c r="A99" s="651" t="s">
        <v>928</v>
      </c>
      <c r="B99" s="651" t="s">
        <v>1059</v>
      </c>
      <c r="C99" s="651" t="s">
        <v>1060</v>
      </c>
      <c r="D99" s="651" t="s">
        <v>32</v>
      </c>
      <c r="E99" s="651" t="s">
        <v>125</v>
      </c>
      <c r="F99" s="651" t="s">
        <v>150</v>
      </c>
      <c r="G99" s="185" t="s">
        <v>219</v>
      </c>
      <c r="H99" s="185">
        <v>20</v>
      </c>
      <c r="I99" s="185">
        <v>17.782952946438755</v>
      </c>
      <c r="J99" s="337">
        <v>0.9</v>
      </c>
      <c r="K99" s="185">
        <v>1</v>
      </c>
      <c r="L99" s="185">
        <v>1</v>
      </c>
      <c r="M99" s="185">
        <v>0.1</v>
      </c>
      <c r="O99" s="185">
        <v>0.18</v>
      </c>
      <c r="P99" s="185"/>
      <c r="R99" s="185">
        <f t="shared" si="37"/>
        <v>0.9</v>
      </c>
    </row>
    <row r="100" spans="1:35">
      <c r="A100" s="651" t="s">
        <v>928</v>
      </c>
      <c r="B100" s="651" t="s">
        <v>1061</v>
      </c>
      <c r="C100" s="651" t="s">
        <v>1062</v>
      </c>
      <c r="D100" s="651" t="s">
        <v>32</v>
      </c>
      <c r="E100" s="651" t="s">
        <v>125</v>
      </c>
      <c r="F100" s="651" t="s">
        <v>150</v>
      </c>
      <c r="G100" s="185" t="s">
        <v>899</v>
      </c>
      <c r="H100" s="185">
        <v>20</v>
      </c>
      <c r="I100" s="185">
        <v>13.548916530620005</v>
      </c>
      <c r="J100" s="337">
        <v>0.85</v>
      </c>
      <c r="K100" s="185">
        <v>1</v>
      </c>
      <c r="L100" s="185">
        <v>1</v>
      </c>
      <c r="M100" s="185">
        <v>0.1</v>
      </c>
      <c r="O100" s="185">
        <v>0.45</v>
      </c>
      <c r="P100" s="185"/>
      <c r="R100" s="185">
        <f t="shared" si="37"/>
        <v>0.85</v>
      </c>
    </row>
    <row r="101" spans="1:35">
      <c r="A101" s="352" t="s">
        <v>512</v>
      </c>
      <c r="B101" s="352"/>
      <c r="C101" s="352"/>
      <c r="D101" s="352"/>
      <c r="E101" s="352"/>
      <c r="F101" s="352"/>
      <c r="G101" s="353"/>
      <c r="H101" s="353"/>
      <c r="I101" s="353"/>
      <c r="J101" s="354"/>
      <c r="K101" s="353"/>
      <c r="L101" s="353"/>
      <c r="M101" s="353">
        <f>M102</f>
        <v>0.1</v>
      </c>
      <c r="N101" s="353"/>
      <c r="O101" s="353"/>
      <c r="P101" s="353">
        <f>SUM(P103:P109)</f>
        <v>303.49755654813748</v>
      </c>
      <c r="Q101" s="355" t="s">
        <v>512</v>
      </c>
      <c r="R101" s="353"/>
      <c r="S101" s="353"/>
      <c r="T101" s="353" t="e">
        <f>'2010 Fuel Share'!D72</f>
        <v>#REF!</v>
      </c>
      <c r="U101" s="353"/>
      <c r="V101" s="353"/>
      <c r="W101" s="353"/>
      <c r="X101" s="353"/>
      <c r="Y101" s="353"/>
      <c r="Z101" s="353"/>
      <c r="AA101" s="353"/>
      <c r="AB101" s="353"/>
      <c r="AC101" s="353"/>
      <c r="AD101" s="353"/>
      <c r="AE101" s="353"/>
    </row>
    <row r="102" spans="1:35">
      <c r="A102" s="651" t="s">
        <v>928</v>
      </c>
      <c r="B102" s="651" t="s">
        <v>1063</v>
      </c>
      <c r="C102" s="651" t="s">
        <v>1064</v>
      </c>
      <c r="D102" s="651" t="s">
        <v>32</v>
      </c>
      <c r="E102" s="651" t="s">
        <v>122</v>
      </c>
      <c r="F102" s="651" t="s">
        <v>150</v>
      </c>
      <c r="G102" s="185" t="s">
        <v>931</v>
      </c>
      <c r="H102" s="185">
        <v>15</v>
      </c>
      <c r="J102" s="337">
        <v>0.88819998502731301</v>
      </c>
      <c r="K102" s="185">
        <v>1</v>
      </c>
      <c r="L102" s="185">
        <v>1</v>
      </c>
      <c r="M102" s="185">
        <v>0.1</v>
      </c>
      <c r="O102" s="185">
        <v>0.18</v>
      </c>
      <c r="P102" s="651"/>
      <c r="R102" s="185">
        <f t="shared" ref="R102:R109" si="40">J102</f>
        <v>0.88819998502731301</v>
      </c>
    </row>
    <row r="103" spans="1:35" s="546" customFormat="1">
      <c r="A103" s="546" t="s">
        <v>928</v>
      </c>
      <c r="B103" s="546" t="s">
        <v>1065</v>
      </c>
      <c r="C103" s="546" t="s">
        <v>1066</v>
      </c>
      <c r="D103" s="546" t="s">
        <v>32</v>
      </c>
      <c r="E103" s="546" t="s">
        <v>122</v>
      </c>
      <c r="F103" s="546" t="s">
        <v>150</v>
      </c>
      <c r="G103" s="549" t="s">
        <v>899</v>
      </c>
      <c r="H103" s="549">
        <v>15</v>
      </c>
      <c r="I103" s="549">
        <v>5.0808436989825019</v>
      </c>
      <c r="J103" s="609" t="e">
        <f>TechData_DMD!#REF!</f>
        <v>#REF!</v>
      </c>
      <c r="K103" s="549">
        <v>1</v>
      </c>
      <c r="L103" s="549">
        <v>1</v>
      </c>
      <c r="M103" s="549">
        <v>0.1</v>
      </c>
      <c r="N103" s="549"/>
      <c r="O103" s="549">
        <v>0.18</v>
      </c>
      <c r="P103" s="549">
        <v>303.49755654813748</v>
      </c>
      <c r="Q103" s="610">
        <f>P103/P101</f>
        <v>1</v>
      </c>
      <c r="R103" s="549" t="e">
        <f t="shared" si="40"/>
        <v>#REF!</v>
      </c>
      <c r="S103" s="549"/>
      <c r="T103" s="549" t="e">
        <f t="shared" ref="T103" si="41">T101*$Q$103*$R$103/$M$103</f>
        <v>#REF!</v>
      </c>
      <c r="U103" s="549" t="e">
        <f>T101*$Q$103*$R$103</f>
        <v>#REF!</v>
      </c>
      <c r="V103" s="549" t="e">
        <f>$T103*AA$92/$U$92</f>
        <v>#REF!</v>
      </c>
      <c r="W103" s="549" t="e">
        <f t="shared" ref="W103" si="42">$T103*AB$92/$U$92</f>
        <v>#REF!</v>
      </c>
      <c r="X103" s="549" t="e">
        <f t="shared" ref="X103" si="43">$T103*AC$92/$U$92</f>
        <v>#REF!</v>
      </c>
      <c r="Y103" s="549" t="e">
        <f t="shared" ref="Y103" si="44">$T103*AD$92/$U$92</f>
        <v>#REF!</v>
      </c>
      <c r="Z103" s="549" t="e">
        <f t="shared" ref="Z103" si="45">$T103*AE$92/$U$92</f>
        <v>#REF!</v>
      </c>
      <c r="AA103" s="549" t="e">
        <f>$U103*AA92/$U$92</f>
        <v>#REF!</v>
      </c>
      <c r="AB103" s="549" t="e">
        <f t="shared" ref="AB103:AE103" si="46">$U103*AB92/$U$92</f>
        <v>#REF!</v>
      </c>
      <c r="AC103" s="549" t="e">
        <f t="shared" si="46"/>
        <v>#REF!</v>
      </c>
      <c r="AD103" s="549" t="e">
        <f t="shared" si="46"/>
        <v>#REF!</v>
      </c>
      <c r="AE103" s="549" t="e">
        <f t="shared" si="46"/>
        <v>#REF!</v>
      </c>
      <c r="AF103" s="549"/>
      <c r="AG103" s="549"/>
      <c r="AH103" s="549"/>
      <c r="AI103" s="549"/>
    </row>
    <row r="104" spans="1:35">
      <c r="A104" s="651" t="s">
        <v>928</v>
      </c>
      <c r="B104" s="651" t="s">
        <v>1067</v>
      </c>
      <c r="C104" s="651" t="s">
        <v>1068</v>
      </c>
      <c r="D104" s="651" t="s">
        <v>32</v>
      </c>
      <c r="E104" s="651" t="s">
        <v>122</v>
      </c>
      <c r="F104" s="651" t="s">
        <v>150</v>
      </c>
      <c r="G104" s="185" t="s">
        <v>899</v>
      </c>
      <c r="H104" s="185">
        <v>15</v>
      </c>
      <c r="I104" s="185">
        <v>5.292545519773439</v>
      </c>
      <c r="J104" s="337">
        <v>0.91</v>
      </c>
      <c r="K104" s="185">
        <v>1</v>
      </c>
      <c r="L104" s="185">
        <v>1</v>
      </c>
      <c r="M104" s="185">
        <v>0.1</v>
      </c>
      <c r="O104" s="185">
        <v>0.18</v>
      </c>
      <c r="P104" s="185"/>
      <c r="R104" s="185">
        <f t="shared" si="40"/>
        <v>0.91</v>
      </c>
    </row>
    <row r="105" spans="1:35">
      <c r="A105" s="651" t="s">
        <v>928</v>
      </c>
      <c r="B105" s="651" t="s">
        <v>1069</v>
      </c>
      <c r="C105" s="651" t="s">
        <v>1070</v>
      </c>
      <c r="D105" s="651" t="s">
        <v>32</v>
      </c>
      <c r="E105" s="651" t="s">
        <v>122</v>
      </c>
      <c r="F105" s="651" t="s">
        <v>150</v>
      </c>
      <c r="G105" s="185" t="s">
        <v>168</v>
      </c>
      <c r="H105" s="185">
        <v>15</v>
      </c>
      <c r="I105" s="185">
        <v>5.7159491613553151</v>
      </c>
      <c r="J105" s="337">
        <v>0.95</v>
      </c>
      <c r="K105" s="185">
        <v>1</v>
      </c>
      <c r="L105" s="185">
        <v>1</v>
      </c>
      <c r="M105" s="185">
        <v>0.1</v>
      </c>
      <c r="O105" s="185">
        <v>0.18</v>
      </c>
      <c r="P105" s="185"/>
      <c r="R105" s="185">
        <f t="shared" si="40"/>
        <v>0.95</v>
      </c>
    </row>
    <row r="106" spans="1:35">
      <c r="A106" s="651" t="s">
        <v>928</v>
      </c>
      <c r="B106" s="651" t="s">
        <v>1071</v>
      </c>
      <c r="C106" s="651" t="s">
        <v>1072</v>
      </c>
      <c r="D106" s="651" t="s">
        <v>32</v>
      </c>
      <c r="E106" s="651" t="s">
        <v>122</v>
      </c>
      <c r="F106" s="651" t="s">
        <v>150</v>
      </c>
      <c r="G106" s="185" t="s">
        <v>899</v>
      </c>
      <c r="H106" s="185">
        <v>15</v>
      </c>
      <c r="I106" s="185">
        <v>6.1393528029371884</v>
      </c>
      <c r="J106" s="337">
        <v>0.96</v>
      </c>
      <c r="K106" s="185">
        <v>1</v>
      </c>
      <c r="L106" s="185">
        <v>1</v>
      </c>
      <c r="M106" s="185">
        <v>0.1</v>
      </c>
      <c r="O106" s="185">
        <v>0.18</v>
      </c>
      <c r="P106" s="185"/>
      <c r="R106" s="185">
        <f t="shared" si="40"/>
        <v>0.96</v>
      </c>
    </row>
    <row r="107" spans="1:35">
      <c r="A107" s="651" t="s">
        <v>928</v>
      </c>
      <c r="B107" s="651" t="s">
        <v>1073</v>
      </c>
      <c r="C107" s="651" t="s">
        <v>1074</v>
      </c>
      <c r="D107" s="651" t="s">
        <v>32</v>
      </c>
      <c r="E107" s="651" t="s">
        <v>122</v>
      </c>
      <c r="F107" s="651" t="s">
        <v>150</v>
      </c>
      <c r="G107" s="185" t="s">
        <v>899</v>
      </c>
      <c r="H107" s="185">
        <v>15</v>
      </c>
      <c r="I107" s="185">
        <v>15.66593473852938</v>
      </c>
      <c r="J107" s="337">
        <v>2</v>
      </c>
      <c r="K107" s="185">
        <v>1</v>
      </c>
      <c r="L107" s="185">
        <v>1</v>
      </c>
      <c r="M107" s="185">
        <v>0.1</v>
      </c>
      <c r="O107" s="185">
        <v>0.45</v>
      </c>
      <c r="P107" s="185"/>
      <c r="R107" s="185">
        <f t="shared" si="40"/>
        <v>2</v>
      </c>
    </row>
    <row r="108" spans="1:35">
      <c r="A108" s="651" t="s">
        <v>928</v>
      </c>
      <c r="B108" s="651" t="s">
        <v>1075</v>
      </c>
      <c r="C108" s="651" t="s">
        <v>1076</v>
      </c>
      <c r="D108" s="651" t="s">
        <v>32</v>
      </c>
      <c r="E108" s="651" t="s">
        <v>122</v>
      </c>
      <c r="F108" s="651" t="s">
        <v>150</v>
      </c>
      <c r="G108" s="185" t="s">
        <v>219</v>
      </c>
      <c r="H108" s="185">
        <v>15</v>
      </c>
      <c r="I108" s="185">
        <v>15.242531096947506</v>
      </c>
      <c r="J108" s="337">
        <v>2</v>
      </c>
      <c r="K108" s="185">
        <v>1</v>
      </c>
      <c r="L108" s="185">
        <v>1</v>
      </c>
      <c r="M108" s="185">
        <v>0.1</v>
      </c>
      <c r="O108" s="185">
        <v>0.45</v>
      </c>
      <c r="P108" s="185"/>
      <c r="R108" s="185">
        <f t="shared" si="40"/>
        <v>2</v>
      </c>
    </row>
    <row r="109" spans="1:35">
      <c r="A109" s="651" t="s">
        <v>928</v>
      </c>
      <c r="B109" s="651" t="s">
        <v>1077</v>
      </c>
      <c r="C109" s="651" t="s">
        <v>1078</v>
      </c>
      <c r="D109" s="651" t="s">
        <v>32</v>
      </c>
      <c r="E109" s="651" t="s">
        <v>122</v>
      </c>
      <c r="F109" s="651" t="s">
        <v>150</v>
      </c>
      <c r="G109" s="185" t="s">
        <v>899</v>
      </c>
      <c r="H109" s="185">
        <v>15</v>
      </c>
      <c r="I109" s="185">
        <v>17.359549304856881</v>
      </c>
      <c r="J109" s="337">
        <v>2.35</v>
      </c>
      <c r="K109" s="185">
        <v>1</v>
      </c>
      <c r="L109" s="185">
        <v>1</v>
      </c>
      <c r="M109" s="185">
        <v>0.1</v>
      </c>
      <c r="O109" s="185">
        <v>0.45</v>
      </c>
      <c r="P109" s="185"/>
      <c r="R109" s="185">
        <f t="shared" si="40"/>
        <v>2.35</v>
      </c>
    </row>
    <row r="110" spans="1:35">
      <c r="A110" s="352" t="s">
        <v>972</v>
      </c>
      <c r="B110" s="352"/>
      <c r="C110" s="352"/>
      <c r="D110" s="352"/>
      <c r="E110" s="352"/>
      <c r="F110" s="352"/>
      <c r="G110" s="353"/>
      <c r="H110" s="353"/>
      <c r="I110" s="353"/>
      <c r="J110" s="354"/>
      <c r="K110" s="353"/>
      <c r="L110" s="353"/>
      <c r="M110" s="353"/>
      <c r="N110" s="353"/>
      <c r="O110" s="353"/>
      <c r="P110" s="353">
        <f>SUM(P112:P114)</f>
        <v>48.526233211600392</v>
      </c>
      <c r="Q110" s="355" t="s">
        <v>972</v>
      </c>
      <c r="R110" s="353"/>
      <c r="S110" s="353"/>
      <c r="T110" s="353" t="e">
        <f>'2010 Fuel Share'!D74</f>
        <v>#REF!</v>
      </c>
      <c r="U110" s="353"/>
      <c r="V110" s="353"/>
      <c r="W110" s="353"/>
      <c r="X110" s="353"/>
      <c r="Y110" s="353"/>
      <c r="Z110" s="353"/>
      <c r="AA110" s="353"/>
      <c r="AB110" s="353"/>
      <c r="AC110" s="353"/>
      <c r="AD110" s="353"/>
      <c r="AE110" s="353"/>
    </row>
    <row r="111" spans="1:35">
      <c r="A111" s="651" t="s">
        <v>928</v>
      </c>
      <c r="B111" s="651" t="s">
        <v>1079</v>
      </c>
      <c r="C111" s="651" t="s">
        <v>1080</v>
      </c>
      <c r="D111" s="651" t="s">
        <v>32</v>
      </c>
      <c r="E111" s="651" t="s">
        <v>126</v>
      </c>
      <c r="F111" s="651" t="s">
        <v>150</v>
      </c>
      <c r="G111" s="185" t="s">
        <v>931</v>
      </c>
      <c r="H111" s="185">
        <v>10</v>
      </c>
      <c r="J111" s="337">
        <v>0.54500001668930098</v>
      </c>
      <c r="K111" s="185">
        <v>1</v>
      </c>
      <c r="L111" s="185">
        <v>1</v>
      </c>
      <c r="M111" s="185">
        <v>0.1</v>
      </c>
      <c r="O111" s="185">
        <v>0.45</v>
      </c>
      <c r="P111" s="651"/>
      <c r="R111" s="185">
        <f t="shared" ref="R111:R114" si="47">J111</f>
        <v>0.54500001668930098</v>
      </c>
    </row>
    <row r="112" spans="1:35" s="546" customFormat="1">
      <c r="A112" s="546" t="s">
        <v>928</v>
      </c>
      <c r="B112" s="546" t="s">
        <v>1081</v>
      </c>
      <c r="C112" s="546" t="s">
        <v>1082</v>
      </c>
      <c r="D112" s="546" t="s">
        <v>32</v>
      </c>
      <c r="E112" s="546" t="s">
        <v>126</v>
      </c>
      <c r="F112" s="546" t="s">
        <v>150</v>
      </c>
      <c r="G112" s="549" t="s">
        <v>899</v>
      </c>
      <c r="H112" s="549">
        <v>10</v>
      </c>
      <c r="I112" s="549">
        <v>16.089338380111254</v>
      </c>
      <c r="J112" s="609" t="e">
        <f>TechData_DMD!#REF!</f>
        <v>#REF!</v>
      </c>
      <c r="K112" s="549">
        <v>1</v>
      </c>
      <c r="L112" s="549">
        <v>1</v>
      </c>
      <c r="M112" s="549">
        <v>0.1</v>
      </c>
      <c r="N112" s="549"/>
      <c r="O112" s="549">
        <v>0.45</v>
      </c>
      <c r="P112" s="549">
        <v>48.526233211600392</v>
      </c>
      <c r="Q112" s="610">
        <f>P112/P110</f>
        <v>1</v>
      </c>
      <c r="R112" s="549" t="e">
        <f t="shared" si="47"/>
        <v>#REF!</v>
      </c>
      <c r="S112" s="549"/>
      <c r="T112" s="549" t="e">
        <f t="shared" ref="T112" si="48">T110*$Q$112*$R$112/$M$112</f>
        <v>#REF!</v>
      </c>
      <c r="U112" s="549" t="e">
        <f>T110*$Q$112*$R$112</f>
        <v>#REF!</v>
      </c>
      <c r="V112" s="549" t="e">
        <f>$T112*AA$92/$U$92</f>
        <v>#REF!</v>
      </c>
      <c r="W112" s="549" t="e">
        <f t="shared" ref="W112" si="49">$T112*AB$92/$U$92</f>
        <v>#REF!</v>
      </c>
      <c r="X112" s="549" t="e">
        <f t="shared" ref="X112" si="50">$T112*AC$92/$U$92</f>
        <v>#REF!</v>
      </c>
      <c r="Y112" s="549" t="e">
        <f t="shared" ref="Y112" si="51">$T112*AD$92/$U$92</f>
        <v>#REF!</v>
      </c>
      <c r="Z112" s="549" t="e">
        <f t="shared" ref="Z112" si="52">$T112*AE$92/$U$92</f>
        <v>#REF!</v>
      </c>
      <c r="AA112" s="549" t="e">
        <f>$U112*AA92/$U$92</f>
        <v>#REF!</v>
      </c>
      <c r="AB112" s="549" t="e">
        <f t="shared" ref="AB112:AE112" si="53">$U112*AB92/$U$92</f>
        <v>#REF!</v>
      </c>
      <c r="AC112" s="549" t="e">
        <f t="shared" si="53"/>
        <v>#REF!</v>
      </c>
      <c r="AD112" s="549" t="e">
        <f t="shared" si="53"/>
        <v>#REF!</v>
      </c>
      <c r="AE112" s="549" t="e">
        <f t="shared" si="53"/>
        <v>#REF!</v>
      </c>
      <c r="AF112" s="549"/>
      <c r="AG112" s="549"/>
      <c r="AH112" s="549"/>
      <c r="AI112" s="549"/>
    </row>
    <row r="113" spans="1:35">
      <c r="A113" s="651" t="s">
        <v>928</v>
      </c>
      <c r="B113" s="651" t="s">
        <v>1083</v>
      </c>
      <c r="C113" s="651" t="s">
        <v>1084</v>
      </c>
      <c r="D113" s="651" t="s">
        <v>32</v>
      </c>
      <c r="E113" s="651" t="s">
        <v>126</v>
      </c>
      <c r="F113" s="651" t="s">
        <v>150</v>
      </c>
      <c r="G113" s="185" t="s">
        <v>899</v>
      </c>
      <c r="H113" s="185">
        <v>10</v>
      </c>
      <c r="I113" s="185">
        <v>17.782952946438755</v>
      </c>
      <c r="J113" s="337">
        <v>0.62</v>
      </c>
      <c r="K113" s="185">
        <v>1</v>
      </c>
      <c r="L113" s="185">
        <v>1</v>
      </c>
      <c r="M113" s="185">
        <v>0.1</v>
      </c>
      <c r="O113" s="185">
        <v>0.45</v>
      </c>
      <c r="P113" s="185"/>
      <c r="R113" s="185">
        <f t="shared" si="47"/>
        <v>0.62</v>
      </c>
    </row>
    <row r="114" spans="1:35">
      <c r="A114" s="651" t="s">
        <v>928</v>
      </c>
      <c r="B114" s="651" t="s">
        <v>1085</v>
      </c>
      <c r="C114" s="651" t="s">
        <v>1086</v>
      </c>
      <c r="D114" s="651" t="s">
        <v>32</v>
      </c>
      <c r="E114" s="651" t="s">
        <v>126</v>
      </c>
      <c r="F114" s="651" t="s">
        <v>150</v>
      </c>
      <c r="G114" s="185" t="s">
        <v>899</v>
      </c>
      <c r="H114" s="185">
        <v>10</v>
      </c>
      <c r="I114" s="185">
        <v>19.053163871184381</v>
      </c>
      <c r="J114" s="337">
        <v>0.68</v>
      </c>
      <c r="K114" s="185">
        <v>1</v>
      </c>
      <c r="L114" s="185">
        <v>1</v>
      </c>
      <c r="M114" s="185">
        <v>0.1</v>
      </c>
      <c r="O114" s="185">
        <v>0.45</v>
      </c>
      <c r="P114" s="185"/>
      <c r="R114" s="185">
        <f t="shared" si="47"/>
        <v>0.68</v>
      </c>
    </row>
    <row r="115" spans="1:35" ht="13">
      <c r="A115" s="190" t="s">
        <v>57</v>
      </c>
      <c r="B115" s="190"/>
      <c r="C115" s="190"/>
      <c r="D115" s="190"/>
      <c r="E115" s="190"/>
      <c r="F115" s="190"/>
      <c r="G115" s="342"/>
      <c r="H115" s="342"/>
      <c r="I115" s="342"/>
      <c r="J115" s="343"/>
      <c r="K115" s="342"/>
      <c r="L115" s="342"/>
      <c r="M115" s="342"/>
      <c r="N115" s="342"/>
      <c r="O115" s="342"/>
      <c r="P115" s="342"/>
      <c r="Q115" s="348"/>
      <c r="R115" s="342"/>
      <c r="S115" s="342"/>
      <c r="T115" s="342" t="e">
        <f>'2010 Fuel Share'!F72</f>
        <v>#REF!</v>
      </c>
      <c r="U115" s="393" t="e">
        <f>SUM(AA115:AE115)</f>
        <v>#REF!</v>
      </c>
      <c r="V115" s="393" t="e">
        <f t="shared" ref="V115:AE115" si="54">SUM(V117:V121)</f>
        <v>#REF!</v>
      </c>
      <c r="W115" s="393" t="e">
        <f t="shared" si="54"/>
        <v>#REF!</v>
      </c>
      <c r="X115" s="393" t="e">
        <f t="shared" si="54"/>
        <v>#REF!</v>
      </c>
      <c r="Y115" s="393" t="e">
        <f t="shared" si="54"/>
        <v>#REF!</v>
      </c>
      <c r="Z115" s="393" t="e">
        <f t="shared" si="54"/>
        <v>#REF!</v>
      </c>
      <c r="AA115" s="478" t="e">
        <f t="shared" si="54"/>
        <v>#REF!</v>
      </c>
      <c r="AB115" s="478" t="e">
        <f t="shared" si="54"/>
        <v>#REF!</v>
      </c>
      <c r="AC115" s="478" t="e">
        <f t="shared" si="54"/>
        <v>#REF!</v>
      </c>
      <c r="AD115" s="478" t="e">
        <f t="shared" si="54"/>
        <v>#REF!</v>
      </c>
      <c r="AE115" s="478" t="e">
        <f t="shared" si="54"/>
        <v>#REF!</v>
      </c>
      <c r="AF115" s="468" t="e">
        <f>SUM(AA115:AE115)-U115</f>
        <v>#REF!</v>
      </c>
      <c r="AG115" s="455"/>
      <c r="AH115" s="455"/>
      <c r="AI115" s="651"/>
    </row>
    <row r="116" spans="1:35">
      <c r="A116" s="352" t="s">
        <v>512</v>
      </c>
      <c r="B116" s="352"/>
      <c r="C116" s="352"/>
      <c r="D116" s="352"/>
      <c r="E116" s="352"/>
      <c r="F116" s="352"/>
      <c r="G116" s="353"/>
      <c r="H116" s="353"/>
      <c r="I116" s="353"/>
      <c r="J116" s="354"/>
      <c r="K116" s="353"/>
      <c r="L116" s="353"/>
      <c r="M116" s="353"/>
      <c r="N116" s="353"/>
      <c r="O116" s="353"/>
      <c r="P116" s="353">
        <f>SUM(P117:P121)</f>
        <v>67.239449024324784</v>
      </c>
      <c r="Q116" s="355" t="s">
        <v>512</v>
      </c>
      <c r="R116" s="353"/>
      <c r="S116" s="353"/>
      <c r="T116" s="517" t="e">
        <f>'2010 Fuel Share'!F72</f>
        <v>#REF!</v>
      </c>
      <c r="U116" s="353"/>
      <c r="V116" s="353" t="e">
        <f>ResDemand!$D$56/ResDemand!$D$64</f>
        <v>#REF!</v>
      </c>
      <c r="W116" s="353" t="e">
        <f>ResDemand!$D$57/ResDemand!$D$64</f>
        <v>#REF!</v>
      </c>
      <c r="X116" s="353" t="e">
        <f>ResDemand!$D$58/ResDemand!$D$64</f>
        <v>#REF!</v>
      </c>
      <c r="Y116" s="353" t="e">
        <f>ResDemand!$D$59/ResDemand!$D$64</f>
        <v>#REF!</v>
      </c>
      <c r="Z116" s="353" t="e">
        <f>ResDemand!$D$60/ResDemand!$D$64</f>
        <v>#REF!</v>
      </c>
      <c r="AA116" s="479" t="e">
        <f>ResDemand!D56</f>
        <v>#REF!</v>
      </c>
      <c r="AB116" s="479" t="e">
        <f>ResDemand!D57</f>
        <v>#REF!</v>
      </c>
      <c r="AC116" s="479" t="e">
        <f>ResDemand!D58</f>
        <v>#REF!</v>
      </c>
      <c r="AD116" s="479" t="e">
        <f>ResDemand!D59</f>
        <v>#REF!</v>
      </c>
      <c r="AE116" s="479" t="e">
        <f>ResDemand!D60</f>
        <v>#REF!</v>
      </c>
      <c r="AI116" s="651"/>
    </row>
    <row r="117" spans="1:35">
      <c r="A117" s="651"/>
      <c r="B117" s="651" t="str">
        <f>TechData_DMD!A246</f>
        <v>RLTGINC11</v>
      </c>
      <c r="C117" s="519" t="s">
        <v>208</v>
      </c>
      <c r="D117" s="651" t="s">
        <v>58</v>
      </c>
      <c r="E117" s="651" t="s">
        <v>122</v>
      </c>
      <c r="F117" s="651" t="s">
        <v>206</v>
      </c>
      <c r="G117" s="185" t="s">
        <v>899</v>
      </c>
      <c r="H117" s="185">
        <v>1.1643835616438356</v>
      </c>
      <c r="I117" s="185">
        <v>0.29993805021193348</v>
      </c>
      <c r="J117" s="456">
        <f>TechData_DMD!I246</f>
        <v>0.45981100563498845</v>
      </c>
      <c r="K117" s="185">
        <v>1</v>
      </c>
      <c r="L117" s="185">
        <v>1</v>
      </c>
      <c r="M117" s="185">
        <v>1</v>
      </c>
      <c r="O117" s="185">
        <v>0.18</v>
      </c>
      <c r="P117" s="185">
        <v>40.577382241806873</v>
      </c>
      <c r="Q117" s="518">
        <f>USDemand!$C$67</f>
        <v>0.60306000000000004</v>
      </c>
      <c r="R117" s="351">
        <f>'RTEKTY Conv'!G177</f>
        <v>0.45981100563498845</v>
      </c>
      <c r="T117" s="185" t="e">
        <f>USDemand!A67*1.1</f>
        <v>#REF!</v>
      </c>
      <c r="V117" s="347" t="e">
        <f>T117*$V$116</f>
        <v>#REF!</v>
      </c>
      <c r="W117" s="347" t="e">
        <f>T117*$W$116</f>
        <v>#REF!</v>
      </c>
      <c r="X117" s="347" t="e">
        <f>T117*$X$116</f>
        <v>#REF!</v>
      </c>
      <c r="Y117" s="347" t="e">
        <f>T117*$Y$116</f>
        <v>#REF!</v>
      </c>
      <c r="Z117" s="347" t="e">
        <f>T117*$Z$116</f>
        <v>#REF!</v>
      </c>
      <c r="AA117" s="459" t="e">
        <f>V117</f>
        <v>#REF!</v>
      </c>
      <c r="AB117" s="459" t="e">
        <f t="shared" ref="AA117:AE121" si="55">W117</f>
        <v>#REF!</v>
      </c>
      <c r="AC117" s="459" t="e">
        <f t="shared" si="55"/>
        <v>#REF!</v>
      </c>
      <c r="AD117" s="459" t="e">
        <f t="shared" si="55"/>
        <v>#REF!</v>
      </c>
      <c r="AE117" s="459" t="e">
        <f t="shared" si="55"/>
        <v>#REF!</v>
      </c>
      <c r="AI117" s="651"/>
    </row>
    <row r="118" spans="1:35">
      <c r="A118" s="651"/>
      <c r="B118" s="185" t="str">
        <f>TechData_DMD!A250</f>
        <v>RLTGCFL11</v>
      </c>
      <c r="C118" s="651" t="s">
        <v>214</v>
      </c>
      <c r="D118" s="651" t="s">
        <v>58</v>
      </c>
      <c r="E118" s="651" t="s">
        <v>122</v>
      </c>
      <c r="F118" s="651" t="s">
        <v>206</v>
      </c>
      <c r="G118" s="185" t="s">
        <v>899</v>
      </c>
      <c r="H118" s="185">
        <v>13.698630136986301</v>
      </c>
      <c r="I118" s="185">
        <v>2.7903327701534422</v>
      </c>
      <c r="J118" s="456">
        <f>TechData_DMD!I250</f>
        <v>2.1309861778393948</v>
      </c>
      <c r="K118" s="185">
        <v>1</v>
      </c>
      <c r="L118" s="185">
        <v>1</v>
      </c>
      <c r="M118" s="185">
        <v>1</v>
      </c>
      <c r="O118" s="185">
        <v>0.28000000000000003</v>
      </c>
      <c r="P118" s="185">
        <v>7.8575864321274471</v>
      </c>
      <c r="Q118" s="346">
        <f>USDemand!$C$68</f>
        <v>0.11700000000000001</v>
      </c>
      <c r="R118" s="351">
        <f>'RTEKTY Conv'!G181</f>
        <v>2.1309861778393948</v>
      </c>
      <c r="T118" s="185" t="e">
        <f>USDemand!A68*1.1</f>
        <v>#REF!</v>
      </c>
      <c r="V118" s="347" t="e">
        <f>T118*$V$116</f>
        <v>#REF!</v>
      </c>
      <c r="W118" s="347" t="e">
        <f>T118*$W$116</f>
        <v>#REF!</v>
      </c>
      <c r="X118" s="347" t="e">
        <f>T118*$X$116</f>
        <v>#REF!</v>
      </c>
      <c r="Y118" s="347" t="e">
        <f>T118*$Y$116</f>
        <v>#REF!</v>
      </c>
      <c r="Z118" s="347" t="e">
        <f>T118*$Z$116</f>
        <v>#REF!</v>
      </c>
      <c r="AA118" s="459" t="e">
        <f>V118</f>
        <v>#REF!</v>
      </c>
      <c r="AB118" s="459" t="e">
        <f t="shared" si="55"/>
        <v>#REF!</v>
      </c>
      <c r="AC118" s="459" t="e">
        <f t="shared" si="55"/>
        <v>#REF!</v>
      </c>
      <c r="AD118" s="459" t="e">
        <f t="shared" si="55"/>
        <v>#REF!</v>
      </c>
      <c r="AE118" s="459" t="e">
        <f t="shared" si="55"/>
        <v>#REF!</v>
      </c>
      <c r="AI118" s="651"/>
    </row>
    <row r="119" spans="1:35">
      <c r="A119" s="651"/>
      <c r="B119" s="651" t="str">
        <f>TechData_DMD!A263</f>
        <v>RLTRINC11</v>
      </c>
      <c r="C119" s="651" t="s">
        <v>240</v>
      </c>
      <c r="D119" s="651" t="s">
        <v>58</v>
      </c>
      <c r="E119" s="651" t="s">
        <v>122</v>
      </c>
      <c r="F119" s="651" t="s">
        <v>206</v>
      </c>
      <c r="G119" s="185" t="s">
        <v>899</v>
      </c>
      <c r="H119" s="185">
        <v>1.1643835616438356</v>
      </c>
      <c r="I119" s="185">
        <v>3.0084695339439387</v>
      </c>
      <c r="J119" s="456">
        <f>TechData_DMD!I263</f>
        <v>0.76793723125015889</v>
      </c>
      <c r="K119" s="185">
        <v>1</v>
      </c>
      <c r="L119" s="185">
        <v>1</v>
      </c>
      <c r="M119" s="185">
        <v>1</v>
      </c>
      <c r="O119" s="185">
        <v>0.18</v>
      </c>
      <c r="P119" s="185">
        <v>3.3579429197125843</v>
      </c>
      <c r="Q119" s="346">
        <f>USDemand!$C$70</f>
        <v>0.05</v>
      </c>
      <c r="R119" s="351">
        <f>TechData_DMD!I263</f>
        <v>0.76793723125015889</v>
      </c>
      <c r="T119" s="185" t="e">
        <f>USDemand!A70*1.1</f>
        <v>#REF!</v>
      </c>
      <c r="V119" s="347" t="e">
        <f>T119*$V$116</f>
        <v>#REF!</v>
      </c>
      <c r="W119" s="347" t="e">
        <f>T119*$W$116</f>
        <v>#REF!</v>
      </c>
      <c r="X119" s="347" t="e">
        <f>T119*$X$116</f>
        <v>#REF!</v>
      </c>
      <c r="Y119" s="347" t="e">
        <f>T119*$Y$116</f>
        <v>#REF!</v>
      </c>
      <c r="Z119" s="347" t="e">
        <f>T119*$Z$116</f>
        <v>#REF!</v>
      </c>
      <c r="AA119" s="459" t="e">
        <f t="shared" si="55"/>
        <v>#REF!</v>
      </c>
      <c r="AB119" s="459" t="e">
        <f t="shared" si="55"/>
        <v>#REF!</v>
      </c>
      <c r="AC119" s="459" t="e">
        <f t="shared" si="55"/>
        <v>#REF!</v>
      </c>
      <c r="AD119" s="459" t="e">
        <f t="shared" si="55"/>
        <v>#REF!</v>
      </c>
      <c r="AE119" s="459" t="e">
        <f t="shared" si="55"/>
        <v>#REF!</v>
      </c>
      <c r="AI119" s="651"/>
    </row>
    <row r="120" spans="1:35">
      <c r="A120" s="651"/>
      <c r="B120" s="651" t="str">
        <f>TechData_DMD!B282</f>
        <v>RLT.LFL.10</v>
      </c>
      <c r="C120" s="519" t="s">
        <v>274</v>
      </c>
      <c r="D120" s="651" t="s">
        <v>58</v>
      </c>
      <c r="E120" s="651" t="s">
        <v>122</v>
      </c>
      <c r="F120" s="651" t="s">
        <v>206</v>
      </c>
      <c r="G120" s="185" t="s">
        <v>899</v>
      </c>
      <c r="H120" s="185">
        <v>32.876712328767127</v>
      </c>
      <c r="I120" s="185">
        <v>5.2625494264457418</v>
      </c>
      <c r="J120" s="456">
        <f>TechData_DMD!I282</f>
        <v>2.0009706521081223</v>
      </c>
      <c r="K120" s="185">
        <v>1</v>
      </c>
      <c r="L120" s="185">
        <v>1</v>
      </c>
      <c r="M120" s="185">
        <v>1</v>
      </c>
      <c r="O120" s="185">
        <v>0.18</v>
      </c>
      <c r="P120" s="185">
        <v>12.088594510965303</v>
      </c>
      <c r="Q120" s="518">
        <f>USDemand!$C$69</f>
        <v>0.18</v>
      </c>
      <c r="R120" s="351">
        <f>'RTEKTY Conv'!G220</f>
        <v>2.0009706521081223</v>
      </c>
      <c r="T120" s="185" t="e">
        <f>USDemand!A69*1.1</f>
        <v>#REF!</v>
      </c>
      <c r="V120" s="347" t="e">
        <f>T120*$V$116</f>
        <v>#REF!</v>
      </c>
      <c r="W120" s="347" t="e">
        <f>T120*$W$116</f>
        <v>#REF!</v>
      </c>
      <c r="X120" s="347" t="e">
        <f>T120*$X$116</f>
        <v>#REF!</v>
      </c>
      <c r="Y120" s="347" t="e">
        <f>T120*$Y$116</f>
        <v>#REF!</v>
      </c>
      <c r="Z120" s="347" t="e">
        <f>T120*$Z$116</f>
        <v>#REF!</v>
      </c>
      <c r="AA120" s="459" t="e">
        <f>V120</f>
        <v>#REF!</v>
      </c>
      <c r="AB120" s="459" t="e">
        <f t="shared" si="55"/>
        <v>#REF!</v>
      </c>
      <c r="AC120" s="459" t="e">
        <f t="shared" si="55"/>
        <v>#REF!</v>
      </c>
      <c r="AD120" s="459" t="e">
        <f t="shared" si="55"/>
        <v>#REF!</v>
      </c>
      <c r="AE120" s="459" t="e">
        <f t="shared" si="55"/>
        <v>#REF!</v>
      </c>
      <c r="AI120" s="651"/>
    </row>
    <row r="121" spans="1:35">
      <c r="A121" s="651"/>
      <c r="B121" s="651" t="str">
        <f>TechData_DMD!A290</f>
        <v>RLTEXTBS11</v>
      </c>
      <c r="C121" s="651" t="s">
        <v>292</v>
      </c>
      <c r="D121" s="651" t="s">
        <v>58</v>
      </c>
      <c r="E121" s="651" t="s">
        <v>122</v>
      </c>
      <c r="F121" s="651" t="s">
        <v>206</v>
      </c>
      <c r="G121" s="185" t="s">
        <v>899</v>
      </c>
      <c r="H121" s="185">
        <v>2.1465753424657534</v>
      </c>
      <c r="I121" s="185">
        <v>2.9175792156978977</v>
      </c>
      <c r="J121" s="456">
        <f>TechData_DMD!I290</f>
        <v>1.3102451539881022</v>
      </c>
      <c r="K121" s="185">
        <v>1</v>
      </c>
      <c r="L121" s="185">
        <v>1</v>
      </c>
      <c r="M121" s="185">
        <v>1</v>
      </c>
      <c r="O121" s="185">
        <v>0.18</v>
      </c>
      <c r="P121" s="185">
        <v>3.3579429197125843</v>
      </c>
      <c r="Q121" s="346">
        <f>USDemand!$C$71</f>
        <v>4.9939999999999998E-2</v>
      </c>
      <c r="R121" s="351">
        <f>TechData_DMD!I290</f>
        <v>1.3102451539881022</v>
      </c>
      <c r="T121" s="185" t="e">
        <f>USDemand!A71*1.1</f>
        <v>#REF!</v>
      </c>
      <c r="V121" s="347" t="e">
        <f>T121*$V$116</f>
        <v>#REF!</v>
      </c>
      <c r="W121" s="347" t="e">
        <f>T121*$W$116</f>
        <v>#REF!</v>
      </c>
      <c r="X121" s="347" t="e">
        <f>T121*$X$116</f>
        <v>#REF!</v>
      </c>
      <c r="Y121" s="347" t="e">
        <f>T121*$Y$116</f>
        <v>#REF!</v>
      </c>
      <c r="Z121" s="347" t="e">
        <f>T121*$Z$116</f>
        <v>#REF!</v>
      </c>
      <c r="AA121" s="459" t="e">
        <f t="shared" si="55"/>
        <v>#REF!</v>
      </c>
      <c r="AB121" s="459" t="e">
        <f t="shared" si="55"/>
        <v>#REF!</v>
      </c>
      <c r="AC121" s="459" t="e">
        <f t="shared" si="55"/>
        <v>#REF!</v>
      </c>
      <c r="AD121" s="459" t="e">
        <f t="shared" si="55"/>
        <v>#REF!</v>
      </c>
      <c r="AE121" s="459" t="e">
        <f t="shared" si="55"/>
        <v>#REF!</v>
      </c>
      <c r="AI121" s="651"/>
    </row>
    <row r="122" spans="1:35">
      <c r="A122" s="651"/>
      <c r="B122" s="651"/>
      <c r="C122" s="651"/>
      <c r="D122" s="651"/>
      <c r="E122" s="651"/>
      <c r="F122" s="651"/>
      <c r="P122" s="185"/>
      <c r="T122" s="185" t="e">
        <f>SUM(T117:T121)</f>
        <v>#REF!</v>
      </c>
      <c r="AI122" s="651"/>
    </row>
    <row r="123" spans="1:35" ht="13">
      <c r="A123" s="190"/>
      <c r="B123" s="190" t="s">
        <v>1087</v>
      </c>
      <c r="C123" s="190" t="s">
        <v>324</v>
      </c>
      <c r="D123" s="190" t="s">
        <v>32</v>
      </c>
      <c r="E123" s="190" t="s">
        <v>122</v>
      </c>
      <c r="F123" s="190" t="s">
        <v>325</v>
      </c>
      <c r="G123" s="342">
        <v>2010</v>
      </c>
      <c r="H123" s="342">
        <v>30</v>
      </c>
      <c r="I123" s="342"/>
      <c r="J123" s="343">
        <v>1</v>
      </c>
      <c r="K123" s="342">
        <v>1</v>
      </c>
      <c r="L123" s="342">
        <v>1</v>
      </c>
      <c r="M123" s="342">
        <v>1</v>
      </c>
      <c r="N123" s="342"/>
      <c r="O123" s="342">
        <v>0.18</v>
      </c>
      <c r="P123" s="342"/>
      <c r="Q123" s="348"/>
      <c r="R123" s="342">
        <f t="shared" ref="R123:R124" si="56">J123</f>
        <v>1</v>
      </c>
      <c r="S123" s="342"/>
      <c r="T123" s="342"/>
      <c r="U123" s="342"/>
      <c r="V123" s="342" t="e">
        <f>ResDemand!E68</f>
        <v>#REF!</v>
      </c>
      <c r="W123" s="342" t="e">
        <f>ResDemand!E69</f>
        <v>#REF!</v>
      </c>
      <c r="X123" s="342" t="e">
        <f>ResDemand!E70</f>
        <v>#REF!</v>
      </c>
      <c r="Y123" s="342" t="e">
        <f>ResDemand!E71</f>
        <v>#REF!</v>
      </c>
      <c r="Z123" s="342" t="e">
        <f>ResDemand!E72</f>
        <v>#REF!</v>
      </c>
      <c r="AA123" s="342"/>
      <c r="AB123" s="342"/>
      <c r="AC123" s="342"/>
      <c r="AD123" s="342"/>
      <c r="AE123" s="342"/>
      <c r="AF123" s="468">
        <f>SUM(AA123:AE123)-U123</f>
        <v>0</v>
      </c>
      <c r="AI123" s="651"/>
    </row>
    <row r="124" spans="1:35">
      <c r="A124" s="190"/>
      <c r="B124" s="190" t="e">
        <f>Technologies!#REF!</f>
        <v>#REF!</v>
      </c>
      <c r="C124" s="190" t="e">
        <f>Technologies!#REF!</f>
        <v>#REF!</v>
      </c>
      <c r="D124" s="190" t="e">
        <f>Technologies!#REF!</f>
        <v>#REF!</v>
      </c>
      <c r="E124" s="190" t="str">
        <f>TechData_DMD!D309</f>
        <v>RESNGAEA</v>
      </c>
      <c r="F124" s="190" t="str">
        <f>TechData_DMD!E309</f>
        <v>ROG</v>
      </c>
      <c r="G124" s="190">
        <f>TechData_DMD!F309</f>
        <v>2011</v>
      </c>
      <c r="H124" s="190">
        <f>TechData_DMD!G309</f>
        <v>45</v>
      </c>
      <c r="I124" s="190"/>
      <c r="J124" s="190">
        <f>TechData_DMD!I309</f>
        <v>1</v>
      </c>
      <c r="K124" s="190">
        <f>TechData_DMD!J309</f>
        <v>1</v>
      </c>
      <c r="L124" s="190">
        <v>1</v>
      </c>
      <c r="M124" s="190" t="e">
        <f>TechData_DMD!#REF!</f>
        <v>#REF!</v>
      </c>
      <c r="N124" s="190">
        <f>TechData_DMD!K309</f>
        <v>1</v>
      </c>
      <c r="O124" s="190">
        <f>TechData_DMD!K309</f>
        <v>1</v>
      </c>
      <c r="P124" s="342"/>
      <c r="Q124" s="342"/>
      <c r="R124" s="342">
        <f t="shared" si="56"/>
        <v>1</v>
      </c>
      <c r="S124" s="342"/>
      <c r="T124" s="342"/>
      <c r="U124" s="342"/>
      <c r="V124" s="342" t="e">
        <f>ResDemand!E80</f>
        <v>#REF!</v>
      </c>
      <c r="W124" s="342" t="e">
        <f>ResDemand!E81</f>
        <v>#REF!</v>
      </c>
      <c r="X124" s="342" t="e">
        <f>ResDemand!E82</f>
        <v>#REF!</v>
      </c>
      <c r="Y124" s="342" t="e">
        <f>ResDemand!E83</f>
        <v>#REF!</v>
      </c>
      <c r="Z124" s="342" t="e">
        <f>ResDemand!E84</f>
        <v>#REF!</v>
      </c>
      <c r="AA124" s="342"/>
      <c r="AB124" s="342"/>
      <c r="AC124" s="342"/>
      <c r="AD124" s="342"/>
      <c r="AE124" s="342"/>
      <c r="AI124" s="651"/>
    </row>
    <row r="125" spans="1:35">
      <c r="A125" s="185"/>
      <c r="B125" s="185"/>
      <c r="C125" s="185"/>
      <c r="D125" s="185"/>
      <c r="E125" s="185"/>
      <c r="F125" s="185"/>
      <c r="J125" s="185"/>
      <c r="P125" s="185"/>
      <c r="Q125" s="185"/>
      <c r="AI125" s="651"/>
    </row>
    <row r="126" spans="1:35">
      <c r="A126" s="185"/>
      <c r="B126" s="185"/>
      <c r="C126" s="185"/>
      <c r="D126" s="185"/>
      <c r="E126" s="185"/>
      <c r="F126" s="185"/>
      <c r="J126" s="185"/>
      <c r="P126" s="185"/>
      <c r="Q126" s="185"/>
      <c r="AI126" s="651"/>
    </row>
    <row r="127" spans="1:35">
      <c r="A127" s="185"/>
      <c r="B127" s="185"/>
      <c r="C127" s="185"/>
      <c r="D127" s="185"/>
      <c r="E127" s="185"/>
      <c r="F127" s="185"/>
      <c r="J127" s="185"/>
      <c r="P127" s="185"/>
      <c r="Q127" s="185"/>
      <c r="AI127" s="651"/>
    </row>
    <row r="128" spans="1:35">
      <c r="A128" s="185"/>
      <c r="B128" s="185"/>
      <c r="C128" s="185"/>
      <c r="D128" s="185"/>
      <c r="E128" s="185"/>
      <c r="F128" s="185"/>
      <c r="J128" s="185"/>
      <c r="P128" s="185"/>
      <c r="Q128" s="185"/>
      <c r="AI128" s="651"/>
    </row>
    <row r="129" spans="1:35">
      <c r="A129" s="185"/>
      <c r="B129" s="185"/>
      <c r="C129" s="185"/>
      <c r="D129" s="185"/>
      <c r="E129" s="185"/>
      <c r="F129" s="185"/>
      <c r="J129" s="185"/>
      <c r="P129" s="185"/>
      <c r="Q129" s="185"/>
      <c r="AI129" s="651"/>
    </row>
    <row r="130" spans="1:35">
      <c r="A130" s="651"/>
      <c r="B130" s="651"/>
      <c r="C130" s="651"/>
      <c r="D130" s="651"/>
      <c r="E130" s="185"/>
      <c r="F130" s="185"/>
      <c r="H130" s="337"/>
      <c r="J130" s="185"/>
      <c r="O130" s="346"/>
      <c r="P130" s="185"/>
      <c r="Q130" s="185"/>
    </row>
    <row r="131" spans="1:35">
      <c r="A131" s="651"/>
      <c r="B131" s="651"/>
      <c r="C131" s="651"/>
      <c r="D131" s="651"/>
      <c r="E131" s="651"/>
      <c r="F131" s="651"/>
      <c r="P131" s="185"/>
    </row>
    <row r="132" spans="1:35">
      <c r="A132" s="651"/>
      <c r="B132" s="651"/>
      <c r="C132" s="651"/>
      <c r="D132" s="651"/>
      <c r="E132" s="651"/>
      <c r="F132" s="651"/>
      <c r="P132" s="185"/>
    </row>
    <row r="133" spans="1:35">
      <c r="A133" s="651"/>
      <c r="B133" s="651"/>
      <c r="C133" s="651"/>
      <c r="D133" s="651"/>
      <c r="E133" s="651"/>
      <c r="F133" s="651"/>
      <c r="P133" s="185"/>
    </row>
    <row r="134" spans="1:35">
      <c r="A134" s="651"/>
      <c r="B134" s="651"/>
      <c r="C134" s="651"/>
      <c r="D134" s="651"/>
      <c r="E134" s="651"/>
      <c r="F134" s="651"/>
      <c r="P134" s="185"/>
    </row>
    <row r="135" spans="1:35">
      <c r="A135" s="651"/>
      <c r="B135" s="651"/>
      <c r="C135" s="651"/>
      <c r="D135" s="651"/>
      <c r="E135" s="651"/>
      <c r="F135" s="651"/>
      <c r="P135" s="185"/>
    </row>
    <row r="136" spans="1:35">
      <c r="A136" s="651"/>
      <c r="B136" s="651"/>
      <c r="C136" s="651"/>
      <c r="D136" s="651"/>
      <c r="E136" s="651"/>
      <c r="F136" s="651"/>
      <c r="P136" s="185"/>
    </row>
    <row r="137" spans="1:35">
      <c r="A137" s="651"/>
      <c r="B137" s="651"/>
      <c r="C137" s="651"/>
      <c r="D137" s="651"/>
      <c r="E137" s="651"/>
      <c r="F137" s="651"/>
      <c r="P137" s="185"/>
    </row>
    <row r="138" spans="1:35">
      <c r="A138" s="651"/>
      <c r="B138" s="651"/>
      <c r="C138" s="651"/>
      <c r="D138" s="651"/>
      <c r="E138" s="651"/>
      <c r="F138" s="651"/>
      <c r="P138" s="185"/>
    </row>
    <row r="139" spans="1:35">
      <c r="A139" s="651"/>
      <c r="B139" s="651"/>
      <c r="C139" s="651"/>
      <c r="D139" s="651"/>
      <c r="E139" s="651"/>
      <c r="F139" s="651"/>
      <c r="P139" s="185"/>
    </row>
    <row r="140" spans="1:35">
      <c r="A140" s="651"/>
      <c r="B140" s="651"/>
      <c r="C140" s="651"/>
      <c r="D140" s="651"/>
      <c r="E140" s="651"/>
      <c r="F140" s="651"/>
      <c r="P140" s="185"/>
    </row>
    <row r="141" spans="1:35">
      <c r="A141" s="651"/>
      <c r="B141" s="651"/>
      <c r="C141" s="651"/>
      <c r="D141" s="651"/>
      <c r="E141" s="651"/>
      <c r="F141" s="651"/>
      <c r="P141" s="185"/>
    </row>
    <row r="142" spans="1:35">
      <c r="A142" s="651"/>
      <c r="B142" s="651"/>
      <c r="C142" s="651"/>
      <c r="D142" s="651"/>
      <c r="E142" s="651"/>
      <c r="F142" s="651"/>
      <c r="P142" s="185"/>
    </row>
    <row r="143" spans="1:35">
      <c r="A143" s="651"/>
      <c r="B143" s="651"/>
      <c r="C143" s="651"/>
      <c r="D143" s="651"/>
      <c r="E143" s="651"/>
      <c r="F143" s="651"/>
      <c r="P143" s="185"/>
    </row>
    <row r="144" spans="1:35">
      <c r="A144" s="651"/>
      <c r="B144" s="651"/>
      <c r="C144" s="651"/>
      <c r="D144" s="651"/>
      <c r="E144" s="651"/>
      <c r="F144" s="651"/>
      <c r="P144" s="185"/>
    </row>
    <row r="145" spans="16:16">
      <c r="P145" s="185"/>
    </row>
    <row r="146" spans="16:16">
      <c r="P146" s="185"/>
    </row>
    <row r="147" spans="16:16">
      <c r="P147" s="185"/>
    </row>
    <row r="148" spans="16:16">
      <c r="P148" s="185"/>
    </row>
    <row r="149" spans="16:16">
      <c r="P149" s="185"/>
    </row>
  </sheetData>
  <mergeCells count="2">
    <mergeCell ref="V1:Z1"/>
    <mergeCell ref="AA1:AE1"/>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A112"/>
  <sheetViews>
    <sheetView topLeftCell="A61" zoomScale="80" zoomScaleNormal="80" workbookViewId="0">
      <selection activeCell="C33" sqref="C33"/>
    </sheetView>
  </sheetViews>
  <sheetFormatPr defaultColWidth="9.26953125" defaultRowHeight="11.5"/>
  <cols>
    <col min="1" max="2" width="6" style="69" customWidth="1"/>
    <col min="3" max="3" width="16.7265625" style="69" customWidth="1"/>
    <col min="4" max="14" width="9.7265625" style="69" customWidth="1"/>
    <col min="15" max="15" width="9.26953125" style="69"/>
    <col min="16" max="26" width="9.7265625" style="69" customWidth="1"/>
    <col min="27" max="27" width="12.54296875" style="69" bestFit="1" customWidth="1"/>
    <col min="28" max="16384" width="9.26953125" style="69"/>
  </cols>
  <sheetData>
    <row r="1" spans="1:26" ht="13.5" customHeight="1">
      <c r="A1" s="652" t="s">
        <v>1088</v>
      </c>
      <c r="B1" s="652"/>
    </row>
    <row r="2" spans="1:26" ht="13.5" customHeight="1"/>
    <row r="3" spans="1:26">
      <c r="A3" s="177" t="s">
        <v>1089</v>
      </c>
      <c r="B3" s="177"/>
      <c r="C3" s="178"/>
      <c r="D3" s="178"/>
      <c r="E3" s="178"/>
      <c r="F3" s="178"/>
      <c r="G3" s="178"/>
      <c r="H3" s="178"/>
      <c r="I3" s="179" t="s">
        <v>1090</v>
      </c>
      <c r="J3" s="178"/>
      <c r="K3" s="178"/>
      <c r="L3" s="178"/>
      <c r="M3" s="178"/>
      <c r="N3" s="178"/>
      <c r="P3" s="178"/>
      <c r="Q3" s="178"/>
      <c r="R3" s="178"/>
      <c r="S3" s="178"/>
      <c r="T3" s="178"/>
      <c r="U3" s="179" t="s">
        <v>1090</v>
      </c>
      <c r="V3" s="178"/>
      <c r="W3" s="178"/>
      <c r="X3" s="178"/>
      <c r="Y3" s="178"/>
      <c r="Z3" s="178"/>
    </row>
    <row r="4" spans="1:26">
      <c r="C4" s="71" t="s">
        <v>14</v>
      </c>
      <c r="D4" s="72">
        <v>2005</v>
      </c>
      <c r="E4" s="72">
        <v>2010</v>
      </c>
      <c r="F4" s="72">
        <v>2015</v>
      </c>
      <c r="G4" s="72">
        <v>2020</v>
      </c>
      <c r="H4" s="72">
        <v>2025</v>
      </c>
      <c r="I4" s="72">
        <v>2030</v>
      </c>
      <c r="J4" s="72">
        <v>2035</v>
      </c>
      <c r="K4" s="72">
        <v>2040</v>
      </c>
      <c r="L4" s="72">
        <v>2045</v>
      </c>
      <c r="M4" s="72">
        <v>2050</v>
      </c>
      <c r="N4" s="72">
        <v>2055</v>
      </c>
      <c r="P4" s="72">
        <v>2005</v>
      </c>
      <c r="Q4" s="72">
        <v>2010</v>
      </c>
      <c r="R4" s="72">
        <v>2015</v>
      </c>
      <c r="S4" s="72">
        <v>2020</v>
      </c>
      <c r="T4" s="72">
        <v>2025</v>
      </c>
      <c r="U4" s="72">
        <v>2030</v>
      </c>
      <c r="V4" s="72">
        <v>2035</v>
      </c>
      <c r="W4" s="72">
        <v>2040</v>
      </c>
      <c r="X4" s="72">
        <v>2045</v>
      </c>
      <c r="Y4" s="72">
        <v>2050</v>
      </c>
      <c r="Z4" s="72">
        <v>2055</v>
      </c>
    </row>
    <row r="5" spans="1:26">
      <c r="A5" s="356" t="s">
        <v>1091</v>
      </c>
      <c r="B5" s="356" t="s">
        <v>1092</v>
      </c>
      <c r="C5" s="356" t="s">
        <v>1093</v>
      </c>
      <c r="D5" s="357" t="e">
        <f>(1-ResCalc!D110)*ResCalc!D$89*ResCalc!D$62*ResCalc!D66*ResCalc!T44*ResCalc!D$86/'Conv Factors'!$B$17</f>
        <v>#REF!</v>
      </c>
      <c r="E5" s="357" t="e">
        <f>(1-ResCalc!E110)*ResCalc!E$89*ResCalc!E$62*ResCalc!E66*ResCalc!U44*ResCalc!E$86/'Conv Factors'!$B$17</f>
        <v>#REF!</v>
      </c>
      <c r="F5" s="357" t="e">
        <f>(1-ResCalc!F110)*ResCalc!F$89*ResCalc!F$62*ResCalc!F66*ResCalc!V44*ResCalc!F$86/'Conv Factors'!$B$17</f>
        <v>#REF!</v>
      </c>
      <c r="G5" s="357" t="e">
        <f>(1-ResCalc!G110)*ResCalc!G$89*ResCalc!G$62*ResCalc!G66*ResCalc!W44*ResCalc!G$86/'Conv Factors'!$B$17</f>
        <v>#REF!</v>
      </c>
      <c r="H5" s="357" t="e">
        <f>(1-ResCalc!H110)*ResCalc!H$89*ResCalc!H$62*ResCalc!H66*ResCalc!X44*ResCalc!H$86/'Conv Factors'!$B$17</f>
        <v>#REF!</v>
      </c>
      <c r="I5" s="357" t="e">
        <f>(1-ResCalc!I110)*ResCalc!I$89*ResCalc!I$62*ResCalc!I66*ResCalc!Y44*ResCalc!I$86/'Conv Factors'!$B$17</f>
        <v>#REF!</v>
      </c>
      <c r="J5" s="357" t="e">
        <f>(1-ResCalc!J110)*ResCalc!J$89*ResCalc!J$62*ResCalc!J66*ResCalc!Z44*ResCalc!J$86/'Conv Factors'!$B$17</f>
        <v>#REF!</v>
      </c>
      <c r="K5" s="357" t="e">
        <f>(1-ResCalc!K110)*ResCalc!K$89*ResCalc!K$62*ResCalc!K66*ResCalc!AA44*ResCalc!K$86/'Conv Factors'!$B$17</f>
        <v>#REF!</v>
      </c>
      <c r="L5" s="357" t="e">
        <f>(1-ResCalc!L110)*ResCalc!L$89*ResCalc!L$62*ResCalc!L66*ResCalc!AB44*ResCalc!L$86/'Conv Factors'!$B$17</f>
        <v>#REF!</v>
      </c>
      <c r="M5" s="357" t="e">
        <f>(1-ResCalc!M110)*ResCalc!M$89*ResCalc!M$62*ResCalc!M66*ResCalc!AC44*ResCalc!M$86/'Conv Factors'!$B$17</f>
        <v>#REF!</v>
      </c>
      <c r="N5" s="357" t="e">
        <f>(1-ResCalc!N110)*ResCalc!N$89*ResCalc!N$62*ResCalc!N66*ResCalc!AD44*ResCalc!N$86/'Conv Factors'!$B$17</f>
        <v>#REF!</v>
      </c>
      <c r="P5" s="357">
        <v>0</v>
      </c>
      <c r="Q5" s="357">
        <v>0</v>
      </c>
      <c r="R5" s="357">
        <v>0</v>
      </c>
      <c r="S5" s="357">
        <v>0</v>
      </c>
      <c r="T5" s="357">
        <v>0</v>
      </c>
      <c r="U5" s="357">
        <v>0</v>
      </c>
      <c r="V5" s="357">
        <v>0</v>
      </c>
      <c r="W5" s="357">
        <v>0</v>
      </c>
      <c r="X5" s="357">
        <v>0</v>
      </c>
      <c r="Y5" s="357">
        <v>0</v>
      </c>
      <c r="Z5" s="357">
        <v>0</v>
      </c>
    </row>
    <row r="6" spans="1:26" ht="12.5">
      <c r="A6" s="63"/>
      <c r="C6" s="651" t="s">
        <v>617</v>
      </c>
      <c r="D6" s="358" t="e">
        <f>(1-ResCalc!D$111)*ResCalc!D$89*ResCalc!D$62*ResCalc!D67*ResCalc!$I35*ResCalc!D86/'Conv Factors'!$B$17</f>
        <v>#REF!</v>
      </c>
      <c r="E6" s="358" t="e">
        <f>(1-ResCalc!E$111)*ResCalc!E$89*ResCalc!E$62*ResCalc!E67*ResCalc!$I35*ResCalc!E86/'Conv Factors'!$B$17</f>
        <v>#REF!</v>
      </c>
      <c r="F6" s="358" t="e">
        <f>(1-ResCalc!F$111)*ResCalc!F$89*ResCalc!F$62*ResCalc!F67*ResCalc!$I35*ResCalc!F86/'Conv Factors'!$B$17</f>
        <v>#REF!</v>
      </c>
      <c r="G6" s="358" t="e">
        <f>(1-ResCalc!G$111)*ResCalc!G$89*ResCalc!G$62*ResCalc!G67*ResCalc!$I35*ResCalc!G86/'Conv Factors'!$B$17</f>
        <v>#REF!</v>
      </c>
      <c r="H6" s="358" t="e">
        <f>(1-ResCalc!H$111)*ResCalc!H$89*ResCalc!H$62*ResCalc!H67*ResCalc!$I35*ResCalc!H86/'Conv Factors'!$B$17</f>
        <v>#REF!</v>
      </c>
      <c r="I6" s="358" t="e">
        <f>(1-ResCalc!I$111)*ResCalc!I$89*ResCalc!I$62*ResCalc!I67*ResCalc!$I35*ResCalc!I86/'Conv Factors'!$B$17</f>
        <v>#REF!</v>
      </c>
      <c r="J6" s="358" t="e">
        <f>(1-ResCalc!J$111)*ResCalc!J$89*ResCalc!J$62*ResCalc!J67*ResCalc!$I35*ResCalc!J86/'Conv Factors'!$B$17</f>
        <v>#REF!</v>
      </c>
      <c r="K6" s="358" t="e">
        <f>(1-ResCalc!K$111)*ResCalc!K$89*ResCalc!K$62*ResCalc!K67*ResCalc!$I35*ResCalc!K86/'Conv Factors'!$B$17</f>
        <v>#REF!</v>
      </c>
      <c r="L6" s="358" t="e">
        <f>(1-ResCalc!L$111)*ResCalc!L$89*ResCalc!L$62*ResCalc!L67*ResCalc!$I35*ResCalc!L86/'Conv Factors'!$B$17</f>
        <v>#REF!</v>
      </c>
      <c r="M6" s="358" t="e">
        <f>(1-ResCalc!M$111)*ResCalc!M$89*ResCalc!M$62*ResCalc!M67*ResCalc!$I35*ResCalc!M86/'Conv Factors'!$B$17</f>
        <v>#REF!</v>
      </c>
      <c r="N6" s="358" t="e">
        <f>(1-ResCalc!N$111)*ResCalc!N$89*ResCalc!N$62*ResCalc!N67*ResCalc!$I35*ResCalc!N86/'Conv Factors'!$B$17</f>
        <v>#REF!</v>
      </c>
      <c r="P6" s="358">
        <v>19.014617681409472</v>
      </c>
      <c r="Q6" s="358">
        <v>19.857892542528017</v>
      </c>
      <c r="R6" s="358">
        <v>19.753507983984044</v>
      </c>
      <c r="S6" s="358">
        <v>20.765569701487813</v>
      </c>
      <c r="T6" s="358">
        <v>22.351665494403903</v>
      </c>
      <c r="U6" s="358">
        <v>23.989250887990202</v>
      </c>
      <c r="V6" s="358">
        <v>26.123487190804838</v>
      </c>
      <c r="W6" s="358">
        <v>28.444455983684868</v>
      </c>
      <c r="X6" s="358">
        <v>30.669182839242833</v>
      </c>
      <c r="Y6" s="358">
        <v>33.296052811005126</v>
      </c>
      <c r="Z6" s="358">
        <v>36.146575324252737</v>
      </c>
    </row>
    <row r="7" spans="1:26" ht="12.5">
      <c r="A7" s="63"/>
      <c r="C7" s="651" t="s">
        <v>618</v>
      </c>
      <c r="D7" s="358" t="e">
        <f>(1-ResCalc!D112)*ResCalc!D$89*ResCalc!D$62*ResCalc!D68*ResCalc!T46*ResCalc!D$86/'Conv Factors'!$B$17</f>
        <v>#REF!</v>
      </c>
      <c r="E7" s="358" t="e">
        <f>(1-ResCalc!E$111)*ResCalc!E$89*ResCalc!E$62*ResCalc!E68*ResCalc!$I36*ResCalc!E87/'Conv Factors'!$B$17</f>
        <v>#REF!</v>
      </c>
      <c r="F7" s="358" t="e">
        <f>(1-ResCalc!F$111)*ResCalc!F$89*ResCalc!F$62*ResCalc!F68*ResCalc!$I36*ResCalc!F87/'Conv Factors'!$B$17</f>
        <v>#REF!</v>
      </c>
      <c r="G7" s="358" t="e">
        <f>(1-ResCalc!G$111)*ResCalc!G$89*ResCalc!G$62*ResCalc!G68*ResCalc!$I36*ResCalc!G87/'Conv Factors'!$B$17</f>
        <v>#REF!</v>
      </c>
      <c r="H7" s="358" t="e">
        <f>(1-ResCalc!H$111)*ResCalc!H$89*ResCalc!H$62*ResCalc!H68*ResCalc!$I36*ResCalc!H87/'Conv Factors'!$B$17</f>
        <v>#REF!</v>
      </c>
      <c r="I7" s="358" t="e">
        <f>(1-ResCalc!I$111)*ResCalc!I$89*ResCalc!I$62*ResCalc!I68*ResCalc!$I36*ResCalc!I87/'Conv Factors'!$B$17</f>
        <v>#REF!</v>
      </c>
      <c r="J7" s="358" t="e">
        <f>(1-ResCalc!J$111)*ResCalc!J$89*ResCalc!J$62*ResCalc!J68*ResCalc!$I36*ResCalc!J87/'Conv Factors'!$B$17</f>
        <v>#REF!</v>
      </c>
      <c r="K7" s="358" t="e">
        <f>(1-ResCalc!K$111)*ResCalc!K$89*ResCalc!K$62*ResCalc!K68*ResCalc!$I36*ResCalc!K87/'Conv Factors'!$B$17</f>
        <v>#REF!</v>
      </c>
      <c r="L7" s="358" t="e">
        <f>(1-ResCalc!L$111)*ResCalc!L$89*ResCalc!L$62*ResCalc!L68*ResCalc!$I36*ResCalc!L87/'Conv Factors'!$B$17</f>
        <v>#REF!</v>
      </c>
      <c r="M7" s="358" t="e">
        <f>(1-ResCalc!M$111)*ResCalc!M$89*ResCalc!M$62*ResCalc!M68*ResCalc!$I36*ResCalc!M87/'Conv Factors'!$B$17</f>
        <v>#REF!</v>
      </c>
      <c r="N7" s="358" t="e">
        <f>(1-ResCalc!N$111)*ResCalc!N$89*ResCalc!N$62*ResCalc!N68*ResCalc!$I36*ResCalc!N87/'Conv Factors'!$B$17</f>
        <v>#REF!</v>
      </c>
      <c r="P7" s="358">
        <v>10.31985156044688</v>
      </c>
      <c r="Q7" s="358">
        <v>10.774102905975139</v>
      </c>
      <c r="R7" s="358">
        <v>10.9036837885649</v>
      </c>
      <c r="S7" s="358">
        <v>11.343749880034128</v>
      </c>
      <c r="T7" s="358">
        <v>12.270381331764577</v>
      </c>
      <c r="U7" s="358">
        <v>13.231483310459533</v>
      </c>
      <c r="V7" s="358">
        <v>14.467140842204328</v>
      </c>
      <c r="W7" s="358">
        <v>15.814247327502628</v>
      </c>
      <c r="X7" s="358">
        <v>17.146670562414961</v>
      </c>
      <c r="Y7" s="358">
        <v>18.682781297528518</v>
      </c>
      <c r="Z7" s="358">
        <v>20.35299267646154</v>
      </c>
    </row>
    <row r="8" spans="1:26" ht="12.5">
      <c r="A8" s="63"/>
      <c r="C8" s="651" t="s">
        <v>619</v>
      </c>
      <c r="D8" s="358" t="e">
        <f>(1-ResCalc!D113)*ResCalc!D$89*ResCalc!D$62*ResCalc!D69*ResCalc!T47*ResCalc!D$86/'Conv Factors'!$B$17</f>
        <v>#REF!</v>
      </c>
      <c r="E8" s="358" t="e">
        <f>(1-ResCalc!E$113)*ResCalc!E$89*ResCalc!E$62*ResCalc!E69*ResCalc!$I37*ResCalc!E86/'Conv Factors'!$B$17</f>
        <v>#REF!</v>
      </c>
      <c r="F8" s="358" t="e">
        <f>(1-ResCalc!F$113)*ResCalc!F$89*ResCalc!F$62*ResCalc!F69*ResCalc!$I37*ResCalc!F86/'Conv Factors'!$B$17</f>
        <v>#REF!</v>
      </c>
      <c r="G8" s="358" t="e">
        <f>(1-ResCalc!G$113)*ResCalc!G$89*ResCalc!G$62*ResCalc!G69*ResCalc!$I37*ResCalc!G86/'Conv Factors'!$B$17</f>
        <v>#REF!</v>
      </c>
      <c r="H8" s="358" t="e">
        <f>(1-ResCalc!H$113)*ResCalc!H$89*ResCalc!H$62*ResCalc!H69*ResCalc!$I37*ResCalc!H86/'Conv Factors'!$B$17</f>
        <v>#REF!</v>
      </c>
      <c r="I8" s="358" t="e">
        <f>(1-ResCalc!I$113)*ResCalc!I$89*ResCalc!I$62*ResCalc!I69*ResCalc!$I37*ResCalc!I86/'Conv Factors'!$B$17</f>
        <v>#REF!</v>
      </c>
      <c r="J8" s="358" t="e">
        <f>(1-ResCalc!J$113)*ResCalc!J$89*ResCalc!J$62*ResCalc!J69*ResCalc!$I37*ResCalc!J86/'Conv Factors'!$B$17</f>
        <v>#REF!</v>
      </c>
      <c r="K8" s="358" t="e">
        <f>(1-ResCalc!K$113)*ResCalc!K$89*ResCalc!K$62*ResCalc!K69*ResCalc!$I37*ResCalc!K86/'Conv Factors'!$B$17</f>
        <v>#REF!</v>
      </c>
      <c r="L8" s="358" t="e">
        <f>(1-ResCalc!L$113)*ResCalc!L$89*ResCalc!L$62*ResCalc!L69*ResCalc!$I37*ResCalc!L86/'Conv Factors'!$B$17</f>
        <v>#REF!</v>
      </c>
      <c r="M8" s="358" t="e">
        <f>(1-ResCalc!M$113)*ResCalc!M$89*ResCalc!M$62*ResCalc!M69*ResCalc!$I37*ResCalc!M86/'Conv Factors'!$B$17</f>
        <v>#REF!</v>
      </c>
      <c r="N8" s="358" t="e">
        <f>(1-ResCalc!N$113)*ResCalc!N$89*ResCalc!N$62*ResCalc!N69*ResCalc!$I37*ResCalc!N86/'Conv Factors'!$B$17</f>
        <v>#REF!</v>
      </c>
      <c r="P8" s="358">
        <v>12.112394574289899</v>
      </c>
      <c r="Q8" s="358">
        <v>12.335759303828661</v>
      </c>
      <c r="R8" s="358">
        <v>12.336515092901548</v>
      </c>
      <c r="S8" s="358">
        <v>13.318346979116724</v>
      </c>
      <c r="T8" s="358">
        <v>14.707420096065317</v>
      </c>
      <c r="U8" s="358">
        <v>16.156357165437978</v>
      </c>
      <c r="V8" s="358">
        <v>17.398601366228522</v>
      </c>
      <c r="W8" s="358">
        <v>18.738405229742231</v>
      </c>
      <c r="X8" s="358">
        <v>20.218226620655852</v>
      </c>
      <c r="Y8" s="358">
        <v>21.820786799004463</v>
      </c>
      <c r="Z8" s="358">
        <v>23.55344159905821</v>
      </c>
    </row>
    <row r="9" spans="1:26" ht="12.5">
      <c r="A9" s="63"/>
      <c r="C9" s="651" t="s">
        <v>621</v>
      </c>
      <c r="D9" s="358" t="e">
        <f>(1-ResCalc!D$114)*ResCalc!D$89*ResCalc!D$62*ResCalc!D70*ResCalc!$I38*ResCalc!D86/'Conv Factors'!$B$17</f>
        <v>#REF!</v>
      </c>
      <c r="E9" s="358" t="e">
        <f>(1-ResCalc!E$114)*ResCalc!E$89*ResCalc!E$62*ResCalc!E70*ResCalc!$I38*ResCalc!E86/'Conv Factors'!$B$17</f>
        <v>#REF!</v>
      </c>
      <c r="F9" s="358" t="e">
        <f>(1-ResCalc!F$114)*ResCalc!F$89*ResCalc!F$62*ResCalc!F70*ResCalc!$I38*ResCalc!F86/'Conv Factors'!$B$17</f>
        <v>#REF!</v>
      </c>
      <c r="G9" s="358" t="e">
        <f>(1-ResCalc!G$114)*ResCalc!G$89*ResCalc!G$62*ResCalc!G70*ResCalc!$I38*ResCalc!G86/'Conv Factors'!$B$17</f>
        <v>#REF!</v>
      </c>
      <c r="H9" s="358" t="e">
        <f>(1-ResCalc!H$114)*ResCalc!H$89*ResCalc!H$62*ResCalc!H70*ResCalc!$I38*ResCalc!H86/'Conv Factors'!$B$17</f>
        <v>#REF!</v>
      </c>
      <c r="I9" s="358" t="e">
        <f>(1-ResCalc!I$114)*ResCalc!I$89*ResCalc!I$62*ResCalc!I70*ResCalc!$I38*ResCalc!I86/'Conv Factors'!$B$17</f>
        <v>#REF!</v>
      </c>
      <c r="J9" s="358" t="e">
        <f>(1-ResCalc!J$114)*ResCalc!J$89*ResCalc!J$62*ResCalc!J70*ResCalc!$I38*ResCalc!J86/'Conv Factors'!$B$17</f>
        <v>#REF!</v>
      </c>
      <c r="K9" s="358" t="e">
        <f>(1-ResCalc!K$114)*ResCalc!K$89*ResCalc!K$62*ResCalc!K70*ResCalc!$I38*ResCalc!K86/'Conv Factors'!$B$17</f>
        <v>#REF!</v>
      </c>
      <c r="L9" s="358" t="e">
        <f>(1-ResCalc!L$114)*ResCalc!L$89*ResCalc!L$62*ResCalc!L70*ResCalc!$I38*ResCalc!L86/'Conv Factors'!$B$17</f>
        <v>#REF!</v>
      </c>
      <c r="M9" s="358" t="e">
        <f>(1-ResCalc!M$114)*ResCalc!M$89*ResCalc!M$62*ResCalc!M70*ResCalc!$I38*ResCalc!M86/'Conv Factors'!$B$17</f>
        <v>#REF!</v>
      </c>
      <c r="N9" s="358" t="e">
        <f>(1-ResCalc!N$114)*ResCalc!N$89*ResCalc!N$62*ResCalc!N70*ResCalc!$I38*ResCalc!N86/'Conv Factors'!$B$17</f>
        <v>#REF!</v>
      </c>
      <c r="P9" s="358">
        <v>3.5372954949220845</v>
      </c>
      <c r="Q9" s="358">
        <v>3.6460299522620088</v>
      </c>
      <c r="R9" s="358">
        <v>3.55994396501417</v>
      </c>
      <c r="S9" s="358">
        <v>3.9379154783796504</v>
      </c>
      <c r="T9" s="358">
        <v>4.2010672340697646</v>
      </c>
      <c r="U9" s="358">
        <v>4.4700173555473164</v>
      </c>
      <c r="V9" s="358">
        <v>4.8085979450252294</v>
      </c>
      <c r="W9" s="358">
        <v>5.1734314728715036</v>
      </c>
      <c r="X9" s="358">
        <v>5.7507135424527771</v>
      </c>
      <c r="Y9" s="358">
        <v>6.2547797740744588</v>
      </c>
      <c r="Z9" s="358">
        <v>6.802327891758428</v>
      </c>
    </row>
    <row r="10" spans="1:26" ht="12.5">
      <c r="A10" s="63"/>
      <c r="C10" s="651" t="s">
        <v>620</v>
      </c>
      <c r="D10" s="358" t="e">
        <f>(1-ResCalc!D115)*ResCalc!D$89*ResCalc!D$62*ResCalc!D71*ResCalc!T49*ResCalc!D$86/'Conv Factors'!$B$17</f>
        <v>#REF!</v>
      </c>
      <c r="E10" s="358" t="e">
        <f>(1-ResCalc!E$115)*ResCalc!E$89*ResCalc!E$62*ResCalc!E71*ResCalc!$I39*ResCalc!E86/'Conv Factors'!$B$17</f>
        <v>#REF!</v>
      </c>
      <c r="F10" s="358" t="e">
        <f>(1-ResCalc!F$115)*ResCalc!F$89*ResCalc!F$62*ResCalc!F71*ResCalc!$I39*ResCalc!F86/'Conv Factors'!$B$17</f>
        <v>#REF!</v>
      </c>
      <c r="G10" s="358" t="e">
        <f>(1-ResCalc!G$115)*ResCalc!G$89*ResCalc!G$62*ResCalc!G71*ResCalc!$I39*ResCalc!G86/'Conv Factors'!$B$17</f>
        <v>#REF!</v>
      </c>
      <c r="H10" s="358" t="e">
        <f>(1-ResCalc!H$115)*ResCalc!H$89*ResCalc!H$62*ResCalc!H71*ResCalc!$I39*ResCalc!H86/'Conv Factors'!$B$17</f>
        <v>#REF!</v>
      </c>
      <c r="I10" s="358" t="e">
        <f>(1-ResCalc!I$115)*ResCalc!I$89*ResCalc!I$62*ResCalc!I71*ResCalc!$I39*ResCalc!I86/'Conv Factors'!$B$17</f>
        <v>#REF!</v>
      </c>
      <c r="J10" s="358" t="e">
        <f>(1-ResCalc!J$115)*ResCalc!J$89*ResCalc!J$62*ResCalc!J71*ResCalc!$I39*ResCalc!J86/'Conv Factors'!$B$17</f>
        <v>#REF!</v>
      </c>
      <c r="K10" s="358" t="e">
        <f>(1-ResCalc!K$115)*ResCalc!K$89*ResCalc!K$62*ResCalc!K71*ResCalc!$I39*ResCalc!K86/'Conv Factors'!$B$17</f>
        <v>#REF!</v>
      </c>
      <c r="L10" s="358" t="e">
        <f>(1-ResCalc!L$115)*ResCalc!L$89*ResCalc!L$62*ResCalc!L71*ResCalc!$I39*ResCalc!L86/'Conv Factors'!$B$17</f>
        <v>#REF!</v>
      </c>
      <c r="M10" s="358" t="e">
        <f>(1-ResCalc!M$115)*ResCalc!M$89*ResCalc!M$62*ResCalc!M71*ResCalc!$I39*ResCalc!M86/'Conv Factors'!$B$17</f>
        <v>#REF!</v>
      </c>
      <c r="N10" s="358" t="e">
        <f>(1-ResCalc!N$115)*ResCalc!N$89*ResCalc!N$62*ResCalc!N71*ResCalc!$I39*ResCalc!N86/'Conv Factors'!$B$17</f>
        <v>#REF!</v>
      </c>
      <c r="P10" s="358">
        <v>17.032265759545439</v>
      </c>
      <c r="Q10" s="358">
        <v>17.501706066710948</v>
      </c>
      <c r="R10" s="358">
        <v>17.547366024306612</v>
      </c>
      <c r="S10" s="358">
        <v>18.944050119424453</v>
      </c>
      <c r="T10" s="358">
        <v>20.869206129710506</v>
      </c>
      <c r="U10" s="358">
        <v>22.870805922504935</v>
      </c>
      <c r="V10" s="358">
        <v>24.722343951642291</v>
      </c>
      <c r="W10" s="358">
        <v>26.725431725462887</v>
      </c>
      <c r="X10" s="358">
        <v>29.123339318926945</v>
      </c>
      <c r="Y10" s="358">
        <v>31.53265920048311</v>
      </c>
      <c r="Z10" s="358">
        <v>34.14292487664229</v>
      </c>
    </row>
    <row r="11" spans="1:26">
      <c r="A11" s="356" t="s">
        <v>67</v>
      </c>
      <c r="B11" s="356"/>
      <c r="C11" s="356" t="s">
        <v>1094</v>
      </c>
      <c r="D11" s="357" t="e">
        <f>(1-ResCalc!D116)*ResCalc!D$89*ResCalc!D$62*ResCalc!D72*ResCalc!T47*ResCalc!D$86/'Conv Factors'!$B$17</f>
        <v>#REF!</v>
      </c>
      <c r="E11" s="357" t="e">
        <f>(1-ResCalc!E116)*ResCalc!E$89*ResCalc!E$62*ResCalc!E72*ResCalc!U47*ResCalc!E$86/'Conv Factors'!$B$17</f>
        <v>#REF!</v>
      </c>
      <c r="F11" s="357" t="e">
        <f>(1-ResCalc!F116)*ResCalc!F$89*ResCalc!F$62*ResCalc!F72*ResCalc!V47*ResCalc!F$86/'Conv Factors'!$B$17</f>
        <v>#REF!</v>
      </c>
      <c r="G11" s="357" t="e">
        <f>(1-ResCalc!G116)*ResCalc!G$89*ResCalc!G$62*ResCalc!G72*ResCalc!W47*ResCalc!G$86/'Conv Factors'!$B$17</f>
        <v>#REF!</v>
      </c>
      <c r="H11" s="357" t="e">
        <f>(1-ResCalc!H116)*ResCalc!H$89*ResCalc!H$62*ResCalc!H72*ResCalc!X47*ResCalc!H$86/'Conv Factors'!$B$17</f>
        <v>#REF!</v>
      </c>
      <c r="I11" s="357" t="e">
        <f>(1-ResCalc!I116)*ResCalc!I$89*ResCalc!I$62*ResCalc!I72*ResCalc!Y47*ResCalc!I$86/'Conv Factors'!$B$17</f>
        <v>#REF!</v>
      </c>
      <c r="J11" s="357" t="e">
        <f>(1-ResCalc!J116)*ResCalc!J$89*ResCalc!J$62*ResCalc!J72*ResCalc!Z47*ResCalc!J$86/'Conv Factors'!$B$17</f>
        <v>#REF!</v>
      </c>
      <c r="K11" s="357" t="e">
        <f>(1-ResCalc!K116)*ResCalc!K$89*ResCalc!K$62*ResCalc!K72*ResCalc!AA47*ResCalc!K$86/'Conv Factors'!$B$17</f>
        <v>#REF!</v>
      </c>
      <c r="L11" s="357" t="e">
        <f>(1-ResCalc!L116)*ResCalc!L$89*ResCalc!L$62*ResCalc!L72*ResCalc!AB47*ResCalc!L$86/'Conv Factors'!$B$17</f>
        <v>#REF!</v>
      </c>
      <c r="M11" s="357" t="e">
        <f>(1-ResCalc!M116)*ResCalc!M$89*ResCalc!M$62*ResCalc!M72*ResCalc!AC47*ResCalc!M$86/'Conv Factors'!$B$17</f>
        <v>#REF!</v>
      </c>
      <c r="N11" s="357" t="e">
        <f>(1-ResCalc!N116)*ResCalc!N$89*ResCalc!N$62*ResCalc!N72*ResCalc!AD47*ResCalc!N$86/'Conv Factors'!$B$17</f>
        <v>#REF!</v>
      </c>
      <c r="P11" s="357">
        <v>0</v>
      </c>
      <c r="Q11" s="357">
        <v>0</v>
      </c>
      <c r="R11" s="357">
        <v>0</v>
      </c>
      <c r="S11" s="357">
        <v>0</v>
      </c>
      <c r="T11" s="357">
        <v>0</v>
      </c>
      <c r="U11" s="357">
        <v>0</v>
      </c>
      <c r="V11" s="357">
        <v>0</v>
      </c>
      <c r="W11" s="357">
        <v>0</v>
      </c>
      <c r="X11" s="357">
        <v>0</v>
      </c>
      <c r="Y11" s="357">
        <v>0</v>
      </c>
      <c r="Z11" s="357">
        <v>0</v>
      </c>
    </row>
    <row r="12" spans="1:26">
      <c r="A12" s="356" t="s">
        <v>1095</v>
      </c>
      <c r="B12" s="356" t="s">
        <v>1096</v>
      </c>
      <c r="C12" s="356" t="s">
        <v>1097</v>
      </c>
      <c r="D12" s="357" t="e">
        <f>(1-ResCalc!D117)*ResCalc!D$89*ResCalc!D$62*ResCalc!D73*ResCalc!T51*ResCalc!D$86/'Conv Factors'!$B$17</f>
        <v>#REF!</v>
      </c>
      <c r="E12" s="357" t="e">
        <f>(1-ResCalc!E117)*ResCalc!E$89*ResCalc!E$62*ResCalc!E73*ResCalc!U51*ResCalc!E$86/'Conv Factors'!$B$17</f>
        <v>#REF!</v>
      </c>
      <c r="F12" s="357" t="e">
        <f>(1-ResCalc!F117)*ResCalc!F$89*ResCalc!F$62*ResCalc!F73*ResCalc!V51*ResCalc!F$86/'Conv Factors'!$B$17</f>
        <v>#REF!</v>
      </c>
      <c r="G12" s="357" t="e">
        <f>(1-ResCalc!G117)*ResCalc!G$89*ResCalc!G$62*ResCalc!G73*ResCalc!W51*ResCalc!G$86/'Conv Factors'!$B$17</f>
        <v>#REF!</v>
      </c>
      <c r="H12" s="357" t="e">
        <f>(1-ResCalc!H117)*ResCalc!H$89*ResCalc!H$62*ResCalc!H73*ResCalc!X51*ResCalc!H$86/'Conv Factors'!$B$17</f>
        <v>#REF!</v>
      </c>
      <c r="I12" s="357" t="e">
        <f>(1-ResCalc!I117)*ResCalc!I$89*ResCalc!I$62*ResCalc!I73*ResCalc!Y51*ResCalc!I$86/'Conv Factors'!$B$17</f>
        <v>#REF!</v>
      </c>
      <c r="J12" s="357" t="e">
        <f>(1-ResCalc!J117)*ResCalc!J$89*ResCalc!J$62*ResCalc!J73*ResCalc!Z51*ResCalc!J$86/'Conv Factors'!$B$17</f>
        <v>#REF!</v>
      </c>
      <c r="K12" s="357" t="e">
        <f>(1-ResCalc!K117)*ResCalc!K$89*ResCalc!K$62*ResCalc!K73*ResCalc!AA51*ResCalc!K$86/'Conv Factors'!$B$17</f>
        <v>#REF!</v>
      </c>
      <c r="L12" s="357" t="e">
        <f>(1-ResCalc!L117)*ResCalc!L$89*ResCalc!L$62*ResCalc!L73*ResCalc!AB51*ResCalc!L$86/'Conv Factors'!$B$17</f>
        <v>#REF!</v>
      </c>
      <c r="M12" s="357" t="e">
        <f>(1-ResCalc!M117)*ResCalc!M$89*ResCalc!M$62*ResCalc!M73*ResCalc!AC51*ResCalc!M$86/'Conv Factors'!$B$17</f>
        <v>#REF!</v>
      </c>
      <c r="N12" s="357" t="e">
        <f>(1-ResCalc!N117)*ResCalc!N$89*ResCalc!N$62*ResCalc!N73*ResCalc!AD51*ResCalc!N$86/'Conv Factors'!$B$17</f>
        <v>#REF!</v>
      </c>
      <c r="P12" s="357">
        <v>0</v>
      </c>
      <c r="Q12" s="357">
        <v>0</v>
      </c>
      <c r="R12" s="357">
        <v>0</v>
      </c>
      <c r="S12" s="357">
        <v>0</v>
      </c>
      <c r="T12" s="357">
        <v>0</v>
      </c>
      <c r="U12" s="357">
        <v>0</v>
      </c>
      <c r="V12" s="357">
        <v>0</v>
      </c>
      <c r="W12" s="357">
        <v>0</v>
      </c>
      <c r="X12" s="357">
        <v>0</v>
      </c>
      <c r="Y12" s="357">
        <v>0</v>
      </c>
      <c r="Z12" s="357">
        <v>0</v>
      </c>
    </row>
    <row r="13" spans="1:26">
      <c r="A13" s="356" t="s">
        <v>1098</v>
      </c>
      <c r="B13" s="356" t="s">
        <v>1099</v>
      </c>
      <c r="C13" s="356" t="s">
        <v>1100</v>
      </c>
      <c r="D13" s="357" t="e">
        <f>(1-ResCalc!D118)*ResCalc!D$89*ResCalc!D$62*ResCalc!D74*ResCalc!T52*ResCalc!D$86/'Conv Factors'!$B$17</f>
        <v>#REF!</v>
      </c>
      <c r="E13" s="357" t="e">
        <f>(1-ResCalc!E118)*ResCalc!E$89*ResCalc!E$62*ResCalc!E74*ResCalc!U52*ResCalc!E$86/'Conv Factors'!$B$17</f>
        <v>#REF!</v>
      </c>
      <c r="F13" s="357" t="e">
        <f>(1-ResCalc!F118)*ResCalc!F$89*ResCalc!F$62*ResCalc!F74*ResCalc!V52*ResCalc!F$86/'Conv Factors'!$B$17</f>
        <v>#REF!</v>
      </c>
      <c r="G13" s="357" t="e">
        <f>(1-ResCalc!G118)*ResCalc!G$89*ResCalc!G$62*ResCalc!G74*ResCalc!W52*ResCalc!G$86/'Conv Factors'!$B$17</f>
        <v>#REF!</v>
      </c>
      <c r="H13" s="357" t="e">
        <f>(1-ResCalc!H118)*ResCalc!H$89*ResCalc!H$62*ResCalc!H74*ResCalc!X52*ResCalc!H$86/'Conv Factors'!$B$17</f>
        <v>#REF!</v>
      </c>
      <c r="I13" s="357" t="e">
        <f>(1-ResCalc!I118)*ResCalc!I$89*ResCalc!I$62*ResCalc!I74*ResCalc!Y52*ResCalc!I$86/'Conv Factors'!$B$17</f>
        <v>#REF!</v>
      </c>
      <c r="J13" s="357" t="e">
        <f>(1-ResCalc!J118)*ResCalc!J$89*ResCalc!J$62*ResCalc!J74*ResCalc!Z52*ResCalc!J$86/'Conv Factors'!$B$17</f>
        <v>#REF!</v>
      </c>
      <c r="K13" s="357" t="e">
        <f>(1-ResCalc!K118)*ResCalc!K$89*ResCalc!K$62*ResCalc!K74*ResCalc!AA52*ResCalc!K$86/'Conv Factors'!$B$17</f>
        <v>#REF!</v>
      </c>
      <c r="L13" s="357" t="e">
        <f>(1-ResCalc!L118)*ResCalc!L$89*ResCalc!L$62*ResCalc!L74*ResCalc!AB52*ResCalc!L$86/'Conv Factors'!$B$17</f>
        <v>#REF!</v>
      </c>
      <c r="M13" s="357" t="e">
        <f>(1-ResCalc!M118)*ResCalc!M$89*ResCalc!M$62*ResCalc!M74*ResCalc!AC52*ResCalc!M$86/'Conv Factors'!$B$17</f>
        <v>#REF!</v>
      </c>
      <c r="N13" s="357" t="e">
        <f>(1-ResCalc!N118)*ResCalc!N$89*ResCalc!N$62*ResCalc!N74*ResCalc!AD52*ResCalc!N$86/'Conv Factors'!$B$17</f>
        <v>#REF!</v>
      </c>
      <c r="P13" s="357">
        <v>0</v>
      </c>
      <c r="Q13" s="357">
        <v>0</v>
      </c>
      <c r="R13" s="357">
        <v>0</v>
      </c>
      <c r="S13" s="357">
        <v>0</v>
      </c>
      <c r="T13" s="357">
        <v>0</v>
      </c>
      <c r="U13" s="357">
        <v>0</v>
      </c>
      <c r="V13" s="357">
        <v>0</v>
      </c>
      <c r="W13" s="357">
        <v>0</v>
      </c>
      <c r="X13" s="357">
        <v>0</v>
      </c>
      <c r="Y13" s="357">
        <v>0</v>
      </c>
      <c r="Z13" s="357">
        <v>0</v>
      </c>
    </row>
    <row r="14" spans="1:26">
      <c r="C14" s="74" t="s">
        <v>1101</v>
      </c>
      <c r="D14" s="73" t="e">
        <f>SUM(D6:D10)</f>
        <v>#REF!</v>
      </c>
      <c r="E14" s="73" t="e">
        <f>SUM(E6:E10)</f>
        <v>#REF!</v>
      </c>
      <c r="F14" s="73" t="e">
        <f t="shared" ref="F14:N14" si="0">SUM(F6:F10)</f>
        <v>#REF!</v>
      </c>
      <c r="G14" s="73" t="e">
        <f t="shared" si="0"/>
        <v>#REF!</v>
      </c>
      <c r="H14" s="73" t="e">
        <f t="shared" si="0"/>
        <v>#REF!</v>
      </c>
      <c r="I14" s="73" t="e">
        <f t="shared" si="0"/>
        <v>#REF!</v>
      </c>
      <c r="J14" s="73" t="e">
        <f t="shared" si="0"/>
        <v>#REF!</v>
      </c>
      <c r="K14" s="73" t="e">
        <f t="shared" si="0"/>
        <v>#REF!</v>
      </c>
      <c r="L14" s="73" t="e">
        <f t="shared" si="0"/>
        <v>#REF!</v>
      </c>
      <c r="M14" s="73" t="e">
        <f t="shared" si="0"/>
        <v>#REF!</v>
      </c>
      <c r="N14" s="73" t="e">
        <f t="shared" si="0"/>
        <v>#REF!</v>
      </c>
      <c r="P14" s="73">
        <v>62.016425070613778</v>
      </c>
      <c r="Q14" s="73">
        <v>64.115490771304778</v>
      </c>
      <c r="R14" s="73">
        <v>64.101016854771274</v>
      </c>
      <c r="S14" s="73">
        <v>68.309632158442781</v>
      </c>
      <c r="T14" s="73">
        <v>74.399740286014065</v>
      </c>
      <c r="U14" s="73">
        <v>80.717914641939956</v>
      </c>
      <c r="V14" s="73">
        <v>87.5201712959052</v>
      </c>
      <c r="W14" s="73">
        <v>94.895971739264112</v>
      </c>
      <c r="X14" s="73">
        <v>102.90813288369336</v>
      </c>
      <c r="Y14" s="73">
        <v>111.58705988209569</v>
      </c>
      <c r="Z14" s="73">
        <v>120.99826236817319</v>
      </c>
    </row>
    <row r="15" spans="1:26">
      <c r="A15" s="69" t="s">
        <v>1102</v>
      </c>
    </row>
    <row r="17" spans="1:26">
      <c r="A17" s="177" t="s">
        <v>1103</v>
      </c>
      <c r="B17" s="177"/>
      <c r="C17" s="178"/>
      <c r="D17" s="178"/>
      <c r="E17" s="178"/>
      <c r="F17" s="178"/>
      <c r="G17" s="178"/>
      <c r="H17" s="178"/>
      <c r="I17" s="179" t="s">
        <v>1104</v>
      </c>
      <c r="J17" s="178"/>
      <c r="K17" s="178"/>
      <c r="L17" s="178"/>
      <c r="M17" s="178"/>
      <c r="N17" s="178"/>
      <c r="P17" s="178"/>
      <c r="Q17" s="178"/>
      <c r="R17" s="178"/>
      <c r="S17" s="178"/>
      <c r="T17" s="178"/>
      <c r="U17" s="179" t="s">
        <v>1104</v>
      </c>
      <c r="V17" s="178"/>
      <c r="W17" s="178"/>
      <c r="X17" s="178"/>
      <c r="Y17" s="178"/>
      <c r="Z17" s="178"/>
    </row>
    <row r="18" spans="1:26" s="356" customFormat="1">
      <c r="A18" s="356" t="s">
        <v>1091</v>
      </c>
      <c r="B18" s="356" t="s">
        <v>1092</v>
      </c>
      <c r="C18" s="356" t="s">
        <v>1093</v>
      </c>
      <c r="D18" s="357" t="e">
        <f>ResCalc!D$90*ResCalc!D$62*ResCalc!D66*ResCalc!T32*ResCalc!D$87/'Conv Factors'!$B$17</f>
        <v>#REF!</v>
      </c>
      <c r="E18" s="357" t="e">
        <f>ResCalc!E$90*ResCalc!E$62*ResCalc!E66*ResCalc!U32*ResCalc!E$87/'Conv Factors'!$B$17</f>
        <v>#REF!</v>
      </c>
      <c r="F18" s="357" t="e">
        <f>ResCalc!F$90*ResCalc!F$62*ResCalc!F66*ResCalc!V32*ResCalc!F$87/'Conv Factors'!$B$17</f>
        <v>#REF!</v>
      </c>
      <c r="G18" s="357" t="e">
        <f>ResCalc!G$90*ResCalc!G$62*ResCalc!G66*ResCalc!W32*ResCalc!G$87/'Conv Factors'!$B$17</f>
        <v>#REF!</v>
      </c>
      <c r="H18" s="357" t="e">
        <f>ResCalc!H$90*ResCalc!H$62*ResCalc!H66*ResCalc!X32*ResCalc!H$87/'Conv Factors'!$B$17</f>
        <v>#REF!</v>
      </c>
      <c r="I18" s="357" t="e">
        <f>ResCalc!I$90*ResCalc!I$62*ResCalc!I66*ResCalc!Y32*ResCalc!I$87/'Conv Factors'!$B$17</f>
        <v>#REF!</v>
      </c>
      <c r="J18" s="357" t="e">
        <f>ResCalc!J$90*ResCalc!J$62*ResCalc!J66*ResCalc!Z32*ResCalc!J$87/'Conv Factors'!$B$17</f>
        <v>#REF!</v>
      </c>
      <c r="K18" s="357" t="e">
        <f>ResCalc!K$90*ResCalc!K$62*ResCalc!K66*ResCalc!AA32*ResCalc!K$87/'Conv Factors'!$B$17</f>
        <v>#REF!</v>
      </c>
      <c r="L18" s="357" t="e">
        <f>ResCalc!L$90*ResCalc!L$62*ResCalc!L66*ResCalc!AB32*ResCalc!L$87/'Conv Factors'!$B$17</f>
        <v>#REF!</v>
      </c>
      <c r="M18" s="357" t="e">
        <f>ResCalc!M$90*ResCalc!M$62*ResCalc!M66*ResCalc!AC32*ResCalc!M$87/'Conv Factors'!$B$17</f>
        <v>#REF!</v>
      </c>
      <c r="N18" s="357" t="e">
        <f>ResCalc!N$90*ResCalc!N$62*ResCalc!N66*ResCalc!AD32*ResCalc!N$87/'Conv Factors'!$B$17</f>
        <v>#REF!</v>
      </c>
      <c r="P18" s="357">
        <v>0</v>
      </c>
      <c r="Q18" s="357">
        <v>0</v>
      </c>
      <c r="R18" s="357">
        <v>0</v>
      </c>
      <c r="S18" s="357">
        <v>0</v>
      </c>
      <c r="T18" s="357">
        <v>0</v>
      </c>
      <c r="U18" s="357">
        <v>0</v>
      </c>
      <c r="V18" s="357">
        <v>0</v>
      </c>
      <c r="W18" s="357">
        <v>0</v>
      </c>
      <c r="X18" s="357">
        <v>0</v>
      </c>
      <c r="Y18" s="357">
        <v>0</v>
      </c>
      <c r="Z18" s="357">
        <v>0</v>
      </c>
    </row>
    <row r="19" spans="1:26" ht="12.5">
      <c r="C19" s="651" t="s">
        <v>617</v>
      </c>
      <c r="D19" s="462" t="e">
        <f>ResCalc!D$90*ResCalc!D$62*ResCalc!D67*ResCalc!$J35*ResCalc!D87/'Conv Factors'!$B$17</f>
        <v>#REF!</v>
      </c>
      <c r="E19" s="462" t="e">
        <f>'2010 Fuel Share'!$Q$73*ResCalc!E$90*ResCalc!E$62*ResCalc!E67*ResCalc!$J35*ResCalc!E87/'Conv Factors'!$B$17</f>
        <v>#REF!</v>
      </c>
      <c r="F19" s="462" t="e">
        <f>'2010 Fuel Share'!$Q$73*ResCalc!F$90*ResCalc!F$62*ResCalc!F67*ResCalc!$J35*ResCalc!F87/'Conv Factors'!$B$17</f>
        <v>#REF!</v>
      </c>
      <c r="G19" s="462" t="e">
        <f>'2010 Fuel Share'!$Q$73*ResCalc!G$90*ResCalc!G$62*ResCalc!G67*ResCalc!$J35*ResCalc!G87/'Conv Factors'!$B$17</f>
        <v>#REF!</v>
      </c>
      <c r="H19" s="462" t="e">
        <f>'2010 Fuel Share'!$Q$73*ResCalc!H$90*ResCalc!H$62*ResCalc!H67*ResCalc!$J35*ResCalc!H87/'Conv Factors'!$B$17</f>
        <v>#REF!</v>
      </c>
      <c r="I19" s="462" t="e">
        <f>'2010 Fuel Share'!$Q$73*ResCalc!I$90*ResCalc!I$62*ResCalc!I67*ResCalc!$J35*ResCalc!I87/'Conv Factors'!$B$17</f>
        <v>#REF!</v>
      </c>
      <c r="J19" s="462" t="e">
        <f>'2010 Fuel Share'!$Q$73*ResCalc!J$90*ResCalc!J$62*ResCalc!J67*ResCalc!$J35*ResCalc!J87/'Conv Factors'!$B$17</f>
        <v>#REF!</v>
      </c>
      <c r="K19" s="462" t="e">
        <f>'2010 Fuel Share'!$Q$73*ResCalc!K$90*ResCalc!K$62*ResCalc!K67*ResCalc!$J35*ResCalc!K87/'Conv Factors'!$B$17</f>
        <v>#REF!</v>
      </c>
      <c r="L19" s="462" t="e">
        <f>'2010 Fuel Share'!$Q$73*ResCalc!L$90*ResCalc!L$62*ResCalc!L67*ResCalc!$J35*ResCalc!L87/'Conv Factors'!$B$17</f>
        <v>#REF!</v>
      </c>
      <c r="M19" s="462" t="e">
        <f>'2010 Fuel Share'!$Q$73*ResCalc!M$90*ResCalc!M$62*ResCalc!M67*ResCalc!$J35*ResCalc!M87/'Conv Factors'!$B$17</f>
        <v>#REF!</v>
      </c>
      <c r="N19" s="462" t="e">
        <f>'2010 Fuel Share'!$Q$73*ResCalc!N$90*ResCalc!N$62*ResCalc!N67*ResCalc!$J35*ResCalc!N87/'Conv Factors'!$B$17</f>
        <v>#REF!</v>
      </c>
      <c r="P19" s="462">
        <v>49.117206713631397</v>
      </c>
      <c r="Q19" s="462">
        <v>46.877785202839327</v>
      </c>
      <c r="R19" s="462">
        <v>46.674180066237568</v>
      </c>
      <c r="S19" s="462">
        <v>42.154374257466088</v>
      </c>
      <c r="T19" s="462">
        <v>41.043590563064086</v>
      </c>
      <c r="U19" s="462">
        <v>39.860923610462372</v>
      </c>
      <c r="V19" s="462">
        <v>38.639626928452209</v>
      </c>
      <c r="W19" s="462">
        <v>37.420207818110896</v>
      </c>
      <c r="X19" s="462">
        <v>35.891524051010734</v>
      </c>
      <c r="Y19" s="462">
        <v>34.658496298829832</v>
      </c>
      <c r="Z19" s="462">
        <v>33.466632932844476</v>
      </c>
    </row>
    <row r="20" spans="1:26" ht="12.5">
      <c r="C20" s="651" t="s">
        <v>618</v>
      </c>
      <c r="D20" s="462" t="e">
        <f>ResCalc!D$90*ResCalc!D$62*ResCalc!D68*ResCalc!$J36*ResCalc!D87/'Conv Factors'!$B$17</f>
        <v>#REF!</v>
      </c>
      <c r="E20" s="462" t="e">
        <f>'2010 Fuel Share'!$R$73*ResCalc!E$90*ResCalc!E$62*ResCalc!E68*ResCalc!$J36*ResCalc!E87/'Conv Factors'!$B$17</f>
        <v>#REF!</v>
      </c>
      <c r="F20" s="462" t="e">
        <f>'2010 Fuel Share'!$R$73*ResCalc!F$90*ResCalc!F$62*ResCalc!F68*ResCalc!$J36*ResCalc!F87/'Conv Factors'!$B$17</f>
        <v>#REF!</v>
      </c>
      <c r="G20" s="462" t="e">
        <f>'2010 Fuel Share'!$R$73*ResCalc!G$90*ResCalc!G$62*ResCalc!G68*ResCalc!$J36*ResCalc!G87/'Conv Factors'!$B$17</f>
        <v>#REF!</v>
      </c>
      <c r="H20" s="462" t="e">
        <f>'2010 Fuel Share'!$R$73*ResCalc!H$90*ResCalc!H$62*ResCalc!H68*ResCalc!$J36*ResCalc!H87/'Conv Factors'!$B$17</f>
        <v>#REF!</v>
      </c>
      <c r="I20" s="462" t="e">
        <f>'2010 Fuel Share'!$R$73*ResCalc!I$90*ResCalc!I$62*ResCalc!I68*ResCalc!$J36*ResCalc!I87/'Conv Factors'!$B$17</f>
        <v>#REF!</v>
      </c>
      <c r="J20" s="462" t="e">
        <f>'2010 Fuel Share'!$R$73*ResCalc!J$90*ResCalc!J$62*ResCalc!J68*ResCalc!$J36*ResCalc!J87/'Conv Factors'!$B$17</f>
        <v>#REF!</v>
      </c>
      <c r="K20" s="462" t="e">
        <f>'2010 Fuel Share'!$R$73*ResCalc!K$90*ResCalc!K$62*ResCalc!K68*ResCalc!$J36*ResCalc!K87/'Conv Factors'!$B$17</f>
        <v>#REF!</v>
      </c>
      <c r="L20" s="462" t="e">
        <f>'2010 Fuel Share'!$R$73*ResCalc!L$90*ResCalc!L$62*ResCalc!L68*ResCalc!$J36*ResCalc!L87/'Conv Factors'!$B$17</f>
        <v>#REF!</v>
      </c>
      <c r="M20" s="462" t="e">
        <f>'2010 Fuel Share'!$R$73*ResCalc!M$90*ResCalc!M$62*ResCalc!M68*ResCalc!$J36*ResCalc!M87/'Conv Factors'!$B$17</f>
        <v>#REF!</v>
      </c>
      <c r="N20" s="462" t="e">
        <f>'2010 Fuel Share'!$R$73*ResCalc!N$90*ResCalc!N$62*ResCalc!N68*ResCalc!$J36*ResCalc!N87/'Conv Factors'!$B$17</f>
        <v>#REF!</v>
      </c>
      <c r="P20" s="462">
        <v>26.657505864240328</v>
      </c>
      <c r="Q20" s="462">
        <v>27.321821399866469</v>
      </c>
      <c r="R20" s="462">
        <v>27.67580829736313</v>
      </c>
      <c r="S20" s="462">
        <v>24.737171442896731</v>
      </c>
      <c r="T20" s="462">
        <v>24.204054225863121</v>
      </c>
      <c r="U20" s="462">
        <v>23.617493506606827</v>
      </c>
      <c r="V20" s="462">
        <v>22.986830026290985</v>
      </c>
      <c r="W20" s="462">
        <v>22.348670372896756</v>
      </c>
      <c r="X20" s="462">
        <v>21.555797723607679</v>
      </c>
      <c r="Y20" s="462">
        <v>20.89070493016343</v>
      </c>
      <c r="Z20" s="462">
        <v>20.242667437935548</v>
      </c>
    </row>
    <row r="21" spans="1:26" ht="12.5">
      <c r="C21" s="651" t="s">
        <v>619</v>
      </c>
      <c r="D21" s="462" t="e">
        <f>ResCalc!D$90*ResCalc!D$62*ResCalc!D69*ResCalc!$J37*ResCalc!D87/'Conv Factors'!$B$17</f>
        <v>#REF!</v>
      </c>
      <c r="E21" s="462" t="e">
        <f>'2010 Fuel Share'!$S$73*ResCalc!E$90*ResCalc!E$62*ResCalc!E69*ResCalc!$J37*ResCalc!E87/'Conv Factors'!$B$17</f>
        <v>#REF!</v>
      </c>
      <c r="F21" s="462" t="e">
        <f>'2010 Fuel Share'!$S$73*ResCalc!F$90*ResCalc!F$62*ResCalc!F69*ResCalc!$J37*ResCalc!F87/'Conv Factors'!$B$17</f>
        <v>#REF!</v>
      </c>
      <c r="G21" s="462" t="e">
        <f>'2010 Fuel Share'!$S$73*ResCalc!G$90*ResCalc!G$62*ResCalc!G69*ResCalc!$J37*ResCalc!G87/'Conv Factors'!$B$17</f>
        <v>#REF!</v>
      </c>
      <c r="H21" s="462" t="e">
        <f>'2010 Fuel Share'!$S$73*ResCalc!H$90*ResCalc!H$62*ResCalc!H69*ResCalc!$J37*ResCalc!H87/'Conv Factors'!$B$17</f>
        <v>#REF!</v>
      </c>
      <c r="I21" s="462" t="e">
        <f>'2010 Fuel Share'!$S$73*ResCalc!I$90*ResCalc!I$62*ResCalc!I69*ResCalc!$J37*ResCalc!I87/'Conv Factors'!$B$17</f>
        <v>#REF!</v>
      </c>
      <c r="J21" s="462" t="e">
        <f>'2010 Fuel Share'!$S$73*ResCalc!J$90*ResCalc!J$62*ResCalc!J69*ResCalc!$J37*ResCalc!J87/'Conv Factors'!$B$17</f>
        <v>#REF!</v>
      </c>
      <c r="K21" s="462" t="e">
        <f>'2010 Fuel Share'!$S$73*ResCalc!K$90*ResCalc!K$62*ResCalc!K69*ResCalc!$J37*ResCalc!K87/'Conv Factors'!$B$17</f>
        <v>#REF!</v>
      </c>
      <c r="L21" s="462" t="e">
        <f>'2010 Fuel Share'!$S$73*ResCalc!L$90*ResCalc!L$62*ResCalc!L69*ResCalc!$J37*ResCalc!L87/'Conv Factors'!$B$17</f>
        <v>#REF!</v>
      </c>
      <c r="M21" s="462" t="e">
        <f>'2010 Fuel Share'!$S$73*ResCalc!M$90*ResCalc!M$62*ResCalc!M69*ResCalc!$J37*ResCalc!M87/'Conv Factors'!$B$17</f>
        <v>#REF!</v>
      </c>
      <c r="N21" s="462" t="e">
        <f>'2010 Fuel Share'!$S$73*ResCalc!N$90*ResCalc!N$62*ResCalc!N69*ResCalc!$J37*ResCalc!N87/'Conv Factors'!$B$17</f>
        <v>#REF!</v>
      </c>
      <c r="P21" s="462">
        <v>31.224199434317896</v>
      </c>
      <c r="Q21" s="462">
        <v>45.245792124856443</v>
      </c>
      <c r="R21" s="462">
        <v>45.2300663984688</v>
      </c>
      <c r="S21" s="462">
        <v>40.515137378396126</v>
      </c>
      <c r="T21" s="462">
        <v>39.130531829238755</v>
      </c>
      <c r="U21" s="462">
        <v>37.706908536275975</v>
      </c>
      <c r="V21" s="462">
        <v>36.14622299314226</v>
      </c>
      <c r="W21" s="462">
        <v>34.624857977049594</v>
      </c>
      <c r="X21" s="462">
        <v>33.23376668404218</v>
      </c>
      <c r="Y21" s="462">
        <v>31.903195248733702</v>
      </c>
      <c r="Z21" s="462">
        <v>30.629933176392367</v>
      </c>
    </row>
    <row r="22" spans="1:26" ht="12.5">
      <c r="C22" s="651" t="s">
        <v>621</v>
      </c>
      <c r="D22" s="462" t="e">
        <f>ResCalc!D$90*ResCalc!D$62*ResCalc!D70*ResCalc!$J38*ResCalc!D87/'Conv Factors'!$B$17</f>
        <v>#REF!</v>
      </c>
      <c r="E22" s="462" t="e">
        <f>'2010 Fuel Share'!$U$73*ResCalc!E$90*ResCalc!E$62*ResCalc!E70*ResCalc!$J38*ResCalc!E87/'Conv Factors'!$B$17</f>
        <v>#REF!</v>
      </c>
      <c r="F22" s="462" t="e">
        <f>'2010 Fuel Share'!$U$73*ResCalc!F$90*ResCalc!F$62*ResCalc!F70*ResCalc!$J38*ResCalc!F87/'Conv Factors'!$B$17</f>
        <v>#REF!</v>
      </c>
      <c r="G22" s="462" t="e">
        <f>'2010 Fuel Share'!$U$73*ResCalc!G$90*ResCalc!G$62*ResCalc!G70*ResCalc!$J38*ResCalc!G87/'Conv Factors'!$B$17</f>
        <v>#REF!</v>
      </c>
      <c r="H22" s="462" t="e">
        <f>'2010 Fuel Share'!$U$73*ResCalc!H$90*ResCalc!H$62*ResCalc!H70*ResCalc!$J38*ResCalc!H87/'Conv Factors'!$B$17</f>
        <v>#REF!</v>
      </c>
      <c r="I22" s="462" t="e">
        <f>'2010 Fuel Share'!$U$73*ResCalc!I$90*ResCalc!I$62*ResCalc!I70*ResCalc!$J38*ResCalc!I87/'Conv Factors'!$B$17</f>
        <v>#REF!</v>
      </c>
      <c r="J22" s="462" t="e">
        <f>'2010 Fuel Share'!$U$73*ResCalc!J$90*ResCalc!J$62*ResCalc!J70*ResCalc!$J38*ResCalc!J87/'Conv Factors'!$B$17</f>
        <v>#REF!</v>
      </c>
      <c r="K22" s="462" t="e">
        <f>'2010 Fuel Share'!$U$73*ResCalc!K$90*ResCalc!K$62*ResCalc!K70*ResCalc!$J38*ResCalc!K87/'Conv Factors'!$B$17</f>
        <v>#REF!</v>
      </c>
      <c r="L22" s="462" t="e">
        <f>'2010 Fuel Share'!$U$73*ResCalc!L$90*ResCalc!L$62*ResCalc!L70*ResCalc!$J38*ResCalc!L87/'Conv Factors'!$B$17</f>
        <v>#REF!</v>
      </c>
      <c r="M22" s="462" t="e">
        <f>'2010 Fuel Share'!$U$73*ResCalc!M$90*ResCalc!M$62*ResCalc!M70*ResCalc!$J38*ResCalc!M87/'Conv Factors'!$B$17</f>
        <v>#REF!</v>
      </c>
      <c r="N22" s="462" t="e">
        <f>'2010 Fuel Share'!$U$73*ResCalc!N$90*ResCalc!N$62*ResCalc!N70*ResCalc!$J38*ResCalc!N87/'Conv Factors'!$B$17</f>
        <v>#REF!</v>
      </c>
      <c r="P22" s="462">
        <v>9.1372898967699001</v>
      </c>
      <c r="Q22" s="462">
        <v>8.7463732589860008</v>
      </c>
      <c r="R22" s="462">
        <v>8.536372520406923</v>
      </c>
      <c r="S22" s="462">
        <v>7.8793710382959263</v>
      </c>
      <c r="T22" s="462">
        <v>7.603638380101275</v>
      </c>
      <c r="U22" s="462">
        <v>7.3209298461904861</v>
      </c>
      <c r="V22" s="462">
        <v>7.0104614590852394</v>
      </c>
      <c r="W22" s="462">
        <v>6.708317800041228</v>
      </c>
      <c r="X22" s="462">
        <v>6.633424570724654</v>
      </c>
      <c r="Y22" s="462">
        <v>6.4173444806000477</v>
      </c>
      <c r="Z22" s="462">
        <v>6.2076724164577666</v>
      </c>
    </row>
    <row r="23" spans="1:26" ht="12.5">
      <c r="C23" s="651" t="s">
        <v>620</v>
      </c>
      <c r="D23" s="462" t="e">
        <f>ResCalc!D$90*ResCalc!D$62*ResCalc!D71*ResCalc!$J39*ResCalc!D87/'Conv Factors'!$B$17</f>
        <v>#REF!</v>
      </c>
      <c r="E23" s="462" t="e">
        <f>'2010 Fuel Share'!$T$73*ResCalc!E$90*ResCalc!E$62*ResCalc!E71*ResCalc!$J39*ResCalc!E87/'Conv Factors'!$B$17</f>
        <v>#REF!</v>
      </c>
      <c r="F23" s="462" t="e">
        <f>'2010 Fuel Share'!$T$73*ResCalc!F$90*ResCalc!F$62*ResCalc!F71*ResCalc!$J39*ResCalc!F87/'Conv Factors'!$B$17</f>
        <v>#REF!</v>
      </c>
      <c r="G23" s="462" t="e">
        <f>'2010 Fuel Share'!$T$73*ResCalc!G$90*ResCalc!G$62*ResCalc!G71*ResCalc!$J39*ResCalc!G87/'Conv Factors'!$B$17</f>
        <v>#REF!</v>
      </c>
      <c r="H23" s="462" t="e">
        <f>'2010 Fuel Share'!$T$73*ResCalc!H$90*ResCalc!H$62*ResCalc!H71*ResCalc!$J39*ResCalc!H87/'Conv Factors'!$B$17</f>
        <v>#REF!</v>
      </c>
      <c r="I23" s="462" t="e">
        <f>'2010 Fuel Share'!$T$73*ResCalc!I$90*ResCalc!I$62*ResCalc!I71*ResCalc!$J39*ResCalc!I87/'Conv Factors'!$B$17</f>
        <v>#REF!</v>
      </c>
      <c r="J23" s="462" t="e">
        <f>'2010 Fuel Share'!$T$73*ResCalc!J$90*ResCalc!J$62*ResCalc!J71*ResCalc!$J39*ResCalc!J87/'Conv Factors'!$B$17</f>
        <v>#REF!</v>
      </c>
      <c r="K23" s="462" t="e">
        <f>'2010 Fuel Share'!$T$73*ResCalc!K$90*ResCalc!K$62*ResCalc!K71*ResCalc!$J39*ResCalc!K87/'Conv Factors'!$B$17</f>
        <v>#REF!</v>
      </c>
      <c r="L23" s="462" t="e">
        <f>'2010 Fuel Share'!$T$73*ResCalc!L$90*ResCalc!L$62*ResCalc!L71*ResCalc!$J39*ResCalc!L87/'Conv Factors'!$B$17</f>
        <v>#REF!</v>
      </c>
      <c r="M23" s="462" t="e">
        <f>'2010 Fuel Share'!$T$73*ResCalc!M$90*ResCalc!M$62*ResCalc!M71*ResCalc!$J39*ResCalc!M87/'Conv Factors'!$B$17</f>
        <v>#REF!</v>
      </c>
      <c r="N23" s="462" t="e">
        <f>'2010 Fuel Share'!$T$73*ResCalc!N$90*ResCalc!N$62*ResCalc!N71*ResCalc!$J39*ResCalc!N87/'Conv Factors'!$B$17</f>
        <v>#REF!</v>
      </c>
      <c r="P23" s="462">
        <v>43.996536355869935</v>
      </c>
      <c r="Q23" s="462">
        <v>23.54355182714465</v>
      </c>
      <c r="R23" s="462">
        <v>23.595324433963537</v>
      </c>
      <c r="S23" s="462">
        <v>21.135820490295089</v>
      </c>
      <c r="T23" s="462">
        <v>20.364064725855137</v>
      </c>
      <c r="U23" s="462">
        <v>19.576643750006454</v>
      </c>
      <c r="V23" s="462">
        <v>18.837250676437566</v>
      </c>
      <c r="W23" s="462">
        <v>18.111707291266466</v>
      </c>
      <c r="X23" s="462">
        <v>17.557269028836629</v>
      </c>
      <c r="Y23" s="462">
        <v>16.908444640872709</v>
      </c>
      <c r="Z23" s="462">
        <v>16.284397102201503</v>
      </c>
    </row>
    <row r="24" spans="1:26" s="356" customFormat="1">
      <c r="C24" s="356" t="s">
        <v>1094</v>
      </c>
      <c r="D24" s="357" t="e">
        <f>ResCalc!D$90*ResCalc!D$62*ResCalc!D72*ResCalc!T35*ResCalc!D$87/'Conv Factors'!$B$17</f>
        <v>#REF!</v>
      </c>
      <c r="E24" s="357" t="e">
        <f>ResCalc!E$90*ResCalc!E$62*ResCalc!E72*ResCalc!U35*ResCalc!E$87/'Conv Factors'!$B$17</f>
        <v>#REF!</v>
      </c>
      <c r="F24" s="357" t="e">
        <f>ResCalc!F$90*ResCalc!F$62*ResCalc!F72*ResCalc!V35*ResCalc!F$87/'Conv Factors'!$B$17</f>
        <v>#REF!</v>
      </c>
      <c r="G24" s="357" t="e">
        <f>ResCalc!G$90*ResCalc!G$62*ResCalc!G72*ResCalc!W35*ResCalc!G$87/'Conv Factors'!$B$17</f>
        <v>#REF!</v>
      </c>
      <c r="H24" s="357" t="e">
        <f>ResCalc!H$90*ResCalc!H$62*ResCalc!H72*ResCalc!X35*ResCalc!H$87/'Conv Factors'!$B$17</f>
        <v>#REF!</v>
      </c>
      <c r="I24" s="357" t="e">
        <f>ResCalc!I$90*ResCalc!I$62*ResCalc!I72*ResCalc!Y35*ResCalc!I$87/'Conv Factors'!$B$17</f>
        <v>#REF!</v>
      </c>
      <c r="J24" s="357" t="e">
        <f>ResCalc!J$90*ResCalc!J$62*ResCalc!J72*ResCalc!Z35*ResCalc!J$87/'Conv Factors'!$B$17</f>
        <v>#REF!</v>
      </c>
      <c r="K24" s="357" t="e">
        <f>ResCalc!K$90*ResCalc!K$62*ResCalc!K72*ResCalc!AA35*ResCalc!K$87/'Conv Factors'!$B$17</f>
        <v>#REF!</v>
      </c>
      <c r="L24" s="357" t="e">
        <f>ResCalc!L$90*ResCalc!L$62*ResCalc!L72*ResCalc!AB35*ResCalc!L$87/'Conv Factors'!$B$17</f>
        <v>#REF!</v>
      </c>
      <c r="M24" s="357" t="e">
        <f>ResCalc!M$90*ResCalc!M$62*ResCalc!M72*ResCalc!AC35*ResCalc!M$87/'Conv Factors'!$B$17</f>
        <v>#REF!</v>
      </c>
      <c r="N24" s="357" t="e">
        <f>ResCalc!N$90*ResCalc!N$62*ResCalc!N72*ResCalc!AD35*ResCalc!N$87/'Conv Factors'!$B$17</f>
        <v>#REF!</v>
      </c>
      <c r="P24" s="357">
        <v>0</v>
      </c>
      <c r="Q24" s="357">
        <v>0</v>
      </c>
      <c r="R24" s="357">
        <v>0</v>
      </c>
      <c r="S24" s="357">
        <v>0</v>
      </c>
      <c r="T24" s="357">
        <v>0</v>
      </c>
      <c r="U24" s="357">
        <v>0</v>
      </c>
      <c r="V24" s="357">
        <v>0</v>
      </c>
      <c r="W24" s="357">
        <v>0</v>
      </c>
      <c r="X24" s="357">
        <v>0</v>
      </c>
      <c r="Y24" s="357">
        <v>0</v>
      </c>
      <c r="Z24" s="357">
        <v>0</v>
      </c>
    </row>
    <row r="25" spans="1:26" s="356" customFormat="1">
      <c r="B25" s="356" t="s">
        <v>1096</v>
      </c>
      <c r="C25" s="356" t="s">
        <v>1097</v>
      </c>
      <c r="D25" s="357" t="e">
        <f>ResCalc!D$90*ResCalc!D$62*ResCalc!D73*ResCalc!T39*ResCalc!D$87/'Conv Factors'!$B$17*0.9</f>
        <v>#REF!</v>
      </c>
      <c r="E25" s="357" t="e">
        <f>ResCalc!E$90*ResCalc!E$62*ResCalc!E73*ResCalc!U39*ResCalc!E$87/'Conv Factors'!$B$17*0.9</f>
        <v>#REF!</v>
      </c>
      <c r="F25" s="357" t="e">
        <f>ResCalc!F$90*ResCalc!F$62*ResCalc!F73*ResCalc!V39*ResCalc!F$87/'Conv Factors'!$B$17*0.9</f>
        <v>#REF!</v>
      </c>
      <c r="G25" s="357" t="e">
        <f>ResCalc!G$90*ResCalc!G$62*ResCalc!G73*ResCalc!W39*ResCalc!G$87/'Conv Factors'!$B$17*0.9</f>
        <v>#REF!</v>
      </c>
      <c r="H25" s="357" t="e">
        <f>ResCalc!H$90*ResCalc!H$62*ResCalc!H73*ResCalc!X39*ResCalc!H$87/'Conv Factors'!$B$17*0.9</f>
        <v>#REF!</v>
      </c>
      <c r="I25" s="357" t="e">
        <f>ResCalc!I$90*ResCalc!I$62*ResCalc!I73*ResCalc!Y39*ResCalc!I$87/'Conv Factors'!$B$17*0.9</f>
        <v>#REF!</v>
      </c>
      <c r="J25" s="357" t="e">
        <f>ResCalc!J$90*ResCalc!J$62*ResCalc!J73*ResCalc!Z39*ResCalc!J$87/'Conv Factors'!$B$17*0.9</f>
        <v>#REF!</v>
      </c>
      <c r="K25" s="357" t="e">
        <f>ResCalc!K$90*ResCalc!K$62*ResCalc!K73*ResCalc!AA39*ResCalc!K$87/'Conv Factors'!$B$17*0.9</f>
        <v>#REF!</v>
      </c>
      <c r="L25" s="357" t="e">
        <f>ResCalc!L$90*ResCalc!L$62*ResCalc!L73*ResCalc!AB39*ResCalc!L$87/'Conv Factors'!$B$17*0.9</f>
        <v>#REF!</v>
      </c>
      <c r="M25" s="357" t="e">
        <f>ResCalc!M$90*ResCalc!M$62*ResCalc!M73*ResCalc!AC39*ResCalc!M$87/'Conv Factors'!$B$17*0.9</f>
        <v>#REF!</v>
      </c>
      <c r="N25" s="357" t="e">
        <f>ResCalc!N$90*ResCalc!N$62*ResCalc!N73*ResCalc!AD39*ResCalc!N$87/'Conv Factors'!$B$17*0.9</f>
        <v>#REF!</v>
      </c>
      <c r="P25" s="357">
        <v>0</v>
      </c>
      <c r="Q25" s="357">
        <v>0</v>
      </c>
      <c r="R25" s="357">
        <v>0</v>
      </c>
      <c r="S25" s="357">
        <v>0</v>
      </c>
      <c r="T25" s="357">
        <v>0</v>
      </c>
      <c r="U25" s="357">
        <v>0</v>
      </c>
      <c r="V25" s="357">
        <v>0</v>
      </c>
      <c r="W25" s="357">
        <v>0</v>
      </c>
      <c r="X25" s="357">
        <v>0</v>
      </c>
      <c r="Y25" s="357">
        <v>0</v>
      </c>
      <c r="Z25" s="357">
        <v>0</v>
      </c>
    </row>
    <row r="26" spans="1:26" s="356" customFormat="1">
      <c r="B26" s="356" t="s">
        <v>1099</v>
      </c>
      <c r="C26" s="356" t="s">
        <v>1100</v>
      </c>
      <c r="D26" s="357" t="e">
        <f>ResCalc!D$90*ResCalc!D$62*ResCalc!D74*ResCalc!T40*ResCalc!D$87/'Conv Factors'!$B$17*0.8</f>
        <v>#REF!</v>
      </c>
      <c r="E26" s="357" t="e">
        <f>ResCalc!E$90*ResCalc!E$62*ResCalc!E74*ResCalc!U40*ResCalc!E$87/'Conv Factors'!$B$17*0.8</f>
        <v>#REF!</v>
      </c>
      <c r="F26" s="357" t="e">
        <f>ResCalc!F$90*ResCalc!F$62*ResCalc!F74*ResCalc!V40*ResCalc!F$87/'Conv Factors'!$B$17*0.8</f>
        <v>#REF!</v>
      </c>
      <c r="G26" s="357" t="e">
        <f>ResCalc!G$90*ResCalc!G$62*ResCalc!G74*ResCalc!W40*ResCalc!G$87/'Conv Factors'!$B$17*0.8</f>
        <v>#REF!</v>
      </c>
      <c r="H26" s="357" t="e">
        <f>ResCalc!H$90*ResCalc!H$62*ResCalc!H74*ResCalc!X40*ResCalc!H$87/'Conv Factors'!$B$17*0.8</f>
        <v>#REF!</v>
      </c>
      <c r="I26" s="357" t="e">
        <f>ResCalc!I$90*ResCalc!I$62*ResCalc!I74*ResCalc!Y40*ResCalc!I$87/'Conv Factors'!$B$17*0.8</f>
        <v>#REF!</v>
      </c>
      <c r="J26" s="357" t="e">
        <f>ResCalc!J$90*ResCalc!J$62*ResCalc!J74*ResCalc!Z40*ResCalc!J$87/'Conv Factors'!$B$17*0.8</f>
        <v>#REF!</v>
      </c>
      <c r="K26" s="357" t="e">
        <f>ResCalc!K$90*ResCalc!K$62*ResCalc!K74*ResCalc!AA40*ResCalc!K$87/'Conv Factors'!$B$17*0.8</f>
        <v>#REF!</v>
      </c>
      <c r="L26" s="357" t="e">
        <f>ResCalc!L$90*ResCalc!L$62*ResCalc!L74*ResCalc!AB40*ResCalc!L$87/'Conv Factors'!$B$17*0.8</f>
        <v>#REF!</v>
      </c>
      <c r="M26" s="357" t="e">
        <f>ResCalc!M$90*ResCalc!M$62*ResCalc!M74*ResCalc!AC40*ResCalc!M$87/'Conv Factors'!$B$17*0.8</f>
        <v>#REF!</v>
      </c>
      <c r="N26" s="357" t="e">
        <f>ResCalc!N$90*ResCalc!N$62*ResCalc!N74*ResCalc!AD40*ResCalc!N$87/'Conv Factors'!$B$17*0.8</f>
        <v>#REF!</v>
      </c>
      <c r="P26" s="357">
        <v>0</v>
      </c>
      <c r="Q26" s="357">
        <v>0</v>
      </c>
      <c r="R26" s="357">
        <v>0</v>
      </c>
      <c r="S26" s="357">
        <v>0</v>
      </c>
      <c r="T26" s="357">
        <v>0</v>
      </c>
      <c r="U26" s="357">
        <v>0</v>
      </c>
      <c r="V26" s="357">
        <v>0</v>
      </c>
      <c r="W26" s="357">
        <v>0</v>
      </c>
      <c r="X26" s="357">
        <v>0</v>
      </c>
      <c r="Y26" s="357">
        <v>0</v>
      </c>
      <c r="Z26" s="357">
        <v>0</v>
      </c>
    </row>
    <row r="27" spans="1:26">
      <c r="C27" s="74" t="s">
        <v>1101</v>
      </c>
      <c r="D27" s="73" t="e">
        <f>SUM(D19:D23)</f>
        <v>#REF!</v>
      </c>
      <c r="E27" s="73" t="e">
        <f>SUM(E19:E23)</f>
        <v>#REF!</v>
      </c>
      <c r="F27" s="73" t="e">
        <f t="shared" ref="F27:N27" si="1">SUM(F19:F23)</f>
        <v>#REF!</v>
      </c>
      <c r="G27" s="73" t="e">
        <f t="shared" si="1"/>
        <v>#REF!</v>
      </c>
      <c r="H27" s="73" t="e">
        <f t="shared" si="1"/>
        <v>#REF!</v>
      </c>
      <c r="I27" s="73" t="e">
        <f t="shared" si="1"/>
        <v>#REF!</v>
      </c>
      <c r="J27" s="73" t="e">
        <f t="shared" si="1"/>
        <v>#REF!</v>
      </c>
      <c r="K27" s="73" t="e">
        <f t="shared" si="1"/>
        <v>#REF!</v>
      </c>
      <c r="L27" s="73" t="e">
        <f t="shared" si="1"/>
        <v>#REF!</v>
      </c>
      <c r="M27" s="73" t="e">
        <f t="shared" si="1"/>
        <v>#REF!</v>
      </c>
      <c r="N27" s="73" t="e">
        <f t="shared" si="1"/>
        <v>#REF!</v>
      </c>
      <c r="P27" s="73">
        <v>160.13273826482947</v>
      </c>
      <c r="Q27" s="73">
        <v>151.7353238136929</v>
      </c>
      <c r="R27" s="73">
        <v>151.71175171643995</v>
      </c>
      <c r="S27" s="73">
        <v>136.42187460734999</v>
      </c>
      <c r="T27" s="73">
        <v>132.34587972412237</v>
      </c>
      <c r="U27" s="73">
        <v>128.08289924954209</v>
      </c>
      <c r="V27" s="73">
        <v>123.62039208340825</v>
      </c>
      <c r="W27" s="73">
        <v>119.21376125936494</v>
      </c>
      <c r="X27" s="73">
        <v>114.87178205822188</v>
      </c>
      <c r="Y27" s="73">
        <v>110.77818559919973</v>
      </c>
      <c r="Z27" s="73">
        <v>106.83130306583166</v>
      </c>
    </row>
    <row r="28" spans="1:26">
      <c r="A28" s="69" t="s">
        <v>1105</v>
      </c>
    </row>
    <row r="29" spans="1:26">
      <c r="E29" s="75"/>
      <c r="F29" s="75"/>
      <c r="G29" s="75"/>
      <c r="H29" s="75"/>
      <c r="I29" s="75"/>
      <c r="J29" s="75"/>
      <c r="K29" s="75"/>
      <c r="L29" s="75"/>
      <c r="M29" s="75"/>
      <c r="N29" s="75"/>
      <c r="Q29" s="75"/>
      <c r="R29" s="75"/>
      <c r="S29" s="75"/>
      <c r="T29" s="75"/>
      <c r="U29" s="75"/>
      <c r="V29" s="75"/>
      <c r="W29" s="75"/>
      <c r="X29" s="75"/>
      <c r="Y29" s="75"/>
      <c r="Z29" s="75"/>
    </row>
    <row r="30" spans="1:26" s="356" customFormat="1" hidden="1">
      <c r="A30" s="361" t="s">
        <v>1106</v>
      </c>
      <c r="B30" s="361"/>
      <c r="I30" s="362" t="s">
        <v>1107</v>
      </c>
      <c r="U30" s="362" t="s">
        <v>1107</v>
      </c>
    </row>
    <row r="31" spans="1:26" s="356" customFormat="1" hidden="1">
      <c r="B31" s="356" t="s">
        <v>1092</v>
      </c>
      <c r="C31" s="356" t="s">
        <v>1093</v>
      </c>
      <c r="D31" s="359">
        <f>USDemand!C$11*ResCalc!D66/ResCalc!D$75</f>
        <v>0</v>
      </c>
      <c r="E31" s="359">
        <f>USDemand!D$11*ResCalc!E66/ResCalc!E$75</f>
        <v>0</v>
      </c>
      <c r="F31" s="359">
        <f>USDemand!E$11*ResCalc!F66/ResCalc!F$75</f>
        <v>0</v>
      </c>
      <c r="G31" s="359">
        <f>USDemand!F$11*ResCalc!G66/ResCalc!G$75</f>
        <v>0</v>
      </c>
      <c r="H31" s="359">
        <f>USDemand!G$11*ResCalc!H66/ResCalc!H$75</f>
        <v>0</v>
      </c>
      <c r="I31" s="359">
        <f>USDemand!H$11*ResCalc!I66/ResCalc!I$75</f>
        <v>0</v>
      </c>
      <c r="J31" s="359">
        <f>USDemand!I$11*ResCalc!J66/ResCalc!J$75</f>
        <v>0</v>
      </c>
      <c r="K31" s="359">
        <f>USDemand!J$11*ResCalc!K66/ResCalc!K$75</f>
        <v>0</v>
      </c>
      <c r="L31" s="359">
        <f>USDemand!K$11*ResCalc!L66/ResCalc!L$75</f>
        <v>0</v>
      </c>
      <c r="M31" s="359">
        <f>USDemand!L$11*ResCalc!M66/ResCalc!M$75</f>
        <v>0</v>
      </c>
      <c r="N31" s="359">
        <f>USDemand!M$11*ResCalc!N66/ResCalc!N$75</f>
        <v>0</v>
      </c>
      <c r="P31" s="359">
        <v>0</v>
      </c>
      <c r="Q31" s="359">
        <v>0</v>
      </c>
      <c r="R31" s="359">
        <v>0</v>
      </c>
      <c r="S31" s="359">
        <v>0</v>
      </c>
      <c r="T31" s="359">
        <v>0</v>
      </c>
      <c r="U31" s="359">
        <v>0</v>
      </c>
      <c r="V31" s="359">
        <v>0</v>
      </c>
      <c r="W31" s="359">
        <v>0</v>
      </c>
      <c r="X31" s="359">
        <v>0</v>
      </c>
      <c r="Y31" s="359">
        <v>0</v>
      </c>
      <c r="Z31" s="359">
        <v>0</v>
      </c>
    </row>
    <row r="32" spans="1:26" s="356" customFormat="1" hidden="1">
      <c r="B32" s="356" t="s">
        <v>1108</v>
      </c>
      <c r="C32" s="356" t="s">
        <v>1109</v>
      </c>
      <c r="D32" s="359">
        <f>USDemand!C$11*ResCalc!D67/ResCalc!D$75</f>
        <v>52.671675369676898</v>
      </c>
      <c r="E32" s="359">
        <f>USDemand!D$11*ResCalc!E67/ResCalc!E$75</f>
        <v>58.611465970764392</v>
      </c>
      <c r="F32" s="359">
        <f>USDemand!E$11*ResCalc!F67/ResCalc!F$75</f>
        <v>65.191962130316668</v>
      </c>
      <c r="G32" s="359">
        <f>USDemand!F$11*ResCalc!G67/ResCalc!G$75</f>
        <v>71.752959619339819</v>
      </c>
      <c r="H32" s="359">
        <f>USDemand!G$11*ResCalc!H67/ResCalc!H$75</f>
        <v>78.085430669334244</v>
      </c>
      <c r="I32" s="359">
        <f>USDemand!H$11*ResCalc!I67/ResCalc!I$75</f>
        <v>84.686724122731661</v>
      </c>
      <c r="J32" s="359">
        <f>USDemand!I$11*ResCalc!J67/ResCalc!J$75</f>
        <v>91.367017346774361</v>
      </c>
      <c r="K32" s="359">
        <f>USDemand!J$11*ResCalc!K67/ResCalc!K$75</f>
        <v>95.651076585407651</v>
      </c>
      <c r="L32" s="359">
        <f>USDemand!K$11*ResCalc!L67/ResCalc!L$75</f>
        <v>99.175114784425745</v>
      </c>
      <c r="M32" s="359">
        <f>USDemand!L$11*ResCalc!M67/ResCalc!M$75</f>
        <v>103.52558003608026</v>
      </c>
      <c r="N32" s="359">
        <f>USDemand!M$11*ResCalc!N67/ResCalc!N$75</f>
        <v>108.06302504100174</v>
      </c>
      <c r="P32" s="359">
        <v>52.671675369676898</v>
      </c>
      <c r="Q32" s="359">
        <v>58.611465970764392</v>
      </c>
      <c r="R32" s="359">
        <v>65.191962130316668</v>
      </c>
      <c r="S32" s="359">
        <v>71.752959619339819</v>
      </c>
      <c r="T32" s="359">
        <v>78.085430669334244</v>
      </c>
      <c r="U32" s="359">
        <v>84.686724122731661</v>
      </c>
      <c r="V32" s="359">
        <v>91.367017346774361</v>
      </c>
      <c r="W32" s="359">
        <v>95.651076585407651</v>
      </c>
      <c r="X32" s="359">
        <v>99.175114784425745</v>
      </c>
      <c r="Y32" s="359">
        <v>103.52558003608026</v>
      </c>
      <c r="Z32" s="359">
        <v>108.06302504100174</v>
      </c>
    </row>
    <row r="33" spans="1:27" s="356" customFormat="1" hidden="1">
      <c r="B33" s="356" t="s">
        <v>1110</v>
      </c>
      <c r="C33" s="356" t="s">
        <v>1111</v>
      </c>
      <c r="D33" s="359">
        <f>USDemand!C$11*ResCalc!D68/ResCalc!D$75</f>
        <v>28.586631630598191</v>
      </c>
      <c r="E33" s="359">
        <f>USDemand!D$11*ResCalc!E68/ResCalc!E$75</f>
        <v>31.800250932301807</v>
      </c>
      <c r="F33" s="359">
        <f>USDemand!E$11*ResCalc!F68/ResCalc!F$75</f>
        <v>35.985129385697313</v>
      </c>
      <c r="G33" s="359">
        <f>USDemand!F$11*ResCalc!G68/ResCalc!G$75</f>
        <v>39.196980327280009</v>
      </c>
      <c r="H33" s="359">
        <f>USDemand!G$11*ResCalc!H68/ResCalc!H$75</f>
        <v>42.8665152942487</v>
      </c>
      <c r="I33" s="359">
        <f>USDemand!H$11*ResCalc!I68/ResCalc!I$75</f>
        <v>46.709711031801703</v>
      </c>
      <c r="J33" s="359">
        <f>USDemand!I$11*ResCalc!J68/ResCalc!J$75</f>
        <v>50.598892048117357</v>
      </c>
      <c r="K33" s="359">
        <f>USDemand!J$11*ResCalc!K68/ResCalc!K$75</f>
        <v>53.179072334206566</v>
      </c>
      <c r="L33" s="359">
        <f>USDemand!K$11*ResCalc!L68/ResCalc!L$75</f>
        <v>55.44728824735197</v>
      </c>
      <c r="M33" s="359">
        <f>USDemand!L$11*ResCalc!M68/ResCalc!M$75</f>
        <v>58.089341144803555</v>
      </c>
      <c r="N33" s="359">
        <f>USDemand!M$11*ResCalc!N68/ResCalc!N$75</f>
        <v>60.846869655728774</v>
      </c>
      <c r="P33" s="359">
        <v>28.586631630598191</v>
      </c>
      <c r="Q33" s="359">
        <v>31.800250932301807</v>
      </c>
      <c r="R33" s="359">
        <v>35.985129385697313</v>
      </c>
      <c r="S33" s="359">
        <v>39.196980327280009</v>
      </c>
      <c r="T33" s="359">
        <v>42.8665152942487</v>
      </c>
      <c r="U33" s="359">
        <v>46.709711031801703</v>
      </c>
      <c r="V33" s="359">
        <v>50.598892048117357</v>
      </c>
      <c r="W33" s="359">
        <v>53.179072334206566</v>
      </c>
      <c r="X33" s="359">
        <v>55.44728824735197</v>
      </c>
      <c r="Y33" s="359">
        <v>58.089341144803555</v>
      </c>
      <c r="Z33" s="359">
        <v>60.846869655728774</v>
      </c>
    </row>
    <row r="34" spans="1:27" s="356" customFormat="1" hidden="1">
      <c r="B34" s="356" t="s">
        <v>1112</v>
      </c>
      <c r="C34" s="356" t="s">
        <v>1113</v>
      </c>
      <c r="D34" s="359">
        <f>USDemand!C$11*ResCalc!D69/ResCalc!D$75</f>
        <v>33.483803463644648</v>
      </c>
      <c r="E34" s="359">
        <f>USDemand!D$11*ResCalc!E69/ResCalc!E$75</f>
        <v>36.409550263778897</v>
      </c>
      <c r="F34" s="359">
        <f>USDemand!E$11*ResCalc!F69/ResCalc!F$75</f>
        <v>40.659890045311379</v>
      </c>
      <c r="G34" s="359">
        <f>USDemand!F$11*ResCalc!G69/ResCalc!G$75</f>
        <v>44.384988075348041</v>
      </c>
      <c r="H34" s="359">
        <f>USDemand!G$11*ResCalc!H69/ResCalc!H$75</f>
        <v>47.91395639029578</v>
      </c>
      <c r="I34" s="359">
        <f>USDemand!H$11*ResCalc!I69/ResCalc!I$75</f>
        <v>51.559716787805208</v>
      </c>
      <c r="J34" s="359">
        <f>USDemand!I$11*ResCalc!J69/ResCalc!J$75</f>
        <v>55.009926672852799</v>
      </c>
      <c r="K34" s="359">
        <f>USDemand!J$11*ResCalc!K69/ResCalc!K$75</f>
        <v>56.963056906796297</v>
      </c>
      <c r="L34" s="359">
        <f>USDemand!K$11*ResCalc!L69/ResCalc!L$75</f>
        <v>59.103336418893782</v>
      </c>
      <c r="M34" s="359">
        <f>USDemand!L$11*ResCalc!M69/ResCalc!M$75</f>
        <v>61.332936345997993</v>
      </c>
      <c r="N34" s="359">
        <f>USDemand!M$11*ResCalc!N69/ResCalc!N$75</f>
        <v>63.655036150608538</v>
      </c>
      <c r="P34" s="359">
        <v>33.483803463644648</v>
      </c>
      <c r="Q34" s="359">
        <v>36.409550263778897</v>
      </c>
      <c r="R34" s="359">
        <v>40.659890045311379</v>
      </c>
      <c r="S34" s="359">
        <v>44.384988075348041</v>
      </c>
      <c r="T34" s="359">
        <v>47.91395639029578</v>
      </c>
      <c r="U34" s="359">
        <v>51.559716787805208</v>
      </c>
      <c r="V34" s="359">
        <v>55.009926672852799</v>
      </c>
      <c r="W34" s="359">
        <v>56.963056906796297</v>
      </c>
      <c r="X34" s="359">
        <v>59.103336418893782</v>
      </c>
      <c r="Y34" s="359">
        <v>61.332936345997993</v>
      </c>
      <c r="Z34" s="359">
        <v>63.655036150608538</v>
      </c>
    </row>
    <row r="35" spans="1:27" s="356" customFormat="1" hidden="1">
      <c r="B35" s="356" t="s">
        <v>1114</v>
      </c>
      <c r="C35" s="356" t="s">
        <v>1115</v>
      </c>
      <c r="D35" s="359">
        <f>USDemand!C$11*ResCalc!D70/ResCalc!D$75</f>
        <v>9.7985288537942274</v>
      </c>
      <c r="E35" s="359">
        <f>USDemand!D$11*ResCalc!E70/ResCalc!E$75</f>
        <v>10.761421939298469</v>
      </c>
      <c r="F35" s="359">
        <f>USDemand!E$11*ResCalc!F70/ResCalc!F$75</f>
        <v>11.733210642950018</v>
      </c>
      <c r="G35" s="359">
        <f>USDemand!F$11*ResCalc!G70/ResCalc!G$75</f>
        <v>13.198205232097651</v>
      </c>
      <c r="H35" s="359">
        <f>USDemand!G$11*ResCalc!H70/ResCalc!H$75</f>
        <v>14.235485088730856</v>
      </c>
      <c r="I35" s="359">
        <f>USDemand!H$11*ResCalc!I70/ResCalc!I$75</f>
        <v>15.305952974505734</v>
      </c>
      <c r="J35" s="359">
        <f>USDemand!I$11*ResCalc!J70/ResCalc!J$75</f>
        <v>16.312828952860833</v>
      </c>
      <c r="K35" s="359">
        <f>USDemand!J$11*ResCalc!K70/ResCalc!K$75</f>
        <v>16.874209991687113</v>
      </c>
      <c r="L35" s="359">
        <f>USDemand!K$11*ResCalc!L70/ResCalc!L$75</f>
        <v>18.037434212452055</v>
      </c>
      <c r="M35" s="359">
        <f>USDemand!L$11*ResCalc!M70/ResCalc!M$75</f>
        <v>18.863377757609523</v>
      </c>
      <c r="N35" s="359">
        <f>USDemand!M$11*ResCalc!N70/ResCalc!N$75</f>
        <v>19.725137735061651</v>
      </c>
      <c r="P35" s="359">
        <v>9.7985288537942274</v>
      </c>
      <c r="Q35" s="359">
        <v>10.761421939298469</v>
      </c>
      <c r="R35" s="359">
        <v>11.733210642950018</v>
      </c>
      <c r="S35" s="359">
        <v>13.198205232097651</v>
      </c>
      <c r="T35" s="359">
        <v>14.235485088730856</v>
      </c>
      <c r="U35" s="359">
        <v>15.305952974505734</v>
      </c>
      <c r="V35" s="359">
        <v>16.312828952860833</v>
      </c>
      <c r="W35" s="359">
        <v>16.874209991687113</v>
      </c>
      <c r="X35" s="359">
        <v>18.037434212452055</v>
      </c>
      <c r="Y35" s="359">
        <v>18.863377757609523</v>
      </c>
      <c r="Z35" s="359">
        <v>19.725137735061651</v>
      </c>
      <c r="AA35" s="357">
        <v>219.39124102032494</v>
      </c>
    </row>
    <row r="36" spans="1:27" s="356" customFormat="1" hidden="1">
      <c r="B36" s="356" t="s">
        <v>1116</v>
      </c>
      <c r="C36" s="356" t="s">
        <v>1117</v>
      </c>
      <c r="D36" s="359">
        <f>USDemand!C$11*ResCalc!D71/ResCalc!D$75</f>
        <v>47.180437068369237</v>
      </c>
      <c r="E36" s="359">
        <f>USDemand!D$11*ResCalc!E71/ResCalc!E$75</f>
        <v>51.657075259243989</v>
      </c>
      <c r="F36" s="359">
        <f>USDemand!E$11*ResCalc!F71/ResCalc!F$75</f>
        <v>57.834320937496656</v>
      </c>
      <c r="G36" s="359">
        <f>USDemand!F$11*ResCalc!G71/ResCalc!G$75</f>
        <v>63.133318268992404</v>
      </c>
      <c r="H36" s="359">
        <f>USDemand!G$11*ResCalc!H71/ResCalc!H$75</f>
        <v>67.987874546845461</v>
      </c>
      <c r="I36" s="359">
        <f>USDemand!H$11*ResCalc!I71/ResCalc!I$75</f>
        <v>72.987509746058876</v>
      </c>
      <c r="J36" s="359">
        <f>USDemand!I$11*ResCalc!J71/ResCalc!J$75</f>
        <v>78.165727194638805</v>
      </c>
      <c r="K36" s="359">
        <f>USDemand!J$11*ResCalc!K71/ResCalc!K$75</f>
        <v>81.242894983394692</v>
      </c>
      <c r="L36" s="359">
        <f>USDemand!K$11*ResCalc!L71/ResCalc!L$75</f>
        <v>85.13538569448977</v>
      </c>
      <c r="M36" s="359">
        <f>USDemand!L$11*ResCalc!M71/ResCalc!M$75</f>
        <v>88.630652843898076</v>
      </c>
      <c r="N36" s="359">
        <f>USDemand!M$11*ResCalc!N71/ResCalc!N$75</f>
        <v>92.273951055928876</v>
      </c>
      <c r="P36" s="359">
        <v>47.180437068369237</v>
      </c>
      <c r="Q36" s="359">
        <v>51.657075259243989</v>
      </c>
      <c r="R36" s="359">
        <v>57.834320937496656</v>
      </c>
      <c r="S36" s="359">
        <v>63.133318268992404</v>
      </c>
      <c r="T36" s="359">
        <v>67.987874546845461</v>
      </c>
      <c r="U36" s="359">
        <v>72.987509746058876</v>
      </c>
      <c r="V36" s="359">
        <v>78.165727194638805</v>
      </c>
      <c r="W36" s="359">
        <v>81.242894983394692</v>
      </c>
      <c r="X36" s="359">
        <v>85.13538569448977</v>
      </c>
      <c r="Y36" s="359">
        <v>88.630652843898076</v>
      </c>
      <c r="Z36" s="359">
        <v>92.273951055928876</v>
      </c>
      <c r="AA36" s="357">
        <v>208.35668199718791</v>
      </c>
    </row>
    <row r="37" spans="1:27" s="356" customFormat="1" hidden="1">
      <c r="B37" s="356" t="s">
        <v>1118</v>
      </c>
      <c r="C37" s="356" t="s">
        <v>1094</v>
      </c>
      <c r="D37" s="359">
        <f>USDemand!C$11*ResCalc!D72/ResCalc!D$75</f>
        <v>0</v>
      </c>
      <c r="E37" s="359">
        <f>USDemand!D$11*ResCalc!E72/ResCalc!E$75</f>
        <v>0</v>
      </c>
      <c r="F37" s="359">
        <f>USDemand!E$11*ResCalc!F72/ResCalc!F$75</f>
        <v>0</v>
      </c>
      <c r="G37" s="359">
        <f>USDemand!F$11*ResCalc!G72/ResCalc!G$75</f>
        <v>0</v>
      </c>
      <c r="H37" s="359">
        <f>USDemand!G$11*ResCalc!H72/ResCalc!H$75</f>
        <v>0</v>
      </c>
      <c r="I37" s="359">
        <f>USDemand!H$11*ResCalc!I72/ResCalc!I$75</f>
        <v>0</v>
      </c>
      <c r="J37" s="359">
        <f>USDemand!I$11*ResCalc!J72/ResCalc!J$75</f>
        <v>0</v>
      </c>
      <c r="K37" s="359">
        <f>USDemand!J$11*ResCalc!K72/ResCalc!K$75</f>
        <v>0</v>
      </c>
      <c r="L37" s="359">
        <f>USDemand!K$11*ResCalc!L72/ResCalc!L$75</f>
        <v>0</v>
      </c>
      <c r="M37" s="359">
        <f>USDemand!L$11*ResCalc!M72/ResCalc!M$75</f>
        <v>0</v>
      </c>
      <c r="N37" s="359">
        <f>USDemand!M$11*ResCalc!N72/ResCalc!N$75</f>
        <v>0</v>
      </c>
      <c r="P37" s="359">
        <v>0</v>
      </c>
      <c r="Q37" s="359">
        <v>0</v>
      </c>
      <c r="R37" s="359">
        <v>0</v>
      </c>
      <c r="S37" s="359">
        <v>0</v>
      </c>
      <c r="T37" s="359">
        <v>0</v>
      </c>
      <c r="U37" s="359">
        <v>0</v>
      </c>
      <c r="V37" s="359">
        <v>0</v>
      </c>
      <c r="W37" s="359">
        <v>0</v>
      </c>
      <c r="X37" s="359">
        <v>0</v>
      </c>
      <c r="Y37" s="359">
        <v>0</v>
      </c>
      <c r="Z37" s="359">
        <v>0</v>
      </c>
      <c r="AA37" s="357"/>
    </row>
    <row r="38" spans="1:27" s="356" customFormat="1" hidden="1">
      <c r="B38" s="356" t="s">
        <v>1096</v>
      </c>
      <c r="C38" s="356" t="s">
        <v>1097</v>
      </c>
      <c r="D38" s="359">
        <f>USDemand!C$11*ResCalc!D73/ResCalc!D$75</f>
        <v>0</v>
      </c>
      <c r="E38" s="359">
        <f>USDemand!D$11*ResCalc!E73/ResCalc!E$75</f>
        <v>0</v>
      </c>
      <c r="F38" s="359">
        <f>USDemand!E$11*ResCalc!F73/ResCalc!F$75</f>
        <v>0</v>
      </c>
      <c r="G38" s="359">
        <f>USDemand!F$11*ResCalc!G73/ResCalc!G$75</f>
        <v>0</v>
      </c>
      <c r="H38" s="359">
        <f>USDemand!G$11*ResCalc!H73/ResCalc!H$75</f>
        <v>0</v>
      </c>
      <c r="I38" s="359">
        <f>USDemand!H$11*ResCalc!I73/ResCalc!I$75</f>
        <v>0</v>
      </c>
      <c r="J38" s="359">
        <f>USDemand!I$11*ResCalc!J73/ResCalc!J$75</f>
        <v>0</v>
      </c>
      <c r="K38" s="359">
        <f>USDemand!J$11*ResCalc!K73/ResCalc!K$75</f>
        <v>0</v>
      </c>
      <c r="L38" s="359">
        <f>USDemand!K$11*ResCalc!L73/ResCalc!L$75</f>
        <v>0</v>
      </c>
      <c r="M38" s="359">
        <f>USDemand!L$11*ResCalc!M73/ResCalc!M$75</f>
        <v>0</v>
      </c>
      <c r="N38" s="359">
        <f>USDemand!M$11*ResCalc!N73/ResCalc!N$75</f>
        <v>0</v>
      </c>
      <c r="P38" s="359">
        <v>0</v>
      </c>
      <c r="Q38" s="359">
        <v>0</v>
      </c>
      <c r="R38" s="359">
        <v>0</v>
      </c>
      <c r="S38" s="359">
        <v>0</v>
      </c>
      <c r="T38" s="359">
        <v>0</v>
      </c>
      <c r="U38" s="359">
        <v>0</v>
      </c>
      <c r="V38" s="359">
        <v>0</v>
      </c>
      <c r="W38" s="359">
        <v>0</v>
      </c>
      <c r="X38" s="359">
        <v>0</v>
      </c>
      <c r="Y38" s="359">
        <v>0</v>
      </c>
      <c r="Z38" s="359">
        <v>0</v>
      </c>
    </row>
    <row r="39" spans="1:27" s="356" customFormat="1" hidden="1">
      <c r="B39" s="356" t="s">
        <v>1099</v>
      </c>
      <c r="C39" s="356" t="s">
        <v>1100</v>
      </c>
      <c r="D39" s="359">
        <f>USDemand!C$11*ResCalc!D74/ResCalc!D$75</f>
        <v>0</v>
      </c>
      <c r="E39" s="359">
        <f>USDemand!D$11*ResCalc!E74/ResCalc!E$75</f>
        <v>0</v>
      </c>
      <c r="F39" s="359">
        <f>USDemand!E$11*ResCalc!F74/ResCalc!F$75</f>
        <v>0</v>
      </c>
      <c r="G39" s="359">
        <f>USDemand!F$11*ResCalc!G74/ResCalc!G$75</f>
        <v>0</v>
      </c>
      <c r="H39" s="359">
        <f>USDemand!G$11*ResCalc!H74/ResCalc!H$75</f>
        <v>0</v>
      </c>
      <c r="I39" s="359">
        <f>USDemand!H$11*ResCalc!I74/ResCalc!I$75</f>
        <v>0</v>
      </c>
      <c r="J39" s="359">
        <f>USDemand!I$11*ResCalc!J74/ResCalc!J$75</f>
        <v>0</v>
      </c>
      <c r="K39" s="359">
        <f>USDemand!J$11*ResCalc!K74/ResCalc!K$75</f>
        <v>0</v>
      </c>
      <c r="L39" s="359">
        <f>USDemand!K$11*ResCalc!L74/ResCalc!L$75</f>
        <v>0</v>
      </c>
      <c r="M39" s="359">
        <f>USDemand!L$11*ResCalc!M74/ResCalc!M$75</f>
        <v>0</v>
      </c>
      <c r="N39" s="359">
        <f>USDemand!M$11*ResCalc!N74/ResCalc!N$75</f>
        <v>0</v>
      </c>
      <c r="P39" s="359">
        <v>0</v>
      </c>
      <c r="Q39" s="359">
        <v>0</v>
      </c>
      <c r="R39" s="359">
        <v>0</v>
      </c>
      <c r="S39" s="359">
        <v>0</v>
      </c>
      <c r="T39" s="359">
        <v>0</v>
      </c>
      <c r="U39" s="359">
        <v>0</v>
      </c>
      <c r="V39" s="359">
        <v>0</v>
      </c>
      <c r="W39" s="359">
        <v>0</v>
      </c>
      <c r="X39" s="359">
        <v>0</v>
      </c>
      <c r="Y39" s="359">
        <v>0</v>
      </c>
      <c r="Z39" s="359">
        <v>0</v>
      </c>
    </row>
    <row r="40" spans="1:27" s="356" customFormat="1" hidden="1">
      <c r="C40" s="360" t="s">
        <v>1119</v>
      </c>
      <c r="D40" s="359">
        <f t="shared" ref="D40:N40" si="2">SUM(D31:D39)</f>
        <v>171.72107638608321</v>
      </c>
      <c r="E40" s="359">
        <f t="shared" si="2"/>
        <v>189.23976436538754</v>
      </c>
      <c r="F40" s="359">
        <f t="shared" si="2"/>
        <v>211.40451314177204</v>
      </c>
      <c r="G40" s="359">
        <f t="shared" si="2"/>
        <v>231.66645152305793</v>
      </c>
      <c r="H40" s="359">
        <f t="shared" si="2"/>
        <v>251.08926198945503</v>
      </c>
      <c r="I40" s="359">
        <f t="shared" si="2"/>
        <v>271.24961466290318</v>
      </c>
      <c r="J40" s="359">
        <f t="shared" si="2"/>
        <v>291.45439221524418</v>
      </c>
      <c r="K40" s="359">
        <f t="shared" si="2"/>
        <v>303.9103108014923</v>
      </c>
      <c r="L40" s="359">
        <f t="shared" si="2"/>
        <v>316.89855935761329</v>
      </c>
      <c r="M40" s="359">
        <f t="shared" si="2"/>
        <v>330.44188812838945</v>
      </c>
      <c r="N40" s="359">
        <f t="shared" si="2"/>
        <v>344.56401963832957</v>
      </c>
      <c r="P40" s="359">
        <v>171.72107638608321</v>
      </c>
      <c r="Q40" s="359">
        <v>189.23976436538754</v>
      </c>
      <c r="R40" s="359">
        <v>211.40451314177204</v>
      </c>
      <c r="S40" s="359">
        <v>231.66645152305793</v>
      </c>
      <c r="T40" s="359">
        <v>251.08926198945503</v>
      </c>
      <c r="U40" s="359">
        <v>271.24961466290318</v>
      </c>
      <c r="V40" s="359">
        <v>291.45439221524418</v>
      </c>
      <c r="W40" s="359">
        <v>303.9103108014923</v>
      </c>
      <c r="X40" s="359">
        <v>316.89855935761329</v>
      </c>
      <c r="Y40" s="359">
        <v>330.44188812838945</v>
      </c>
      <c r="Z40" s="359">
        <v>344.56401963832957</v>
      </c>
    </row>
    <row r="41" spans="1:27" s="356" customFormat="1" hidden="1">
      <c r="C41" s="356" t="s">
        <v>1120</v>
      </c>
      <c r="D41" s="359">
        <f>USDemand!C254</f>
        <v>137.59495544433599</v>
      </c>
      <c r="E41" s="359">
        <f>USDemand!D254</f>
        <v>142.74478099999999</v>
      </c>
      <c r="F41" s="359">
        <f>USDemand!E254</f>
        <v>146.25145000000001</v>
      </c>
      <c r="G41" s="359">
        <f>USDemand!F254</f>
        <v>154.08332799999999</v>
      </c>
      <c r="H41" s="359">
        <f>USDemand!G254</f>
        <v>161.34394800000001</v>
      </c>
      <c r="I41" s="359">
        <f>USDemand!H254</f>
        <v>168.56379699999999</v>
      </c>
      <c r="J41" s="359">
        <f>USDemand!I254</f>
        <v>175.27842699999999</v>
      </c>
      <c r="K41" s="359"/>
      <c r="L41" s="359"/>
      <c r="M41" s="359"/>
      <c r="N41" s="359"/>
      <c r="P41" s="359">
        <v>137.59495544433599</v>
      </c>
      <c r="Q41" s="359">
        <v>142.74478099999999</v>
      </c>
      <c r="R41" s="359">
        <v>146.25145000000001</v>
      </c>
      <c r="S41" s="359">
        <v>154.08332799999999</v>
      </c>
      <c r="T41" s="359">
        <v>161.34394800000001</v>
      </c>
      <c r="U41" s="359">
        <v>168.56379699999999</v>
      </c>
      <c r="V41" s="359">
        <v>175.27842699999999</v>
      </c>
      <c r="W41" s="359"/>
      <c r="X41" s="359"/>
      <c r="Y41" s="359"/>
      <c r="Z41" s="359"/>
    </row>
    <row r="42" spans="1:27" s="356" customFormat="1" hidden="1">
      <c r="A42" s="361" t="s">
        <v>1121</v>
      </c>
      <c r="B42" s="361"/>
      <c r="I42" s="362" t="s">
        <v>1122</v>
      </c>
      <c r="U42" s="362" t="s">
        <v>1122</v>
      </c>
    </row>
    <row r="43" spans="1:27" s="356" customFormat="1" hidden="1">
      <c r="B43" s="356" t="s">
        <v>1092</v>
      </c>
      <c r="C43" s="356" t="s">
        <v>1093</v>
      </c>
      <c r="D43" s="359">
        <f>USDemand!C$5*ResCalc!D66/ResCalc!D$75</f>
        <v>0</v>
      </c>
      <c r="E43" s="359">
        <f>USDemand!D$5*ResCalc!E66/ResCalc!E$75</f>
        <v>0</v>
      </c>
      <c r="F43" s="359">
        <f>USDemand!E$5*ResCalc!F66/ResCalc!F$75</f>
        <v>0</v>
      </c>
      <c r="G43" s="359">
        <f>USDemand!F$5*ResCalc!G66/ResCalc!G$75</f>
        <v>0</v>
      </c>
      <c r="H43" s="359">
        <f>USDemand!G$5*ResCalc!H66/ResCalc!H$75</f>
        <v>0</v>
      </c>
      <c r="I43" s="359">
        <f>USDemand!H$5*ResCalc!I66/ResCalc!I$75</f>
        <v>0</v>
      </c>
      <c r="J43" s="359">
        <f>USDemand!I$5*ResCalc!J66/ResCalc!J$75</f>
        <v>0</v>
      </c>
      <c r="K43" s="359">
        <f>USDemand!J$5*ResCalc!K66/ResCalc!K$75</f>
        <v>0</v>
      </c>
      <c r="L43" s="359">
        <f>USDemand!K$5*ResCalc!L66/ResCalc!L$75</f>
        <v>0</v>
      </c>
      <c r="M43" s="359">
        <f>USDemand!L$5*ResCalc!M66/ResCalc!M$75</f>
        <v>0</v>
      </c>
      <c r="N43" s="359">
        <f>USDemand!M$5*ResCalc!N66/ResCalc!N$75</f>
        <v>0</v>
      </c>
      <c r="P43" s="359">
        <v>0</v>
      </c>
      <c r="Q43" s="359">
        <v>0</v>
      </c>
      <c r="R43" s="359">
        <v>0</v>
      </c>
      <c r="S43" s="359">
        <v>0</v>
      </c>
      <c r="T43" s="359">
        <v>0</v>
      </c>
      <c r="U43" s="359">
        <v>0</v>
      </c>
      <c r="V43" s="359">
        <v>0</v>
      </c>
      <c r="W43" s="359">
        <v>0</v>
      </c>
      <c r="X43" s="359">
        <v>0</v>
      </c>
      <c r="Y43" s="359">
        <v>0</v>
      </c>
      <c r="Z43" s="359">
        <v>0</v>
      </c>
    </row>
    <row r="44" spans="1:27" s="356" customFormat="1" hidden="1">
      <c r="B44" s="356" t="s">
        <v>1108</v>
      </c>
      <c r="C44" s="356" t="s">
        <v>1109</v>
      </c>
      <c r="D44" s="359">
        <f>USDemand!C$5*ResCalc!D67/ResCalc!D$75</f>
        <v>15.597742107893986</v>
      </c>
      <c r="E44" s="359">
        <f>USDemand!D$5*ResCalc!E67/ResCalc!E$75</f>
        <v>15.764636975504233</v>
      </c>
      <c r="F44" s="359">
        <f>USDemand!E$5*ResCalc!F67/ResCalc!F$75</f>
        <v>16.613027567780392</v>
      </c>
      <c r="G44" s="359">
        <f>USDemand!F$5*ResCalc!G67/ResCalc!G$75</f>
        <v>17.403036464150716</v>
      </c>
      <c r="H44" s="359">
        <f>USDemand!G$5*ResCalc!H67/ResCalc!H$75</f>
        <v>17.234363492041609</v>
      </c>
      <c r="I44" s="359">
        <f>USDemand!H$5*ResCalc!I67/ResCalc!I$75</f>
        <v>17.144148275511569</v>
      </c>
      <c r="J44" s="359">
        <f>USDemand!I$5*ResCalc!J67/ResCalc!J$75</f>
        <v>17.172290886993004</v>
      </c>
      <c r="K44" s="359">
        <f>USDemand!J$5*ResCalc!K67/ResCalc!K$75</f>
        <v>17.468234850748996</v>
      </c>
      <c r="L44" s="359">
        <f>USDemand!K$5*ResCalc!L67/ResCalc!L$75</f>
        <v>17.598767030405302</v>
      </c>
      <c r="M44" s="359">
        <f>USDemand!L$5*ResCalc!M67/ResCalc!M$75</f>
        <v>17.850384432342413</v>
      </c>
      <c r="N44" s="359">
        <f>USDemand!M$5*ResCalc!N67/ResCalc!N$75</f>
        <v>18.104952624228726</v>
      </c>
      <c r="P44" s="359">
        <v>15.597742107893986</v>
      </c>
      <c r="Q44" s="359">
        <v>15.764636975504233</v>
      </c>
      <c r="R44" s="359">
        <v>16.613027567780392</v>
      </c>
      <c r="S44" s="359">
        <v>17.403036464150716</v>
      </c>
      <c r="T44" s="359">
        <v>17.234363492041609</v>
      </c>
      <c r="U44" s="359">
        <v>17.144148275511569</v>
      </c>
      <c r="V44" s="359">
        <v>17.172290886993004</v>
      </c>
      <c r="W44" s="359">
        <v>17.468234850748996</v>
      </c>
      <c r="X44" s="359">
        <v>17.598767030405302</v>
      </c>
      <c r="Y44" s="359">
        <v>17.850384432342413</v>
      </c>
      <c r="Z44" s="359">
        <v>18.104952624228726</v>
      </c>
    </row>
    <row r="45" spans="1:27" s="356" customFormat="1" hidden="1">
      <c r="B45" s="356" t="s">
        <v>1110</v>
      </c>
      <c r="C45" s="356" t="s">
        <v>1111</v>
      </c>
      <c r="D45" s="359">
        <f>USDemand!C$5*ResCalc!D68/ResCalc!D$75</f>
        <v>8.4654020358754867</v>
      </c>
      <c r="E45" s="359">
        <f>USDemand!D$5*ResCalc!E68/ResCalc!E$75</f>
        <v>8.5532651909395678</v>
      </c>
      <c r="F45" s="359">
        <f>USDemand!E$5*ResCalc!F68/ResCalc!F$75</f>
        <v>9.1701787609906074</v>
      </c>
      <c r="G45" s="359">
        <f>USDemand!F$5*ResCalc!G68/ResCalc!G$75</f>
        <v>9.5068758353542702</v>
      </c>
      <c r="H45" s="359">
        <f>USDemand!G$5*ResCalc!H68/ResCalc!H$75</f>
        <v>9.461138907547527</v>
      </c>
      <c r="I45" s="359">
        <f>USDemand!H$5*ResCalc!I68/ResCalc!I$75</f>
        <v>9.4560064771776435</v>
      </c>
      <c r="J45" s="359">
        <f>USDemand!I$5*ResCalc!J68/ResCalc!J$75</f>
        <v>9.5099842157702241</v>
      </c>
      <c r="K45" s="359">
        <f>USDemand!J$5*ResCalc!K68/ResCalc!K$75</f>
        <v>9.7118041724227364</v>
      </c>
      <c r="L45" s="359">
        <f>USDemand!K$5*ResCalc!L68/ResCalc!L$75</f>
        <v>9.8392011993528374</v>
      </c>
      <c r="M45" s="359">
        <f>USDemand!L$5*ResCalc!M68/ResCalc!M$75</f>
        <v>10.016046956654069</v>
      </c>
      <c r="N45" s="359">
        <f>USDemand!M$5*ResCalc!N68/ResCalc!N$75</f>
        <v>10.194325876326383</v>
      </c>
      <c r="P45" s="359">
        <v>8.4654020358754867</v>
      </c>
      <c r="Q45" s="359">
        <v>8.5532651909395678</v>
      </c>
      <c r="R45" s="359">
        <v>9.1701787609906074</v>
      </c>
      <c r="S45" s="359">
        <v>9.5068758353542702</v>
      </c>
      <c r="T45" s="359">
        <v>9.461138907547527</v>
      </c>
      <c r="U45" s="359">
        <v>9.4560064771776435</v>
      </c>
      <c r="V45" s="359">
        <v>9.5099842157702241</v>
      </c>
      <c r="W45" s="359">
        <v>9.7118041724227364</v>
      </c>
      <c r="X45" s="359">
        <v>9.8392011993528374</v>
      </c>
      <c r="Y45" s="359">
        <v>10.016046956654069</v>
      </c>
      <c r="Z45" s="359">
        <v>10.194325876326383</v>
      </c>
    </row>
    <row r="46" spans="1:27" s="356" customFormat="1" hidden="1">
      <c r="B46" s="356" t="s">
        <v>1112</v>
      </c>
      <c r="C46" s="356" t="s">
        <v>1113</v>
      </c>
      <c r="D46" s="359">
        <f>USDemand!C$5*ResCalc!D69/ResCalc!D$75</f>
        <v>9.9156088647601415</v>
      </c>
      <c r="E46" s="359">
        <f>USDemand!D$5*ResCalc!E69/ResCalc!E$75</f>
        <v>9.793021430928782</v>
      </c>
      <c r="F46" s="359">
        <f>USDemand!E$5*ResCalc!F69/ResCalc!F$75</f>
        <v>10.361459482925312</v>
      </c>
      <c r="G46" s="359">
        <f>USDemand!F$5*ResCalc!G69/ResCalc!G$75</f>
        <v>10.765180558879415</v>
      </c>
      <c r="H46" s="359">
        <f>USDemand!G$5*ResCalc!H69/ResCalc!H$75</f>
        <v>10.575167911527991</v>
      </c>
      <c r="I46" s="359">
        <f>USDemand!H$5*ResCalc!I69/ResCalc!I$75</f>
        <v>10.437851254849114</v>
      </c>
      <c r="J46" s="359">
        <f>USDemand!I$5*ResCalc!J69/ResCalc!J$75</f>
        <v>10.339031413415549</v>
      </c>
      <c r="K46" s="359">
        <f>USDemand!J$5*ResCalc!K69/ResCalc!K$75</f>
        <v>10.402852653477602</v>
      </c>
      <c r="L46" s="359">
        <f>USDemand!K$5*ResCalc!L69/ResCalc!L$75</f>
        <v>10.487972215779308</v>
      </c>
      <c r="M46" s="359">
        <f>USDemand!L$5*ResCalc!M69/ResCalc!M$75</f>
        <v>10.57532342981213</v>
      </c>
      <c r="N46" s="359">
        <f>USDemand!M$5*ResCalc!N69/ResCalc!N$75</f>
        <v>10.664807998508822</v>
      </c>
      <c r="P46" s="359">
        <v>9.9156088647601415</v>
      </c>
      <c r="Q46" s="359">
        <v>9.793021430928782</v>
      </c>
      <c r="R46" s="359">
        <v>10.361459482925312</v>
      </c>
      <c r="S46" s="359">
        <v>10.765180558879415</v>
      </c>
      <c r="T46" s="359">
        <v>10.575167911527991</v>
      </c>
      <c r="U46" s="359">
        <v>10.437851254849114</v>
      </c>
      <c r="V46" s="359">
        <v>10.339031413415549</v>
      </c>
      <c r="W46" s="359">
        <v>10.402852653477602</v>
      </c>
      <c r="X46" s="359">
        <v>10.487972215779308</v>
      </c>
      <c r="Y46" s="359">
        <v>10.57532342981213</v>
      </c>
      <c r="Z46" s="359">
        <v>10.664807998508822</v>
      </c>
    </row>
    <row r="47" spans="1:27" s="356" customFormat="1" hidden="1">
      <c r="B47" s="356" t="s">
        <v>1114</v>
      </c>
      <c r="C47" s="356" t="s">
        <v>1115</v>
      </c>
      <c r="D47" s="359">
        <f>USDemand!C$5*ResCalc!D70/ResCalc!D$75</f>
        <v>2.9016530236710016</v>
      </c>
      <c r="E47" s="359">
        <f>USDemand!D$5*ResCalc!E70/ResCalc!E$75</f>
        <v>2.8944833131778194</v>
      </c>
      <c r="F47" s="359">
        <f>USDemand!E$5*ResCalc!F70/ResCalc!F$75</f>
        <v>2.9900028393110145</v>
      </c>
      <c r="G47" s="359">
        <f>USDemand!F$5*ResCalc!G70/ResCalc!G$75</f>
        <v>3.2011062419456131</v>
      </c>
      <c r="H47" s="359">
        <f>USDemand!G$5*ResCalc!H70/ResCalc!H$75</f>
        <v>3.1419372653991857</v>
      </c>
      <c r="I47" s="359">
        <f>USDemand!H$5*ResCalc!I70/ResCalc!I$75</f>
        <v>3.0985674556574101</v>
      </c>
      <c r="J47" s="359">
        <f>USDemand!I$5*ResCalc!J70/ResCalc!J$75</f>
        <v>3.0659712016765033</v>
      </c>
      <c r="K47" s="359">
        <f>USDemand!J$5*ResCalc!K70/ResCalc!K$75</f>
        <v>3.0816450120396679</v>
      </c>
      <c r="L47" s="359">
        <f>USDemand!K$5*ResCalc!L70/ResCalc!L$75</f>
        <v>3.2007686930457218</v>
      </c>
      <c r="M47" s="359">
        <f>USDemand!L$5*ResCalc!M70/ResCalc!M$75</f>
        <v>3.2525154126011713</v>
      </c>
      <c r="N47" s="359">
        <f>USDemand!M$5*ResCalc!N70/ResCalc!N$75</f>
        <v>3.3047629757188131</v>
      </c>
      <c r="P47" s="359">
        <v>2.9016530236710016</v>
      </c>
      <c r="Q47" s="359">
        <v>2.8944833131778194</v>
      </c>
      <c r="R47" s="359">
        <v>2.9900028393110145</v>
      </c>
      <c r="S47" s="359">
        <v>3.2011062419456131</v>
      </c>
      <c r="T47" s="359">
        <v>3.1419372653991857</v>
      </c>
      <c r="U47" s="359">
        <v>3.0985674556574101</v>
      </c>
      <c r="V47" s="359">
        <v>3.0659712016765033</v>
      </c>
      <c r="W47" s="359">
        <v>3.0816450120396679</v>
      </c>
      <c r="X47" s="359">
        <v>3.2007686930457218</v>
      </c>
      <c r="Y47" s="359">
        <v>3.2525154126011713</v>
      </c>
      <c r="Z47" s="359">
        <v>3.3047629757188131</v>
      </c>
    </row>
    <row r="48" spans="1:27" s="356" customFormat="1" hidden="1">
      <c r="B48" s="356" t="s">
        <v>1116</v>
      </c>
      <c r="C48" s="356" t="s">
        <v>1117</v>
      </c>
      <c r="D48" s="359">
        <f>USDemand!C$5*ResCalc!D71/ResCalc!D$75</f>
        <v>13.971613486094045</v>
      </c>
      <c r="E48" s="359">
        <f>USDemand!D$5*ResCalc!E71/ResCalc!E$75</f>
        <v>13.894125069051949</v>
      </c>
      <c r="F48" s="359">
        <f>USDemand!E$5*ResCalc!F71/ResCalc!F$75</f>
        <v>14.738061820840359</v>
      </c>
      <c r="G48" s="359">
        <f>USDemand!F$5*ResCalc!G71/ResCalc!G$75</f>
        <v>15.312419804938166</v>
      </c>
      <c r="H48" s="359">
        <f>USDemand!G$5*ResCalc!H71/ResCalc!H$75</f>
        <v>15.005715316517039</v>
      </c>
      <c r="I48" s="359">
        <f>USDemand!H$5*ResCalc!I71/ResCalc!I$75</f>
        <v>14.775736129943207</v>
      </c>
      <c r="J48" s="359">
        <f>USDemand!I$5*ResCalc!J71/ResCalc!J$75</f>
        <v>14.691128634364524</v>
      </c>
      <c r="K48" s="359">
        <f>USDemand!J$5*ResCalc!K71/ResCalc!K$75</f>
        <v>14.83694716449414</v>
      </c>
      <c r="L48" s="359">
        <f>USDemand!K$5*ResCalc!L71/ResCalc!L$75</f>
        <v>15.107396872066055</v>
      </c>
      <c r="M48" s="359">
        <f>USDemand!L$5*ResCalc!M71/ResCalc!M$75</f>
        <v>15.282128583116171</v>
      </c>
      <c r="N48" s="359">
        <f>USDemand!M$5*ResCalc!N71/ResCalc!N$75</f>
        <v>15.459640443011107</v>
      </c>
      <c r="P48" s="359">
        <v>13.971613486094045</v>
      </c>
      <c r="Q48" s="359">
        <v>13.894125069051949</v>
      </c>
      <c r="R48" s="359">
        <v>14.738061820840359</v>
      </c>
      <c r="S48" s="359">
        <v>15.312419804938166</v>
      </c>
      <c r="T48" s="359">
        <v>15.005715316517039</v>
      </c>
      <c r="U48" s="359">
        <v>14.775736129943207</v>
      </c>
      <c r="V48" s="359">
        <v>14.691128634364524</v>
      </c>
      <c r="W48" s="359">
        <v>14.83694716449414</v>
      </c>
      <c r="X48" s="359">
        <v>15.107396872066055</v>
      </c>
      <c r="Y48" s="359">
        <v>15.282128583116171</v>
      </c>
      <c r="Z48" s="359">
        <v>15.459640443011107</v>
      </c>
    </row>
    <row r="49" spans="1:26" s="356" customFormat="1" hidden="1">
      <c r="B49" s="356" t="s">
        <v>1118</v>
      </c>
      <c r="C49" s="356" t="s">
        <v>1094</v>
      </c>
      <c r="D49" s="359">
        <f>USDemand!C$5*ResCalc!D72/ResCalc!D$75</f>
        <v>0</v>
      </c>
      <c r="E49" s="359">
        <f>USDemand!D$5*ResCalc!E72/ResCalc!E$75</f>
        <v>0</v>
      </c>
      <c r="F49" s="359">
        <f>USDemand!E$5*ResCalc!F72/ResCalc!F$75</f>
        <v>0</v>
      </c>
      <c r="G49" s="359">
        <f>USDemand!F$5*ResCalc!G72/ResCalc!G$75</f>
        <v>0</v>
      </c>
      <c r="H49" s="359">
        <f>USDemand!G$5*ResCalc!H72/ResCalc!H$75</f>
        <v>0</v>
      </c>
      <c r="I49" s="359">
        <f>USDemand!H$5*ResCalc!I72/ResCalc!I$75</f>
        <v>0</v>
      </c>
      <c r="J49" s="359">
        <f>USDemand!I$5*ResCalc!J72/ResCalc!J$75</f>
        <v>0</v>
      </c>
      <c r="K49" s="359">
        <f>USDemand!J$5*ResCalc!K72/ResCalc!K$75</f>
        <v>0</v>
      </c>
      <c r="L49" s="359">
        <f>USDemand!K$5*ResCalc!L72/ResCalc!L$75</f>
        <v>0</v>
      </c>
      <c r="M49" s="359">
        <f>USDemand!L$5*ResCalc!M72/ResCalc!M$75</f>
        <v>0</v>
      </c>
      <c r="N49" s="359">
        <f>USDemand!M$5*ResCalc!N72/ResCalc!N$75</f>
        <v>0</v>
      </c>
      <c r="P49" s="359">
        <v>0</v>
      </c>
      <c r="Q49" s="359">
        <v>0</v>
      </c>
      <c r="R49" s="359">
        <v>0</v>
      </c>
      <c r="S49" s="359">
        <v>0</v>
      </c>
      <c r="T49" s="359">
        <v>0</v>
      </c>
      <c r="U49" s="359">
        <v>0</v>
      </c>
      <c r="V49" s="359">
        <v>0</v>
      </c>
      <c r="W49" s="359">
        <v>0</v>
      </c>
      <c r="X49" s="359">
        <v>0</v>
      </c>
      <c r="Y49" s="359">
        <v>0</v>
      </c>
      <c r="Z49" s="359">
        <v>0</v>
      </c>
    </row>
    <row r="50" spans="1:26" s="356" customFormat="1" hidden="1">
      <c r="B50" s="356" t="s">
        <v>1096</v>
      </c>
      <c r="C50" s="356" t="s">
        <v>1097</v>
      </c>
      <c r="D50" s="359">
        <f>USDemand!C$5*ResCalc!D73/ResCalc!D$75</f>
        <v>0</v>
      </c>
      <c r="E50" s="359">
        <f>USDemand!D$5*ResCalc!E73/ResCalc!E$75</f>
        <v>0</v>
      </c>
      <c r="F50" s="359">
        <f>USDemand!E$5*ResCalc!F73/ResCalc!F$75</f>
        <v>0</v>
      </c>
      <c r="G50" s="359">
        <f>USDemand!F$5*ResCalc!G73/ResCalc!G$75</f>
        <v>0</v>
      </c>
      <c r="H50" s="359">
        <f>USDemand!G$5*ResCalc!H73/ResCalc!H$75</f>
        <v>0</v>
      </c>
      <c r="I50" s="359">
        <f>USDemand!H$5*ResCalc!I73/ResCalc!I$75</f>
        <v>0</v>
      </c>
      <c r="J50" s="359">
        <f>USDemand!I$5*ResCalc!J73/ResCalc!J$75</f>
        <v>0</v>
      </c>
      <c r="K50" s="359">
        <f>USDemand!J$5*ResCalc!K73/ResCalc!K$75</f>
        <v>0</v>
      </c>
      <c r="L50" s="359">
        <f>USDemand!K$5*ResCalc!L73/ResCalc!L$75</f>
        <v>0</v>
      </c>
      <c r="M50" s="359">
        <f>USDemand!L$5*ResCalc!M73/ResCalc!M$75</f>
        <v>0</v>
      </c>
      <c r="N50" s="359">
        <f>USDemand!M$5*ResCalc!N73/ResCalc!N$75</f>
        <v>0</v>
      </c>
      <c r="P50" s="359">
        <v>0</v>
      </c>
      <c r="Q50" s="359">
        <v>0</v>
      </c>
      <c r="R50" s="359">
        <v>0</v>
      </c>
      <c r="S50" s="359">
        <v>0</v>
      </c>
      <c r="T50" s="359">
        <v>0</v>
      </c>
      <c r="U50" s="359">
        <v>0</v>
      </c>
      <c r="V50" s="359">
        <v>0</v>
      </c>
      <c r="W50" s="359">
        <v>0</v>
      </c>
      <c r="X50" s="359">
        <v>0</v>
      </c>
      <c r="Y50" s="359">
        <v>0</v>
      </c>
      <c r="Z50" s="359">
        <v>0</v>
      </c>
    </row>
    <row r="51" spans="1:26" s="356" customFormat="1" hidden="1">
      <c r="B51" s="356" t="s">
        <v>1099</v>
      </c>
      <c r="C51" s="356" t="s">
        <v>1100</v>
      </c>
      <c r="D51" s="359">
        <f>USDemand!C$5*ResCalc!D74/ResCalc!D$75</f>
        <v>0</v>
      </c>
      <c r="E51" s="359">
        <f>USDemand!D$5*ResCalc!E74/ResCalc!E$75</f>
        <v>0</v>
      </c>
      <c r="F51" s="359">
        <f>USDemand!E$5*ResCalc!F74/ResCalc!F$75</f>
        <v>0</v>
      </c>
      <c r="G51" s="359">
        <f>USDemand!F$5*ResCalc!G74/ResCalc!G$75</f>
        <v>0</v>
      </c>
      <c r="H51" s="359">
        <f>USDemand!G$5*ResCalc!H74/ResCalc!H$75</f>
        <v>0</v>
      </c>
      <c r="I51" s="359">
        <f>USDemand!H$5*ResCalc!I74/ResCalc!I$75</f>
        <v>0</v>
      </c>
      <c r="J51" s="359">
        <f>USDemand!I$5*ResCalc!J74/ResCalc!J$75</f>
        <v>0</v>
      </c>
      <c r="K51" s="359">
        <f>USDemand!J$5*ResCalc!K74/ResCalc!K$75</f>
        <v>0</v>
      </c>
      <c r="L51" s="359">
        <f>USDemand!K$5*ResCalc!L74/ResCalc!L$75</f>
        <v>0</v>
      </c>
      <c r="M51" s="359">
        <f>USDemand!L$5*ResCalc!M74/ResCalc!M$75</f>
        <v>0</v>
      </c>
      <c r="N51" s="359">
        <f>USDemand!M$5*ResCalc!N74/ResCalc!N$75</f>
        <v>0</v>
      </c>
      <c r="P51" s="359">
        <v>0</v>
      </c>
      <c r="Q51" s="359">
        <v>0</v>
      </c>
      <c r="R51" s="359">
        <v>0</v>
      </c>
      <c r="S51" s="359">
        <v>0</v>
      </c>
      <c r="T51" s="359">
        <v>0</v>
      </c>
      <c r="U51" s="359">
        <v>0</v>
      </c>
      <c r="V51" s="359">
        <v>0</v>
      </c>
      <c r="W51" s="359">
        <v>0</v>
      </c>
      <c r="X51" s="359">
        <v>0</v>
      </c>
      <c r="Y51" s="359">
        <v>0</v>
      </c>
      <c r="Z51" s="359">
        <v>0</v>
      </c>
    </row>
    <row r="52" spans="1:26" s="356" customFormat="1" hidden="1">
      <c r="C52" s="360" t="s">
        <v>1119</v>
      </c>
      <c r="D52" s="359">
        <f t="shared" ref="D52:J52" si="3">SUM(D43:D51)</f>
        <v>50.852019518294654</v>
      </c>
      <c r="E52" s="359">
        <f t="shared" si="3"/>
        <v>50.899531979602358</v>
      </c>
      <c r="F52" s="359">
        <f t="shared" si="3"/>
        <v>53.872730471847689</v>
      </c>
      <c r="G52" s="359">
        <f t="shared" si="3"/>
        <v>56.188618905268179</v>
      </c>
      <c r="H52" s="359">
        <f t="shared" si="3"/>
        <v>55.418322893033356</v>
      </c>
      <c r="I52" s="359">
        <f t="shared" si="3"/>
        <v>54.912309593138943</v>
      </c>
      <c r="J52" s="359">
        <f t="shared" si="3"/>
        <v>54.778406352219804</v>
      </c>
      <c r="K52" s="359">
        <f t="shared" ref="K52:N52" si="4">SUM(K43:K51)</f>
        <v>55.501483853183139</v>
      </c>
      <c r="L52" s="359">
        <f t="shared" si="4"/>
        <v>56.234106010649228</v>
      </c>
      <c r="M52" s="359">
        <f t="shared" si="4"/>
        <v>56.97639881452595</v>
      </c>
      <c r="N52" s="359">
        <f t="shared" si="4"/>
        <v>57.728489917793851</v>
      </c>
      <c r="P52" s="359">
        <v>50.852019518294654</v>
      </c>
      <c r="Q52" s="359">
        <v>50.899531979602358</v>
      </c>
      <c r="R52" s="359">
        <v>53.872730471847689</v>
      </c>
      <c r="S52" s="359">
        <v>56.188618905268179</v>
      </c>
      <c r="T52" s="359">
        <v>55.418322893033356</v>
      </c>
      <c r="U52" s="359">
        <v>54.912309593138943</v>
      </c>
      <c r="V52" s="359">
        <v>54.778406352219804</v>
      </c>
      <c r="W52" s="359">
        <v>55.501483853183139</v>
      </c>
      <c r="X52" s="359">
        <v>56.234106010649228</v>
      </c>
      <c r="Y52" s="359">
        <v>56.97639881452595</v>
      </c>
      <c r="Z52" s="359">
        <v>57.728489917793851</v>
      </c>
    </row>
    <row r="53" spans="1:26" s="356" customFormat="1" hidden="1">
      <c r="C53" s="356" t="s">
        <v>1120</v>
      </c>
      <c r="D53" s="359">
        <f>USDemand!C255</f>
        <v>38.425449371337898</v>
      </c>
      <c r="E53" s="359">
        <f>USDemand!D255</f>
        <v>38.009281000000001</v>
      </c>
      <c r="F53" s="359">
        <f>USDemand!E255</f>
        <v>38.799267</v>
      </c>
      <c r="G53" s="359">
        <f>USDemand!F255</f>
        <v>40.689968</v>
      </c>
      <c r="H53" s="359">
        <f>USDemand!G255</f>
        <v>42.401108000000001</v>
      </c>
      <c r="I53" s="359">
        <f>USDemand!H255</f>
        <v>44.059565999999997</v>
      </c>
      <c r="J53" s="359">
        <f>USDemand!I255</f>
        <v>45.560253000000003</v>
      </c>
      <c r="K53" s="359"/>
      <c r="L53" s="359"/>
      <c r="M53" s="359"/>
      <c r="N53" s="359"/>
      <c r="P53" s="359">
        <v>38.425449371337898</v>
      </c>
      <c r="Q53" s="359">
        <v>38.009281000000001</v>
      </c>
      <c r="R53" s="359">
        <v>38.799267</v>
      </c>
      <c r="S53" s="359">
        <v>40.689968</v>
      </c>
      <c r="T53" s="359">
        <v>42.401108000000001</v>
      </c>
      <c r="U53" s="359">
        <v>44.059565999999997</v>
      </c>
      <c r="V53" s="359">
        <v>45.560253000000003</v>
      </c>
      <c r="W53" s="359"/>
      <c r="X53" s="359"/>
      <c r="Y53" s="359"/>
      <c r="Z53" s="359"/>
    </row>
    <row r="54" spans="1:26">
      <c r="A54" s="177" t="s">
        <v>1123</v>
      </c>
      <c r="B54" s="177"/>
      <c r="C54" s="178"/>
      <c r="D54" s="178"/>
      <c r="E54" s="178"/>
      <c r="F54" s="178"/>
      <c r="G54" s="178"/>
      <c r="H54" s="178"/>
      <c r="I54" s="179" t="s">
        <v>1124</v>
      </c>
      <c r="J54" s="178"/>
      <c r="K54" s="178"/>
      <c r="L54" s="178"/>
      <c r="M54" s="178"/>
      <c r="N54" s="178"/>
      <c r="P54" s="178"/>
      <c r="Q54" s="178"/>
      <c r="R54" s="178"/>
      <c r="S54" s="178"/>
      <c r="T54" s="178"/>
      <c r="U54" s="179" t="s">
        <v>1124</v>
      </c>
      <c r="V54" s="178"/>
      <c r="W54" s="178"/>
      <c r="X54" s="178"/>
      <c r="Y54" s="178"/>
      <c r="Z54" s="178"/>
    </row>
    <row r="55" spans="1:26">
      <c r="C55" s="356" t="s">
        <v>1093</v>
      </c>
      <c r="D55" s="359">
        <f>USDemand!C$7*ResCalc!D66/ResCalc!D$75</f>
        <v>0</v>
      </c>
      <c r="E55" s="359">
        <f>USDemand!D$7*ResCalc!E66/ResCalc!E$75</f>
        <v>0</v>
      </c>
      <c r="F55" s="359">
        <f>USDemand!E$7*ResCalc!F66/ResCalc!F$75</f>
        <v>0</v>
      </c>
      <c r="G55" s="359">
        <f>USDemand!F$7*ResCalc!G66/ResCalc!G$75</f>
        <v>0</v>
      </c>
      <c r="H55" s="359">
        <f>USDemand!G$7*ResCalc!H66/ResCalc!H$75</f>
        <v>0</v>
      </c>
      <c r="I55" s="359">
        <f>USDemand!H$7*ResCalc!I66/ResCalc!I$75</f>
        <v>0</v>
      </c>
      <c r="J55" s="359">
        <f>USDemand!I$7*ResCalc!J66/ResCalc!J$75</f>
        <v>0</v>
      </c>
      <c r="K55" s="359">
        <f>USDemand!J$7*ResCalc!K66/ResCalc!K$75</f>
        <v>0</v>
      </c>
      <c r="L55" s="359">
        <f>USDemand!K$7*ResCalc!L66/ResCalc!L$75</f>
        <v>0</v>
      </c>
      <c r="M55" s="359">
        <f>USDemand!L$7*ResCalc!M66/ResCalc!M$75</f>
        <v>0</v>
      </c>
      <c r="N55" s="359">
        <f>USDemand!M$7*ResCalc!N66/ResCalc!N$75</f>
        <v>0</v>
      </c>
      <c r="P55" s="359">
        <v>0</v>
      </c>
      <c r="Q55" s="359">
        <v>0</v>
      </c>
      <c r="R55" s="359">
        <v>0</v>
      </c>
      <c r="S55" s="359">
        <v>0</v>
      </c>
      <c r="T55" s="359">
        <v>0</v>
      </c>
      <c r="U55" s="359">
        <v>0</v>
      </c>
      <c r="V55" s="359">
        <v>0</v>
      </c>
      <c r="W55" s="359">
        <v>0</v>
      </c>
      <c r="X55" s="359">
        <v>0</v>
      </c>
      <c r="Y55" s="359">
        <v>0</v>
      </c>
      <c r="Z55" s="359">
        <v>0</v>
      </c>
    </row>
    <row r="56" spans="1:26" ht="12.5">
      <c r="C56" s="651" t="s">
        <v>617</v>
      </c>
      <c r="D56" s="454" t="e">
        <f>'2010 Fuel Share'!Q49*DmdCalc!C$7*ResCalc!D67/ResCalc!D$75</f>
        <v>#REF!</v>
      </c>
      <c r="E56" s="454" t="e">
        <f>D56</f>
        <v>#REF!</v>
      </c>
      <c r="F56" s="454" t="e">
        <f>'2010 Fuel Share'!$Q$49*DmdCalc!E$7*ResCalc!F67/ResCalc!F$75</f>
        <v>#REF!</v>
      </c>
      <c r="G56" s="454" t="e">
        <f>'2010 Fuel Share'!$Q$49*DmdCalc!F$7*ResCalc!G67/ResCalc!G$75</f>
        <v>#REF!</v>
      </c>
      <c r="H56" s="454" t="e">
        <f>'2010 Fuel Share'!$Q$49*DmdCalc!G$7*ResCalc!H67/ResCalc!H$75</f>
        <v>#REF!</v>
      </c>
      <c r="I56" s="454" t="e">
        <f>'2010 Fuel Share'!$Q$49*DmdCalc!H$7*ResCalc!I67/ResCalc!I$75</f>
        <v>#REF!</v>
      </c>
      <c r="J56" s="454" t="e">
        <f>'2010 Fuel Share'!$Q$49*DmdCalc!I$7*ResCalc!J67/ResCalc!J$75</f>
        <v>#REF!</v>
      </c>
      <c r="K56" s="454" t="e">
        <f>'2010 Fuel Share'!$Q$49*DmdCalc!J$7*ResCalc!K67/ResCalc!K$75</f>
        <v>#REF!</v>
      </c>
      <c r="L56" s="454" t="e">
        <f>'2010 Fuel Share'!$Q$49*DmdCalc!K$7*ResCalc!L67/ResCalc!L$75</f>
        <v>#REF!</v>
      </c>
      <c r="M56" s="454" t="e">
        <f>'2010 Fuel Share'!$Q$49*DmdCalc!L$7*ResCalc!M67/ResCalc!M$75</f>
        <v>#REF!</v>
      </c>
      <c r="N56" s="454" t="e">
        <f>'2010 Fuel Share'!$Q$49*DmdCalc!M$7*ResCalc!N67/ResCalc!N$75</f>
        <v>#REF!</v>
      </c>
      <c r="P56" s="454">
        <v>7.0373898738647229</v>
      </c>
      <c r="Q56" s="454">
        <v>7.0373898738647229</v>
      </c>
      <c r="R56" s="454">
        <v>7.2078727775773865</v>
      </c>
      <c r="S56" s="454">
        <v>7.4575656851702865</v>
      </c>
      <c r="T56" s="454">
        <v>7.7889376764486933</v>
      </c>
      <c r="U56" s="454">
        <v>8.1118099132251391</v>
      </c>
      <c r="V56" s="454">
        <v>8.3818927734007396</v>
      </c>
      <c r="W56" s="454">
        <v>8.6559024592820784</v>
      </c>
      <c r="X56" s="454">
        <v>9.0126024289241737</v>
      </c>
      <c r="Y56" s="454">
        <v>9.3269118088431782</v>
      </c>
      <c r="Z56" s="454">
        <v>9.6492914396712326</v>
      </c>
    </row>
    <row r="57" spans="1:26" ht="12.5">
      <c r="C57" s="651" t="s">
        <v>618</v>
      </c>
      <c r="D57" s="454" t="e">
        <f>'2010 Fuel Share'!R49*DmdCalc!C$7*ResCalc!D68/ResCalc!D$75</f>
        <v>#REF!</v>
      </c>
      <c r="E57" s="454" t="e">
        <f t="shared" ref="E57:E60" si="5">D57</f>
        <v>#REF!</v>
      </c>
      <c r="F57" s="454" t="e">
        <f>'2010 Fuel Share'!$R$49*DmdCalc!E$7*ResCalc!F68/ResCalc!F$75</f>
        <v>#REF!</v>
      </c>
      <c r="G57" s="454" t="e">
        <f>'2010 Fuel Share'!$R$49*DmdCalc!F$7*ResCalc!G68/ResCalc!G$75</f>
        <v>#REF!</v>
      </c>
      <c r="H57" s="454" t="e">
        <f>'2010 Fuel Share'!$R$49*DmdCalc!G$7*ResCalc!H68/ResCalc!H$75</f>
        <v>#REF!</v>
      </c>
      <c r="I57" s="454" t="e">
        <f>'2010 Fuel Share'!$R$49*DmdCalc!H$7*ResCalc!I68/ResCalc!I$75</f>
        <v>#REF!</v>
      </c>
      <c r="J57" s="454" t="e">
        <f>'2010 Fuel Share'!$R$49*DmdCalc!I$7*ResCalc!J68/ResCalc!J$75</f>
        <v>#REF!</v>
      </c>
      <c r="K57" s="454" t="e">
        <f>'2010 Fuel Share'!$R$49*DmdCalc!J$7*ResCalc!K68/ResCalc!K$75</f>
        <v>#REF!</v>
      </c>
      <c r="L57" s="454" t="e">
        <f>'2010 Fuel Share'!$R$49*DmdCalc!K$7*ResCalc!L68/ResCalc!L$75</f>
        <v>#REF!</v>
      </c>
      <c r="M57" s="454" t="e">
        <f>'2010 Fuel Share'!$R$49*DmdCalc!L$7*ResCalc!M68/ResCalc!M$75</f>
        <v>#REF!</v>
      </c>
      <c r="N57" s="454" t="e">
        <f>'2010 Fuel Share'!$R$49*DmdCalc!M$7*ResCalc!N68/ResCalc!N$75</f>
        <v>#REF!</v>
      </c>
      <c r="P57" s="454">
        <v>4.0583317180482101</v>
      </c>
      <c r="Q57" s="454">
        <v>4.0583317180482101</v>
      </c>
      <c r="R57" s="454">
        <v>4.2275252117337958</v>
      </c>
      <c r="S57" s="454">
        <v>4.3287246043925318</v>
      </c>
      <c r="T57" s="454">
        <v>4.5433529565748367</v>
      </c>
      <c r="U57" s="454">
        <v>4.7540056082621502</v>
      </c>
      <c r="V57" s="454">
        <v>4.9322347430065969</v>
      </c>
      <c r="W57" s="454">
        <v>5.1134419051391378</v>
      </c>
      <c r="X57" s="454">
        <v>5.3539941275159038</v>
      </c>
      <c r="Y57" s="454">
        <v>5.5607929671534819</v>
      </c>
      <c r="Z57" s="454">
        <v>5.7730673088224673</v>
      </c>
    </row>
    <row r="58" spans="1:26" ht="12.5">
      <c r="C58" s="651" t="s">
        <v>619</v>
      </c>
      <c r="D58" s="454" t="e">
        <f>'2010 Fuel Share'!S49*DmdCalc!C$7*ResCalc!D69/ResCalc!D$75</f>
        <v>#REF!</v>
      </c>
      <c r="E58" s="454" t="e">
        <f t="shared" si="5"/>
        <v>#REF!</v>
      </c>
      <c r="F58" s="454" t="e">
        <f>'2010 Fuel Share'!$S$49*DmdCalc!E$7*ResCalc!F69/ResCalc!F$75</f>
        <v>#REF!</v>
      </c>
      <c r="G58" s="454" t="e">
        <f>'2010 Fuel Share'!$S$49*DmdCalc!F$7*ResCalc!G69/ResCalc!G$75</f>
        <v>#REF!</v>
      </c>
      <c r="H58" s="454" t="e">
        <f>'2010 Fuel Share'!$S$49*DmdCalc!G$7*ResCalc!H69/ResCalc!H$75</f>
        <v>#REF!</v>
      </c>
      <c r="I58" s="454" t="e">
        <f>'2010 Fuel Share'!$S$49*DmdCalc!H$7*ResCalc!I69/ResCalc!I$75</f>
        <v>#REF!</v>
      </c>
      <c r="J58" s="454" t="e">
        <f>'2010 Fuel Share'!$S$49*DmdCalc!I$7*ResCalc!J69/ResCalc!J$75</f>
        <v>#REF!</v>
      </c>
      <c r="K58" s="454" t="e">
        <f>'2010 Fuel Share'!$S$49*DmdCalc!J$7*ResCalc!K69/ResCalc!K$75</f>
        <v>#REF!</v>
      </c>
      <c r="L58" s="454" t="e">
        <f>'2010 Fuel Share'!$S$49*DmdCalc!K$7*ResCalc!L69/ResCalc!L$75</f>
        <v>#REF!</v>
      </c>
      <c r="M58" s="454" t="e">
        <f>'2010 Fuel Share'!$S$49*DmdCalc!L$7*ResCalc!M69/ResCalc!M$75</f>
        <v>#REF!</v>
      </c>
      <c r="N58" s="454" t="e">
        <f>'2010 Fuel Share'!$S$49*DmdCalc!M$7*ResCalc!N69/ResCalc!N$75</f>
        <v>#REF!</v>
      </c>
      <c r="P58" s="454">
        <v>6.7984073565547369</v>
      </c>
      <c r="Q58" s="454">
        <v>6.7984073565547369</v>
      </c>
      <c r="R58" s="454">
        <v>6.8315174216611183</v>
      </c>
      <c r="S58" s="454">
        <v>7.0102143231943916</v>
      </c>
      <c r="T58" s="454">
        <v>7.2628683577545514</v>
      </c>
      <c r="U58" s="454">
        <v>7.5050030822335696</v>
      </c>
      <c r="V58" s="454">
        <v>7.6688746546596471</v>
      </c>
      <c r="W58" s="454">
        <v>7.8334612460708888</v>
      </c>
      <c r="X58" s="454">
        <v>8.1620155875228413</v>
      </c>
      <c r="Y58" s="454">
        <v>8.3969559598327308</v>
      </c>
      <c r="Z58" s="454">
        <v>8.6375185371285159</v>
      </c>
    </row>
    <row r="59" spans="1:26" ht="12.5">
      <c r="C59" s="651" t="s">
        <v>621</v>
      </c>
      <c r="D59" s="454" t="e">
        <f>'2010 Fuel Share'!U49*DmdCalc!C$7*ResCalc!D70/ResCalc!D$75</f>
        <v>#REF!</v>
      </c>
      <c r="E59" s="454" t="e">
        <f t="shared" si="5"/>
        <v>#REF!</v>
      </c>
      <c r="F59" s="454" t="e">
        <f>'2010 Fuel Share'!$U$49*DmdCalc!E$7*ResCalc!F70/ResCalc!F$75</f>
        <v>#REF!</v>
      </c>
      <c r="G59" s="454" t="e">
        <f>'2010 Fuel Share'!$U$49*DmdCalc!F$7*ResCalc!G70/ResCalc!G$75</f>
        <v>#REF!</v>
      </c>
      <c r="H59" s="454" t="e">
        <f>'2010 Fuel Share'!$U$49*DmdCalc!G$7*ResCalc!H70/ResCalc!H$75</f>
        <v>#REF!</v>
      </c>
      <c r="I59" s="454" t="e">
        <f>'2010 Fuel Share'!$U$49*DmdCalc!H$7*ResCalc!I70/ResCalc!I$75</f>
        <v>#REF!</v>
      </c>
      <c r="J59" s="454" t="e">
        <f>'2010 Fuel Share'!$U$49*DmdCalc!I$7*ResCalc!J70/ResCalc!J$75</f>
        <v>#REF!</v>
      </c>
      <c r="K59" s="454" t="e">
        <f>'2010 Fuel Share'!$U$49*DmdCalc!J$7*ResCalc!K70/ResCalc!K$75</f>
        <v>#REF!</v>
      </c>
      <c r="L59" s="454" t="e">
        <f>'2010 Fuel Share'!$U$49*DmdCalc!K$7*ResCalc!L70/ResCalc!L$75</f>
        <v>#REF!</v>
      </c>
      <c r="M59" s="454" t="e">
        <f>'2010 Fuel Share'!$U$49*DmdCalc!L$7*ResCalc!M70/ResCalc!M$75</f>
        <v>#REF!</v>
      </c>
      <c r="N59" s="454" t="e">
        <f>'2010 Fuel Share'!$U$49*DmdCalc!M$7*ResCalc!N70/ResCalc!N$75</f>
        <v>#REF!</v>
      </c>
      <c r="P59" s="454">
        <v>1.3693955181622228</v>
      </c>
      <c r="Q59" s="454">
        <v>1.3693955181622228</v>
      </c>
      <c r="R59" s="454">
        <v>1.3569488415844047</v>
      </c>
      <c r="S59" s="454">
        <v>1.4348473250713472</v>
      </c>
      <c r="T59" s="454">
        <v>1.4852995064571926</v>
      </c>
      <c r="U59" s="454">
        <v>1.533544395752497</v>
      </c>
      <c r="V59" s="454">
        <v>1.5653645075436484</v>
      </c>
      <c r="W59" s="454">
        <v>1.5972742406338576</v>
      </c>
      <c r="X59" s="454">
        <v>1.7145723228982914</v>
      </c>
      <c r="Y59" s="454">
        <v>1.7776375147282997</v>
      </c>
      <c r="Z59" s="454">
        <v>1.8423489641631696</v>
      </c>
    </row>
    <row r="60" spans="1:26" ht="12.5">
      <c r="C60" s="651" t="s">
        <v>620</v>
      </c>
      <c r="D60" s="454" t="e">
        <f>'2010 Fuel Share'!T49*DmdCalc!C$7*ResCalc!D71/ResCalc!D$75</f>
        <v>#REF!</v>
      </c>
      <c r="E60" s="454" t="e">
        <f t="shared" si="5"/>
        <v>#REF!</v>
      </c>
      <c r="F60" s="454" t="e">
        <f>'2010 Fuel Share'!$T$49*DmdCalc!E$7*ResCalc!F71/ResCalc!F$75</f>
        <v>#REF!</v>
      </c>
      <c r="G60" s="454" t="e">
        <f>'2010 Fuel Share'!$T$49*DmdCalc!F$7*ResCalc!G71/ResCalc!G$75</f>
        <v>#REF!</v>
      </c>
      <c r="H60" s="454" t="e">
        <f>'2010 Fuel Share'!$T$49*DmdCalc!G$7*ResCalc!H71/ResCalc!H$75</f>
        <v>#REF!</v>
      </c>
      <c r="I60" s="454" t="e">
        <f>'2010 Fuel Share'!$T$49*DmdCalc!H$7*ResCalc!I71/ResCalc!I$75</f>
        <v>#REF!</v>
      </c>
      <c r="J60" s="454" t="e">
        <f>'2010 Fuel Share'!$T$49*DmdCalc!I$7*ResCalc!J71/ResCalc!J$75</f>
        <v>#REF!</v>
      </c>
      <c r="K60" s="454" t="e">
        <f>'2010 Fuel Share'!$T$49*DmdCalc!J$7*ResCalc!K71/ResCalc!K$75</f>
        <v>#REF!</v>
      </c>
      <c r="L60" s="454" t="e">
        <f>'2010 Fuel Share'!$T$49*DmdCalc!K$7*ResCalc!L71/ResCalc!L$75</f>
        <v>#REF!</v>
      </c>
      <c r="M60" s="454" t="e">
        <f>'2010 Fuel Share'!$T$49*DmdCalc!L$7*ResCalc!M71/ResCalc!M$75</f>
        <v>#REF!</v>
      </c>
      <c r="N60" s="454" t="e">
        <f>'2010 Fuel Share'!$T$49*DmdCalc!M$7*ResCalc!N71/ResCalc!N$75</f>
        <v>#REF!</v>
      </c>
      <c r="P60" s="454">
        <v>3.5974889070422789</v>
      </c>
      <c r="Q60" s="454">
        <v>3.5974889070422789</v>
      </c>
      <c r="R60" s="454">
        <v>3.6492341058194362</v>
      </c>
      <c r="S60" s="454">
        <v>3.7447161935359281</v>
      </c>
      <c r="T60" s="454">
        <v>3.8702828695973963</v>
      </c>
      <c r="U60" s="454">
        <v>3.9898264229660656</v>
      </c>
      <c r="V60" s="454">
        <v>4.0923432176379482</v>
      </c>
      <c r="W60" s="454">
        <v>4.1957625889468613</v>
      </c>
      <c r="X60" s="454">
        <v>4.4153042373082441</v>
      </c>
      <c r="Y60" s="454">
        <v>4.5569805040039606</v>
      </c>
      <c r="Z60" s="454">
        <v>4.7021929324010783</v>
      </c>
    </row>
    <row r="61" spans="1:26">
      <c r="C61" s="356" t="s">
        <v>1094</v>
      </c>
      <c r="D61" s="359">
        <f>USDemand!C$7*ResCalc!D72/ResCalc!D$75</f>
        <v>0</v>
      </c>
      <c r="E61" s="359">
        <f>USDemand!D$7*ResCalc!E72/ResCalc!E$75</f>
        <v>0</v>
      </c>
      <c r="F61" s="359">
        <f>USDemand!E$7*ResCalc!F72/ResCalc!F$75</f>
        <v>0</v>
      </c>
      <c r="G61" s="359">
        <f>USDemand!F$7*ResCalc!G72/ResCalc!G$75</f>
        <v>0</v>
      </c>
      <c r="H61" s="359">
        <f>USDemand!G$7*ResCalc!H72/ResCalc!H$75</f>
        <v>0</v>
      </c>
      <c r="I61" s="359">
        <f>USDemand!H$7*ResCalc!I72/ResCalc!I$75</f>
        <v>0</v>
      </c>
      <c r="J61" s="359">
        <f>USDemand!I$7*ResCalc!J72/ResCalc!J$75</f>
        <v>0</v>
      </c>
      <c r="K61" s="359">
        <f>USDemand!J$7*ResCalc!K72/ResCalc!K$75</f>
        <v>0</v>
      </c>
      <c r="L61" s="359">
        <f>USDemand!K$7*ResCalc!L72/ResCalc!L$75</f>
        <v>0</v>
      </c>
      <c r="M61" s="359">
        <f>USDemand!L$7*ResCalc!M72/ResCalc!M$75</f>
        <v>0</v>
      </c>
      <c r="N61" s="359">
        <f>USDemand!M$7*ResCalc!N72/ResCalc!N$75</f>
        <v>0</v>
      </c>
      <c r="P61" s="359">
        <v>0</v>
      </c>
      <c r="Q61" s="359">
        <v>0</v>
      </c>
      <c r="R61" s="359">
        <v>0</v>
      </c>
      <c r="S61" s="359">
        <v>0</v>
      </c>
      <c r="T61" s="359">
        <v>0</v>
      </c>
      <c r="U61" s="359">
        <v>0</v>
      </c>
      <c r="V61" s="359">
        <v>0</v>
      </c>
      <c r="W61" s="359">
        <v>0</v>
      </c>
      <c r="X61" s="359">
        <v>0</v>
      </c>
      <c r="Y61" s="359">
        <v>0</v>
      </c>
      <c r="Z61" s="359">
        <v>0</v>
      </c>
    </row>
    <row r="62" spans="1:26">
      <c r="C62" s="356" t="s">
        <v>1097</v>
      </c>
      <c r="D62" s="359">
        <f>USDemand!C$7*ResCalc!D73/ResCalc!D$75</f>
        <v>0</v>
      </c>
      <c r="E62" s="359">
        <f>USDemand!D$7*ResCalc!E73/ResCalc!E$75</f>
        <v>0</v>
      </c>
      <c r="F62" s="359">
        <f>USDemand!E$7*ResCalc!F73/ResCalc!F$75</f>
        <v>0</v>
      </c>
      <c r="G62" s="359">
        <f>USDemand!F$7*ResCalc!G73/ResCalc!G$75</f>
        <v>0</v>
      </c>
      <c r="H62" s="359">
        <f>USDemand!G$7*ResCalc!H73/ResCalc!H$75</f>
        <v>0</v>
      </c>
      <c r="I62" s="359">
        <f>USDemand!H$7*ResCalc!I73/ResCalc!I$75</f>
        <v>0</v>
      </c>
      <c r="J62" s="359">
        <f>USDemand!I$7*ResCalc!J73/ResCalc!J$75</f>
        <v>0</v>
      </c>
      <c r="K62" s="359">
        <f>USDemand!J$7*ResCalc!K73/ResCalc!K$75</f>
        <v>0</v>
      </c>
      <c r="L62" s="359">
        <f>USDemand!K$7*ResCalc!L73/ResCalc!L$75</f>
        <v>0</v>
      </c>
      <c r="M62" s="359">
        <f>USDemand!L$7*ResCalc!M73/ResCalc!M$75</f>
        <v>0</v>
      </c>
      <c r="N62" s="359">
        <f>USDemand!M$7*ResCalc!N73/ResCalc!N$75</f>
        <v>0</v>
      </c>
      <c r="P62" s="359">
        <v>0</v>
      </c>
      <c r="Q62" s="359">
        <v>0</v>
      </c>
      <c r="R62" s="359">
        <v>0</v>
      </c>
      <c r="S62" s="359">
        <v>0</v>
      </c>
      <c r="T62" s="359">
        <v>0</v>
      </c>
      <c r="U62" s="359">
        <v>0</v>
      </c>
      <c r="V62" s="359">
        <v>0</v>
      </c>
      <c r="W62" s="359">
        <v>0</v>
      </c>
      <c r="X62" s="359">
        <v>0</v>
      </c>
      <c r="Y62" s="359">
        <v>0</v>
      </c>
      <c r="Z62" s="359">
        <v>0</v>
      </c>
    </row>
    <row r="63" spans="1:26">
      <c r="C63" s="356" t="s">
        <v>1100</v>
      </c>
      <c r="D63" s="359">
        <f>USDemand!C$7*ResCalc!D74/ResCalc!D$75</f>
        <v>0</v>
      </c>
      <c r="E63" s="359">
        <f>USDemand!D$7*ResCalc!E74/ResCalc!E$75</f>
        <v>0</v>
      </c>
      <c r="F63" s="359">
        <f>USDemand!E$7*ResCalc!F74/ResCalc!F$75</f>
        <v>0</v>
      </c>
      <c r="G63" s="359">
        <f>USDemand!F$7*ResCalc!G74/ResCalc!G$75</f>
        <v>0</v>
      </c>
      <c r="H63" s="359">
        <f>USDemand!G$7*ResCalc!H74/ResCalc!H$75</f>
        <v>0</v>
      </c>
      <c r="I63" s="359">
        <f>USDemand!H$7*ResCalc!I74/ResCalc!I$75</f>
        <v>0</v>
      </c>
      <c r="J63" s="359">
        <f>USDemand!I$7*ResCalc!J74/ResCalc!J$75</f>
        <v>0</v>
      </c>
      <c r="K63" s="359">
        <f>USDemand!J$7*ResCalc!K74/ResCalc!K$75</f>
        <v>0</v>
      </c>
      <c r="L63" s="359">
        <f>USDemand!K$7*ResCalc!L74/ResCalc!L$75</f>
        <v>0</v>
      </c>
      <c r="M63" s="359">
        <f>USDemand!L$7*ResCalc!M74/ResCalc!M$75</f>
        <v>0</v>
      </c>
      <c r="N63" s="359">
        <f>USDemand!M$7*ResCalc!N74/ResCalc!N$75</f>
        <v>0</v>
      </c>
      <c r="P63" s="359">
        <v>0</v>
      </c>
      <c r="Q63" s="359">
        <v>0</v>
      </c>
      <c r="R63" s="359">
        <v>0</v>
      </c>
      <c r="S63" s="359">
        <v>0</v>
      </c>
      <c r="T63" s="359">
        <v>0</v>
      </c>
      <c r="U63" s="359">
        <v>0</v>
      </c>
      <c r="V63" s="359">
        <v>0</v>
      </c>
      <c r="W63" s="359">
        <v>0</v>
      </c>
      <c r="X63" s="359">
        <v>0</v>
      </c>
      <c r="Y63" s="359">
        <v>0</v>
      </c>
      <c r="Z63" s="359">
        <v>0</v>
      </c>
    </row>
    <row r="64" spans="1:26">
      <c r="C64" s="74" t="s">
        <v>1101</v>
      </c>
      <c r="D64" s="70" t="e">
        <f>SUM(D55:D60)</f>
        <v>#REF!</v>
      </c>
      <c r="E64" s="70" t="e">
        <f>SUM(E56:E60)</f>
        <v>#REF!</v>
      </c>
      <c r="F64" s="70" t="e">
        <f t="shared" ref="F64:N64" si="6">SUM(F55:F60)</f>
        <v>#REF!</v>
      </c>
      <c r="G64" s="70" t="e">
        <f t="shared" si="6"/>
        <v>#REF!</v>
      </c>
      <c r="H64" s="70" t="e">
        <f t="shared" si="6"/>
        <v>#REF!</v>
      </c>
      <c r="I64" s="70" t="e">
        <f t="shared" si="6"/>
        <v>#REF!</v>
      </c>
      <c r="J64" s="70" t="e">
        <f t="shared" si="6"/>
        <v>#REF!</v>
      </c>
      <c r="K64" s="70" t="e">
        <f t="shared" si="6"/>
        <v>#REF!</v>
      </c>
      <c r="L64" s="70" t="e">
        <f t="shared" si="6"/>
        <v>#REF!</v>
      </c>
      <c r="M64" s="70" t="e">
        <f t="shared" si="6"/>
        <v>#REF!</v>
      </c>
      <c r="N64" s="70" t="e">
        <f t="shared" si="6"/>
        <v>#REF!</v>
      </c>
      <c r="P64" s="70">
        <v>22.861013373672172</v>
      </c>
      <c r="Q64" s="70">
        <v>22.861013373672172</v>
      </c>
      <c r="R64" s="70">
        <v>23.273098358376142</v>
      </c>
      <c r="S64" s="70">
        <v>23.976068131364485</v>
      </c>
      <c r="T64" s="70">
        <v>24.95074136683267</v>
      </c>
      <c r="U64" s="70">
        <v>25.894189422439418</v>
      </c>
      <c r="V64" s="70">
        <v>26.64070989624858</v>
      </c>
      <c r="W64" s="70">
        <v>27.395842440072826</v>
      </c>
      <c r="X64" s="70">
        <v>28.658488704169454</v>
      </c>
      <c r="Y64" s="70">
        <v>29.619278754561652</v>
      </c>
      <c r="Z64" s="70">
        <v>30.604419182186462</v>
      </c>
    </row>
    <row r="66" spans="1:26">
      <c r="A66" s="177" t="s">
        <v>1125</v>
      </c>
      <c r="B66" s="177"/>
      <c r="C66" s="178"/>
      <c r="D66" s="178"/>
      <c r="E66" s="178"/>
      <c r="F66" s="178"/>
      <c r="G66" s="178"/>
      <c r="H66" s="178"/>
      <c r="I66" s="179" t="s">
        <v>1126</v>
      </c>
      <c r="J66" s="178"/>
      <c r="K66" s="178"/>
      <c r="L66" s="178"/>
      <c r="M66" s="178"/>
      <c r="N66" s="178"/>
      <c r="P66" s="178"/>
      <c r="Q66" s="178"/>
      <c r="R66" s="178"/>
      <c r="S66" s="178"/>
      <c r="T66" s="178"/>
      <c r="U66" s="179" t="s">
        <v>1126</v>
      </c>
      <c r="V66" s="178"/>
      <c r="W66" s="178"/>
      <c r="X66" s="178"/>
      <c r="Y66" s="178"/>
      <c r="Z66" s="178"/>
    </row>
    <row r="67" spans="1:26" s="356" customFormat="1">
      <c r="B67" s="356" t="s">
        <v>1092</v>
      </c>
      <c r="C67" s="356" t="s">
        <v>1093</v>
      </c>
      <c r="D67" s="359" t="e">
        <f>ResCalc!D$136*ResCalc!D66</f>
        <v>#REF!</v>
      </c>
      <c r="E67" s="359" t="e">
        <f>ResCalc!E$136*ResCalc!E66</f>
        <v>#REF!</v>
      </c>
      <c r="F67" s="359" t="e">
        <f>ResCalc!F$136*ResCalc!F66</f>
        <v>#REF!</v>
      </c>
      <c r="G67" s="359" t="e">
        <f>ResCalc!G$136*ResCalc!G66</f>
        <v>#REF!</v>
      </c>
      <c r="H67" s="359" t="e">
        <f>ResCalc!H$136*ResCalc!H66</f>
        <v>#REF!</v>
      </c>
      <c r="I67" s="359" t="e">
        <f>ResCalc!I$136*ResCalc!I66</f>
        <v>#REF!</v>
      </c>
      <c r="J67" s="359" t="e">
        <f>ResCalc!J$136*ResCalc!J66</f>
        <v>#REF!</v>
      </c>
      <c r="K67" s="359" t="e">
        <f>ResCalc!K$136*ResCalc!K66</f>
        <v>#REF!</v>
      </c>
      <c r="L67" s="359" t="e">
        <f>ResCalc!L$136*ResCalc!L66</f>
        <v>#REF!</v>
      </c>
      <c r="M67" s="359" t="e">
        <f>ResCalc!M$136*ResCalc!M66</f>
        <v>#REF!</v>
      </c>
      <c r="N67" s="359" t="e">
        <f>ResCalc!N$136*ResCalc!N66</f>
        <v>#REF!</v>
      </c>
      <c r="P67" s="359">
        <v>0</v>
      </c>
      <c r="Q67" s="359">
        <v>0</v>
      </c>
      <c r="R67" s="359">
        <v>0</v>
      </c>
      <c r="S67" s="359">
        <v>0</v>
      </c>
      <c r="T67" s="359">
        <v>0</v>
      </c>
      <c r="U67" s="359">
        <v>0</v>
      </c>
      <c r="V67" s="359">
        <v>0</v>
      </c>
      <c r="W67" s="359">
        <v>0</v>
      </c>
      <c r="X67" s="359">
        <v>0</v>
      </c>
      <c r="Y67" s="359">
        <v>0</v>
      </c>
      <c r="Z67" s="359">
        <v>0</v>
      </c>
    </row>
    <row r="68" spans="1:26" ht="12.5">
      <c r="C68" s="651" t="s">
        <v>617</v>
      </c>
      <c r="D68" s="454" t="e">
        <f>ResCalc!D$136*ResCalc!D67</f>
        <v>#REF!</v>
      </c>
      <c r="E68" s="454" t="e">
        <f>'2010 Fuel Share'!$Q$55*ResCalc!E$136*ResCalc!E67</f>
        <v>#REF!</v>
      </c>
      <c r="F68" s="454" t="e">
        <f>'2010 Fuel Share'!$Q$55*ResCalc!F$136*ResCalc!F67</f>
        <v>#REF!</v>
      </c>
      <c r="G68" s="454" t="e">
        <f>'2010 Fuel Share'!$Q$55*ResCalc!G$136*ResCalc!G67</f>
        <v>#REF!</v>
      </c>
      <c r="H68" s="454" t="e">
        <f>'2010 Fuel Share'!$Q$55*ResCalc!H$136*ResCalc!H67</f>
        <v>#REF!</v>
      </c>
      <c r="I68" s="454" t="e">
        <f>'2010 Fuel Share'!$Q$55*ResCalc!I$136*ResCalc!I67</f>
        <v>#REF!</v>
      </c>
      <c r="J68" s="454" t="e">
        <f>'2010 Fuel Share'!$Q$55*ResCalc!J$136*ResCalc!J67</f>
        <v>#REF!</v>
      </c>
      <c r="K68" s="454" t="e">
        <f>'2010 Fuel Share'!$Q$55*ResCalc!K$136*ResCalc!K67</f>
        <v>#REF!</v>
      </c>
      <c r="L68" s="454" t="e">
        <f>'2010 Fuel Share'!$Q$55*ResCalc!L$136*ResCalc!L67</f>
        <v>#REF!</v>
      </c>
      <c r="M68" s="454" t="e">
        <f>'2010 Fuel Share'!$Q$55*ResCalc!M$136*ResCalc!M67</f>
        <v>#REF!</v>
      </c>
      <c r="N68" s="454" t="e">
        <f>'2010 Fuel Share'!$Q$55*ResCalc!N$136*ResCalc!N67</f>
        <v>#REF!</v>
      </c>
      <c r="P68" s="454">
        <v>20.487801040812354</v>
      </c>
      <c r="Q68" s="454">
        <v>24.192460782127995</v>
      </c>
      <c r="R68" s="454">
        <v>24.588712354715128</v>
      </c>
      <c r="S68" s="454">
        <v>24.015685149927254</v>
      </c>
      <c r="T68" s="454">
        <v>23.642352065912522</v>
      </c>
      <c r="U68" s="454">
        <v>22.801475050699256</v>
      </c>
      <c r="V68" s="454">
        <v>22.475701109727378</v>
      </c>
      <c r="W68" s="454">
        <v>22.152181367722999</v>
      </c>
      <c r="X68" s="454">
        <v>21.623808338246508</v>
      </c>
      <c r="Y68" s="454">
        <v>21.251029767287175</v>
      </c>
      <c r="Z68" s="454">
        <v>20.883931665909234</v>
      </c>
    </row>
    <row r="69" spans="1:26" ht="12.5">
      <c r="C69" s="651" t="s">
        <v>618</v>
      </c>
      <c r="D69" s="454" t="e">
        <f>ResCalc!D$136*ResCalc!D68</f>
        <v>#REF!</v>
      </c>
      <c r="E69" s="454" t="e">
        <f>'2010 Fuel Share'!$R$55*ResCalc!E$136*ResCalc!E68</f>
        <v>#REF!</v>
      </c>
      <c r="F69" s="454" t="e">
        <f>'2010 Fuel Share'!$R$55*ResCalc!F$136*ResCalc!F68</f>
        <v>#REF!</v>
      </c>
      <c r="G69" s="454" t="e">
        <f>'2010 Fuel Share'!$R$55*ResCalc!G$136*ResCalc!G68</f>
        <v>#REF!</v>
      </c>
      <c r="H69" s="454" t="e">
        <f>'2010 Fuel Share'!$R$55*ResCalc!H$136*ResCalc!H68</f>
        <v>#REF!</v>
      </c>
      <c r="I69" s="454" t="e">
        <f>'2010 Fuel Share'!$R$55*ResCalc!I$136*ResCalc!I68</f>
        <v>#REF!</v>
      </c>
      <c r="J69" s="454" t="e">
        <f>'2010 Fuel Share'!$R$55*ResCalc!J$136*ResCalc!J68</f>
        <v>#REF!</v>
      </c>
      <c r="K69" s="454" t="e">
        <f>'2010 Fuel Share'!$R$55*ResCalc!K$136*ResCalc!K68</f>
        <v>#REF!</v>
      </c>
      <c r="L69" s="454" t="e">
        <f>'2010 Fuel Share'!$R$55*ResCalc!L$136*ResCalc!L68</f>
        <v>#REF!</v>
      </c>
      <c r="M69" s="454" t="e">
        <f>'2010 Fuel Share'!$R$55*ResCalc!M$136*ResCalc!M68</f>
        <v>#REF!</v>
      </c>
      <c r="N69" s="454" t="e">
        <f>'2010 Fuel Share'!$R$55*ResCalc!N$136*ResCalc!N68</f>
        <v>#REF!</v>
      </c>
      <c r="P69" s="454">
        <v>11.119396092190064</v>
      </c>
      <c r="Q69" s="454">
        <v>12.175902748100746</v>
      </c>
      <c r="R69" s="454">
        <v>12.590354672379185</v>
      </c>
      <c r="S69" s="454">
        <v>12.169729771711639</v>
      </c>
      <c r="T69" s="454">
        <v>12.039598730749599</v>
      </c>
      <c r="U69" s="454">
        <v>11.666160623278422</v>
      </c>
      <c r="V69" s="454">
        <v>11.54617058508218</v>
      </c>
      <c r="W69" s="454">
        <v>11.42458820403413</v>
      </c>
      <c r="X69" s="454">
        <v>11.214578221880702</v>
      </c>
      <c r="Y69" s="454">
        <v>11.061191717348075</v>
      </c>
      <c r="Z69" s="454">
        <v>10.908035558366961</v>
      </c>
    </row>
    <row r="70" spans="1:26" ht="12.5">
      <c r="C70" s="651" t="s">
        <v>619</v>
      </c>
      <c r="D70" s="454" t="e">
        <f>ResCalc!D$136*ResCalc!D69</f>
        <v>#REF!</v>
      </c>
      <c r="E70" s="454" t="e">
        <f>'2010 Fuel Share'!$S$55*ResCalc!E$136*ResCalc!E69</f>
        <v>#REF!</v>
      </c>
      <c r="F70" s="454" t="e">
        <f>'2010 Fuel Share'!$S$55*ResCalc!F$136*ResCalc!F69</f>
        <v>#REF!</v>
      </c>
      <c r="G70" s="454" t="e">
        <f>'2010 Fuel Share'!$S$55*ResCalc!G$136*ResCalc!G69</f>
        <v>#REF!</v>
      </c>
      <c r="H70" s="454" t="e">
        <f>'2010 Fuel Share'!$S$55*ResCalc!H$136*ResCalc!H69</f>
        <v>#REF!</v>
      </c>
      <c r="I70" s="454" t="e">
        <f>'2010 Fuel Share'!$S$55*ResCalc!I$136*ResCalc!I69</f>
        <v>#REF!</v>
      </c>
      <c r="J70" s="454" t="e">
        <f>'2010 Fuel Share'!$S$55*ResCalc!J$136*ResCalc!J69</f>
        <v>#REF!</v>
      </c>
      <c r="K70" s="454" t="e">
        <f>'2010 Fuel Share'!$S$55*ResCalc!K$136*ResCalc!K69</f>
        <v>#REF!</v>
      </c>
      <c r="L70" s="454" t="e">
        <f>'2010 Fuel Share'!$S$55*ResCalc!L$136*ResCalc!L69</f>
        <v>#REF!</v>
      </c>
      <c r="M70" s="454" t="e">
        <f>'2010 Fuel Share'!$S$55*ResCalc!M$136*ResCalc!M69</f>
        <v>#REF!</v>
      </c>
      <c r="N70" s="454" t="e">
        <f>'2010 Fuel Share'!$S$55*ResCalc!N$136*ResCalc!N69</f>
        <v>#REF!</v>
      </c>
      <c r="P70" s="454">
        <v>13.024258268567456</v>
      </c>
      <c r="Q70" s="454">
        <v>16.911721883281412</v>
      </c>
      <c r="R70" s="454">
        <v>17.257702797861985</v>
      </c>
      <c r="S70" s="454">
        <v>16.717307124388945</v>
      </c>
      <c r="T70" s="454">
        <v>16.325171611368795</v>
      </c>
      <c r="U70" s="454">
        <v>15.621875921443731</v>
      </c>
      <c r="V70" s="454">
        <v>15.227896560796642</v>
      </c>
      <c r="W70" s="454">
        <v>14.845504987104366</v>
      </c>
      <c r="X70" s="454">
        <v>14.501620011120091</v>
      </c>
      <c r="Y70" s="454">
        <v>14.167757546501115</v>
      </c>
      <c r="Z70" s="454">
        <v>13.843406239848397</v>
      </c>
    </row>
    <row r="71" spans="1:26" ht="12.5">
      <c r="C71" s="651" t="s">
        <v>621</v>
      </c>
      <c r="D71" s="454" t="e">
        <f>ResCalc!D$136*ResCalc!D70</f>
        <v>#REF!</v>
      </c>
      <c r="E71" s="454" t="e">
        <f>'2010 Fuel Share'!$U$55*ResCalc!E$136*ResCalc!E70</f>
        <v>#REF!</v>
      </c>
      <c r="F71" s="454" t="e">
        <f>'2010 Fuel Share'!$U$55*ResCalc!F$136*ResCalc!F70</f>
        <v>#REF!</v>
      </c>
      <c r="G71" s="454" t="e">
        <f>'2010 Fuel Share'!$U$55*ResCalc!G$136*ResCalc!G70</f>
        <v>#REF!</v>
      </c>
      <c r="H71" s="454" t="e">
        <f>'2010 Fuel Share'!$U$55*ResCalc!H$136*ResCalc!H70</f>
        <v>#REF!</v>
      </c>
      <c r="I71" s="454" t="e">
        <f>'2010 Fuel Share'!$U$55*ResCalc!I$136*ResCalc!I70</f>
        <v>#REF!</v>
      </c>
      <c r="J71" s="454" t="e">
        <f>'2010 Fuel Share'!$U$55*ResCalc!J$136*ResCalc!J70</f>
        <v>#REF!</v>
      </c>
      <c r="K71" s="454" t="e">
        <f>'2010 Fuel Share'!$U$55*ResCalc!K$136*ResCalc!K70</f>
        <v>#REF!</v>
      </c>
      <c r="L71" s="454" t="e">
        <f>'2010 Fuel Share'!$U$55*ResCalc!L$136*ResCalc!L70</f>
        <v>#REF!</v>
      </c>
      <c r="M71" s="454" t="e">
        <f>'2010 Fuel Share'!$U$55*ResCalc!M$136*ResCalc!M70</f>
        <v>#REF!</v>
      </c>
      <c r="N71" s="454" t="e">
        <f>'2010 Fuel Share'!$U$55*ResCalc!N$136*ResCalc!N70</f>
        <v>#REF!</v>
      </c>
      <c r="P71" s="454">
        <v>3.8113522731188323</v>
      </c>
      <c r="Q71" s="454">
        <v>6.1772861816597189</v>
      </c>
      <c r="R71" s="454">
        <v>6.1544493487632606</v>
      </c>
      <c r="S71" s="454">
        <v>6.1432846608001492</v>
      </c>
      <c r="T71" s="454">
        <v>5.9940938908216745</v>
      </c>
      <c r="U71" s="454">
        <v>5.7311078886597073</v>
      </c>
      <c r="V71" s="454">
        <v>5.5806358296424472</v>
      </c>
      <c r="W71" s="454">
        <v>5.4347639460772781</v>
      </c>
      <c r="X71" s="454">
        <v>5.4693388661815137</v>
      </c>
      <c r="Y71" s="454">
        <v>5.3849586089886579</v>
      </c>
      <c r="Z71" s="454">
        <v>5.3013415753555044</v>
      </c>
    </row>
    <row r="72" spans="1:26" ht="12.5">
      <c r="C72" s="651" t="s">
        <v>620</v>
      </c>
      <c r="D72" s="454" t="e">
        <f>ResCalc!D$136*ResCalc!D71</f>
        <v>#REF!</v>
      </c>
      <c r="E72" s="454" t="e">
        <f>'2010 Fuel Share'!$T$55*ResCalc!E$136*ResCalc!E71</f>
        <v>#REF!</v>
      </c>
      <c r="F72" s="454" t="e">
        <f>'2010 Fuel Share'!$T$55*ResCalc!F$136*ResCalc!F71</f>
        <v>#REF!</v>
      </c>
      <c r="G72" s="454" t="e">
        <f>'2010 Fuel Share'!$T$55*ResCalc!G$136*ResCalc!G71</f>
        <v>#REF!</v>
      </c>
      <c r="H72" s="454" t="e">
        <f>'2010 Fuel Share'!$T$55*ResCalc!H$136*ResCalc!H71</f>
        <v>#REF!</v>
      </c>
      <c r="I72" s="454" t="e">
        <f>'2010 Fuel Share'!$T$55*ResCalc!I$136*ResCalc!I71</f>
        <v>#REF!</v>
      </c>
      <c r="J72" s="454" t="e">
        <f>'2010 Fuel Share'!$T$55*ResCalc!J$136*ResCalc!J71</f>
        <v>#REF!</v>
      </c>
      <c r="K72" s="454" t="e">
        <f>'2010 Fuel Share'!$T$55*ResCalc!K$136*ResCalc!K71</f>
        <v>#REF!</v>
      </c>
      <c r="L72" s="454" t="e">
        <f>'2010 Fuel Share'!$T$55*ResCalc!L$136*ResCalc!L71</f>
        <v>#REF!</v>
      </c>
      <c r="M72" s="454" t="e">
        <f>'2010 Fuel Share'!$T$55*ResCalc!M$136*ResCalc!M71</f>
        <v>#REF!</v>
      </c>
      <c r="N72" s="454" t="e">
        <f>'2010 Fuel Share'!$T$55*ResCalc!N$136*ResCalc!N71</f>
        <v>#REF!</v>
      </c>
      <c r="P72" s="454">
        <v>18.351863708360462</v>
      </c>
      <c r="Q72" s="454">
        <v>12.377184542538251</v>
      </c>
      <c r="R72" s="454">
        <v>12.662573105113305</v>
      </c>
      <c r="S72" s="454">
        <v>12.266152770177941</v>
      </c>
      <c r="T72" s="454">
        <v>11.949417240503431</v>
      </c>
      <c r="U72" s="454">
        <v>11.407507066734563</v>
      </c>
      <c r="V72" s="454">
        <v>11.161813558040127</v>
      </c>
      <c r="W72" s="454">
        <v>10.922111795230794</v>
      </c>
      <c r="X72" s="454">
        <v>10.7754190962693</v>
      </c>
      <c r="Y72" s="454">
        <v>10.561141137426054</v>
      </c>
      <c r="Z72" s="454">
        <v>10.351632627786021</v>
      </c>
    </row>
    <row r="73" spans="1:26" s="356" customFormat="1">
      <c r="C73" s="356" t="s">
        <v>1094</v>
      </c>
      <c r="D73" s="359" t="e">
        <f>ResCalc!D$136*ResCalc!D72</f>
        <v>#REF!</v>
      </c>
      <c r="E73" s="359" t="e">
        <f>ResCalc!E$136*ResCalc!E72</f>
        <v>#REF!</v>
      </c>
      <c r="F73" s="359" t="e">
        <f>ResCalc!F$136*ResCalc!F72</f>
        <v>#REF!</v>
      </c>
      <c r="G73" s="359" t="e">
        <f>ResCalc!G$136*ResCalc!G72</f>
        <v>#REF!</v>
      </c>
      <c r="H73" s="359" t="e">
        <f>ResCalc!H$136*ResCalc!H72</f>
        <v>#REF!</v>
      </c>
      <c r="I73" s="359" t="e">
        <f>ResCalc!I$136*ResCalc!I72</f>
        <v>#REF!</v>
      </c>
      <c r="J73" s="359" t="e">
        <f>ResCalc!J$136*ResCalc!J72</f>
        <v>#REF!</v>
      </c>
      <c r="K73" s="359" t="e">
        <f>ResCalc!K$136*ResCalc!K72</f>
        <v>#REF!</v>
      </c>
      <c r="L73" s="359" t="e">
        <f>ResCalc!L$136*ResCalc!L72</f>
        <v>#REF!</v>
      </c>
      <c r="M73" s="359" t="e">
        <f>ResCalc!M$136*ResCalc!M72</f>
        <v>#REF!</v>
      </c>
      <c r="N73" s="359" t="e">
        <f>ResCalc!N$136*ResCalc!N72</f>
        <v>#REF!</v>
      </c>
      <c r="P73" s="359">
        <v>0</v>
      </c>
      <c r="Q73" s="359">
        <v>0</v>
      </c>
      <c r="R73" s="359">
        <v>0</v>
      </c>
      <c r="S73" s="359">
        <v>0</v>
      </c>
      <c r="T73" s="359">
        <v>0</v>
      </c>
      <c r="U73" s="359">
        <v>0</v>
      </c>
      <c r="V73" s="359">
        <v>0</v>
      </c>
      <c r="W73" s="359">
        <v>0</v>
      </c>
      <c r="X73" s="359">
        <v>0</v>
      </c>
      <c r="Y73" s="359">
        <v>0</v>
      </c>
      <c r="Z73" s="359">
        <v>0</v>
      </c>
    </row>
    <row r="74" spans="1:26" s="356" customFormat="1">
      <c r="C74" s="356" t="s">
        <v>1097</v>
      </c>
      <c r="D74" s="359" t="e">
        <f>ResCalc!D$136*ResCalc!D73</f>
        <v>#REF!</v>
      </c>
      <c r="E74" s="359" t="e">
        <f>ResCalc!E$136*ResCalc!E73</f>
        <v>#REF!</v>
      </c>
      <c r="F74" s="359" t="e">
        <f>ResCalc!F$136*ResCalc!F73</f>
        <v>#REF!</v>
      </c>
      <c r="G74" s="359" t="e">
        <f>ResCalc!G$136*ResCalc!G73</f>
        <v>#REF!</v>
      </c>
      <c r="H74" s="359" t="e">
        <f>ResCalc!H$136*ResCalc!H73</f>
        <v>#REF!</v>
      </c>
      <c r="I74" s="359" t="e">
        <f>ResCalc!I$136*ResCalc!I73</f>
        <v>#REF!</v>
      </c>
      <c r="J74" s="359" t="e">
        <f>ResCalc!J$136*ResCalc!J73</f>
        <v>#REF!</v>
      </c>
      <c r="K74" s="359" t="e">
        <f>ResCalc!K$136*ResCalc!K73</f>
        <v>#REF!</v>
      </c>
      <c r="L74" s="359" t="e">
        <f>ResCalc!L$136*ResCalc!L73</f>
        <v>#REF!</v>
      </c>
      <c r="M74" s="359" t="e">
        <f>ResCalc!M$136*ResCalc!M73</f>
        <v>#REF!</v>
      </c>
      <c r="N74" s="359" t="e">
        <f>ResCalc!N$136*ResCalc!N73</f>
        <v>#REF!</v>
      </c>
      <c r="P74" s="359">
        <v>0</v>
      </c>
      <c r="Q74" s="359">
        <v>0</v>
      </c>
      <c r="R74" s="359">
        <v>0</v>
      </c>
      <c r="S74" s="359">
        <v>0</v>
      </c>
      <c r="T74" s="359">
        <v>0</v>
      </c>
      <c r="U74" s="359">
        <v>0</v>
      </c>
      <c r="V74" s="359">
        <v>0</v>
      </c>
      <c r="W74" s="359">
        <v>0</v>
      </c>
      <c r="X74" s="359">
        <v>0</v>
      </c>
      <c r="Y74" s="359">
        <v>0</v>
      </c>
      <c r="Z74" s="359">
        <v>0</v>
      </c>
    </row>
    <row r="75" spans="1:26" s="356" customFormat="1">
      <c r="C75" s="356" t="s">
        <v>1100</v>
      </c>
      <c r="D75" s="359" t="e">
        <f>ResCalc!D$136*ResCalc!D74*0.7</f>
        <v>#REF!</v>
      </c>
      <c r="E75" s="359" t="e">
        <f>ResCalc!E$136*ResCalc!E74*0.7</f>
        <v>#REF!</v>
      </c>
      <c r="F75" s="359" t="e">
        <f>ResCalc!F$136*ResCalc!F74*0.7</f>
        <v>#REF!</v>
      </c>
      <c r="G75" s="359" t="e">
        <f>ResCalc!G$136*ResCalc!G74*0.7</f>
        <v>#REF!</v>
      </c>
      <c r="H75" s="359" t="e">
        <f>ResCalc!H$136*ResCalc!H74*0.7</f>
        <v>#REF!</v>
      </c>
      <c r="I75" s="359" t="e">
        <f>ResCalc!I$136*ResCalc!I74*0.7</f>
        <v>#REF!</v>
      </c>
      <c r="J75" s="359" t="e">
        <f>ResCalc!J$136*ResCalc!J74*0.7</f>
        <v>#REF!</v>
      </c>
      <c r="K75" s="359" t="e">
        <f>ResCalc!K$136*ResCalc!K74*0.7</f>
        <v>#REF!</v>
      </c>
      <c r="L75" s="359" t="e">
        <f>ResCalc!L$136*ResCalc!L74*0.7</f>
        <v>#REF!</v>
      </c>
      <c r="M75" s="359" t="e">
        <f>ResCalc!M$136*ResCalc!M74*0.7</f>
        <v>#REF!</v>
      </c>
      <c r="N75" s="359" t="e">
        <f>ResCalc!N$136*ResCalc!N74*0.7</f>
        <v>#REF!</v>
      </c>
      <c r="P75" s="359">
        <v>0</v>
      </c>
      <c r="Q75" s="359">
        <v>0</v>
      </c>
      <c r="R75" s="359">
        <v>0</v>
      </c>
      <c r="S75" s="359">
        <v>0</v>
      </c>
      <c r="T75" s="359">
        <v>0</v>
      </c>
      <c r="U75" s="359">
        <v>0</v>
      </c>
      <c r="V75" s="359">
        <v>0</v>
      </c>
      <c r="W75" s="359">
        <v>0</v>
      </c>
      <c r="X75" s="359">
        <v>0</v>
      </c>
      <c r="Y75" s="359">
        <v>0</v>
      </c>
      <c r="Z75" s="359">
        <v>0</v>
      </c>
    </row>
    <row r="76" spans="1:26">
      <c r="C76" s="74" t="s">
        <v>1101</v>
      </c>
      <c r="D76" s="70" t="e">
        <f>SUM(D68:D72)</f>
        <v>#REF!</v>
      </c>
      <c r="E76" s="70" t="e">
        <f t="shared" ref="E76:N76" si="7">SUM(E68:E72)</f>
        <v>#REF!</v>
      </c>
      <c r="F76" s="70" t="e">
        <f t="shared" si="7"/>
        <v>#REF!</v>
      </c>
      <c r="G76" s="70" t="e">
        <f t="shared" si="7"/>
        <v>#REF!</v>
      </c>
      <c r="H76" s="70" t="e">
        <f t="shared" si="7"/>
        <v>#REF!</v>
      </c>
      <c r="I76" s="70" t="e">
        <f t="shared" si="7"/>
        <v>#REF!</v>
      </c>
      <c r="J76" s="70" t="e">
        <f t="shared" si="7"/>
        <v>#REF!</v>
      </c>
      <c r="K76" s="70" t="e">
        <f t="shared" si="7"/>
        <v>#REF!</v>
      </c>
      <c r="L76" s="70" t="e">
        <f t="shared" si="7"/>
        <v>#REF!</v>
      </c>
      <c r="M76" s="70" t="e">
        <f t="shared" si="7"/>
        <v>#REF!</v>
      </c>
      <c r="N76" s="70" t="e">
        <f t="shared" si="7"/>
        <v>#REF!</v>
      </c>
      <c r="P76" s="70">
        <v>66.794671383049177</v>
      </c>
      <c r="Q76" s="70">
        <v>71.83455613770812</v>
      </c>
      <c r="R76" s="70">
        <v>73.253792278832861</v>
      </c>
      <c r="S76" s="70">
        <v>71.312159477005935</v>
      </c>
      <c r="T76" s="70">
        <v>69.950633539356019</v>
      </c>
      <c r="U76" s="70">
        <v>67.228126550815688</v>
      </c>
      <c r="V76" s="70">
        <v>65.992217643288782</v>
      </c>
      <c r="W76" s="70">
        <v>64.779150300169562</v>
      </c>
      <c r="X76" s="70">
        <v>63.58476453369812</v>
      </c>
      <c r="Y76" s="70">
        <v>62.426078777551076</v>
      </c>
      <c r="Z76" s="70">
        <v>61.288347667266109</v>
      </c>
    </row>
    <row r="78" spans="1:26">
      <c r="A78" s="177" t="s">
        <v>1127</v>
      </c>
      <c r="B78" s="177"/>
      <c r="C78" s="178"/>
      <c r="D78" s="178"/>
      <c r="E78" s="178"/>
      <c r="F78" s="178"/>
      <c r="G78" s="178"/>
      <c r="H78" s="178"/>
      <c r="I78" s="179" t="s">
        <v>1128</v>
      </c>
      <c r="J78" s="178"/>
      <c r="K78" s="178"/>
      <c r="L78" s="178"/>
      <c r="M78" s="178"/>
      <c r="N78" s="178"/>
      <c r="P78" s="178"/>
      <c r="Q78" s="178"/>
      <c r="R78" s="178"/>
      <c r="S78" s="178"/>
      <c r="T78" s="178"/>
      <c r="U78" s="179" t="s">
        <v>1128</v>
      </c>
      <c r="V78" s="178"/>
      <c r="W78" s="178"/>
      <c r="X78" s="178"/>
      <c r="Y78" s="178"/>
      <c r="Z78" s="178"/>
    </row>
    <row r="79" spans="1:26" s="356" customFormat="1">
      <c r="C79" s="356" t="s">
        <v>1093</v>
      </c>
      <c r="D79" s="359" t="e">
        <f>ResCalc!D$137*ResCalc!D66</f>
        <v>#REF!</v>
      </c>
      <c r="E79" s="359" t="e">
        <f>ResCalc!E$137*ResCalc!E66</f>
        <v>#REF!</v>
      </c>
      <c r="F79" s="359" t="e">
        <f>ResCalc!F$137*ResCalc!F66</f>
        <v>#REF!</v>
      </c>
      <c r="G79" s="359" t="e">
        <f>ResCalc!G$137*ResCalc!G66</f>
        <v>#REF!</v>
      </c>
      <c r="H79" s="359" t="e">
        <f>ResCalc!H$137*ResCalc!H66</f>
        <v>#REF!</v>
      </c>
      <c r="I79" s="359" t="e">
        <f>ResCalc!I$137*ResCalc!I66</f>
        <v>#REF!</v>
      </c>
      <c r="J79" s="359" t="e">
        <f>ResCalc!J$137*ResCalc!J66</f>
        <v>#REF!</v>
      </c>
      <c r="K79" s="359" t="e">
        <f>ResCalc!K$137*ResCalc!K66</f>
        <v>#REF!</v>
      </c>
      <c r="L79" s="359" t="e">
        <f>ResCalc!L$137*ResCalc!L66</f>
        <v>#REF!</v>
      </c>
      <c r="M79" s="359" t="e">
        <f>ResCalc!M$137*ResCalc!M66</f>
        <v>#REF!</v>
      </c>
      <c r="N79" s="359" t="e">
        <f>ResCalc!N$137*ResCalc!N66</f>
        <v>#REF!</v>
      </c>
      <c r="P79" s="359">
        <v>0</v>
      </c>
      <c r="Q79" s="359">
        <v>0</v>
      </c>
      <c r="R79" s="359">
        <v>0</v>
      </c>
      <c r="S79" s="359">
        <v>0</v>
      </c>
      <c r="T79" s="359">
        <v>0</v>
      </c>
      <c r="U79" s="359">
        <v>0</v>
      </c>
      <c r="V79" s="359">
        <v>0</v>
      </c>
      <c r="W79" s="359">
        <v>0</v>
      </c>
      <c r="X79" s="359">
        <v>0</v>
      </c>
      <c r="Y79" s="359">
        <v>0</v>
      </c>
      <c r="Z79" s="359">
        <v>0</v>
      </c>
    </row>
    <row r="80" spans="1:26" ht="12.5">
      <c r="C80" s="651" t="s">
        <v>617</v>
      </c>
      <c r="D80" s="454" t="e">
        <f>ResCalc!D$137*ResCalc!D67</f>
        <v>#REF!</v>
      </c>
      <c r="E80" s="454" t="e">
        <f>'2010 Fuel Share'!$Q$61*ResCalc!E$137*ResCalc!E67</f>
        <v>#REF!</v>
      </c>
      <c r="F80" s="454" t="e">
        <f>'2010 Fuel Share'!$Q$61*ResCalc!F$137*ResCalc!F67</f>
        <v>#REF!</v>
      </c>
      <c r="G80" s="454" t="e">
        <f>'2010 Fuel Share'!$Q$61*ResCalc!G$137*ResCalc!G67</f>
        <v>#REF!</v>
      </c>
      <c r="H80" s="454" t="e">
        <f>'2010 Fuel Share'!$Q$61*ResCalc!H$137*ResCalc!H67</f>
        <v>#REF!</v>
      </c>
      <c r="I80" s="454" t="e">
        <f>'2010 Fuel Share'!$Q$61*ResCalc!I$137*ResCalc!I67</f>
        <v>#REF!</v>
      </c>
      <c r="J80" s="454" t="e">
        <f>'2010 Fuel Share'!$Q$61*ResCalc!J$137*ResCalc!J67</f>
        <v>#REF!</v>
      </c>
      <c r="K80" s="454" t="e">
        <f>'2010 Fuel Share'!$Q$61*ResCalc!K$137*ResCalc!K67</f>
        <v>#REF!</v>
      </c>
      <c r="L80" s="454" t="e">
        <f>'2010 Fuel Share'!$Q$61*ResCalc!L$137*ResCalc!L67</f>
        <v>#REF!</v>
      </c>
      <c r="M80" s="454" t="e">
        <f>'2010 Fuel Share'!$Q$61*ResCalc!M$137*ResCalc!M67</f>
        <v>#REF!</v>
      </c>
      <c r="N80" s="454" t="e">
        <f>'2010 Fuel Share'!$Q$61*ResCalc!N$137*ResCalc!N67</f>
        <v>#REF!</v>
      </c>
      <c r="P80" s="454">
        <v>0.76256326629601368</v>
      </c>
      <c r="Q80" s="454">
        <v>0.65454182801082939</v>
      </c>
      <c r="R80" s="454">
        <v>0.9162367004610914</v>
      </c>
      <c r="S80" s="454">
        <v>0.91112268150628117</v>
      </c>
      <c r="T80" s="454">
        <v>0.90350500872761996</v>
      </c>
      <c r="U80" s="454">
        <v>0.89236308211756565</v>
      </c>
      <c r="V80" s="454">
        <v>0.87424000799706381</v>
      </c>
      <c r="W80" s="454">
        <v>0.85455322821806157</v>
      </c>
      <c r="X80" s="454">
        <v>0.84972253922121044</v>
      </c>
      <c r="Y80" s="454">
        <v>0.85064287505749758</v>
      </c>
      <c r="Z80" s="454">
        <v>0.85153379153147513</v>
      </c>
    </row>
    <row r="81" spans="1:26" ht="12.5">
      <c r="C81" s="651" t="s">
        <v>618</v>
      </c>
      <c r="D81" s="454" t="e">
        <f>ResCalc!D$137*ResCalc!D68</f>
        <v>#REF!</v>
      </c>
      <c r="E81" s="454" t="e">
        <f>'2010 Fuel Share'!$R$61*ResCalc!E$137*ResCalc!E68</f>
        <v>#REF!</v>
      </c>
      <c r="F81" s="454" t="e">
        <f>'2010 Fuel Share'!$R$61*ResCalc!F$137*ResCalc!F68</f>
        <v>#REF!</v>
      </c>
      <c r="G81" s="454" t="e">
        <f>'2010 Fuel Share'!$R$61*ResCalc!G$137*ResCalc!G68</f>
        <v>#REF!</v>
      </c>
      <c r="H81" s="454" t="e">
        <f>'2010 Fuel Share'!$R$61*ResCalc!H$137*ResCalc!H68</f>
        <v>#REF!</v>
      </c>
      <c r="I81" s="454" t="e">
        <f>'2010 Fuel Share'!$R$61*ResCalc!I$137*ResCalc!I68</f>
        <v>#REF!</v>
      </c>
      <c r="J81" s="454" t="e">
        <f>'2010 Fuel Share'!$R$61*ResCalc!J$137*ResCalc!J68</f>
        <v>#REF!</v>
      </c>
      <c r="K81" s="454" t="e">
        <f>'2010 Fuel Share'!$R$61*ResCalc!K$137*ResCalc!K68</f>
        <v>#REF!</v>
      </c>
      <c r="L81" s="454" t="e">
        <f>'2010 Fuel Share'!$R$61*ResCalc!L$137*ResCalc!L68</f>
        <v>#REF!</v>
      </c>
      <c r="M81" s="454" t="e">
        <f>'2010 Fuel Share'!$R$61*ResCalc!M$137*ResCalc!M68</f>
        <v>#REF!</v>
      </c>
      <c r="N81" s="454" t="e">
        <f>'2010 Fuel Share'!$R$61*ResCalc!N$137*ResCalc!N68</f>
        <v>#REF!</v>
      </c>
      <c r="P81" s="454">
        <v>0.41386789077113073</v>
      </c>
      <c r="Q81" s="454">
        <v>0.49073984106104068</v>
      </c>
      <c r="R81" s="454">
        <v>0.69888005997893754</v>
      </c>
      <c r="S81" s="454">
        <v>0.68778959214268687</v>
      </c>
      <c r="T81" s="454">
        <v>0.68540092258878094</v>
      </c>
      <c r="U81" s="454">
        <v>0.68014168270639452</v>
      </c>
      <c r="V81" s="454">
        <v>0.66903399657370477</v>
      </c>
      <c r="W81" s="454">
        <v>0.65653209787530087</v>
      </c>
      <c r="X81" s="454">
        <v>0.65647877212839933</v>
      </c>
      <c r="Y81" s="454">
        <v>0.65957167503042347</v>
      </c>
      <c r="Z81" s="454">
        <v>0.66256571051093127</v>
      </c>
    </row>
    <row r="82" spans="1:26" ht="12.5">
      <c r="C82" s="651" t="s">
        <v>619</v>
      </c>
      <c r="D82" s="454" t="e">
        <f>ResCalc!D$137*ResCalc!D69</f>
        <v>#REF!</v>
      </c>
      <c r="E82" s="454" t="e">
        <f>'2010 Fuel Share'!$S$61*ResCalc!E$137*ResCalc!E69</f>
        <v>#REF!</v>
      </c>
      <c r="F82" s="454" t="e">
        <f>'2010 Fuel Share'!$S$61*ResCalc!F$137*ResCalc!F69</f>
        <v>#REF!</v>
      </c>
      <c r="G82" s="454" t="e">
        <f>'2010 Fuel Share'!$S$61*ResCalc!G$137*ResCalc!G69</f>
        <v>#REF!</v>
      </c>
      <c r="H82" s="454" t="e">
        <f>'2010 Fuel Share'!$S$61*ResCalc!H$137*ResCalc!H69</f>
        <v>#REF!</v>
      </c>
      <c r="I82" s="454" t="e">
        <f>'2010 Fuel Share'!$S$61*ResCalc!I$137*ResCalc!I69</f>
        <v>#REF!</v>
      </c>
      <c r="J82" s="454" t="e">
        <f>'2010 Fuel Share'!$S$61*ResCalc!J$137*ResCalc!J69</f>
        <v>#REF!</v>
      </c>
      <c r="K82" s="454" t="e">
        <f>'2010 Fuel Share'!$S$61*ResCalc!K$137*ResCalc!K69</f>
        <v>#REF!</v>
      </c>
      <c r="L82" s="454" t="e">
        <f>'2010 Fuel Share'!$S$61*ResCalc!L$137*ResCalc!L69</f>
        <v>#REF!</v>
      </c>
      <c r="M82" s="454" t="e">
        <f>'2010 Fuel Share'!$S$61*ResCalc!M$137*ResCalc!M69</f>
        <v>#REF!</v>
      </c>
      <c r="N82" s="454" t="e">
        <f>'2010 Fuel Share'!$S$61*ResCalc!N$137*ResCalc!N69</f>
        <v>#REF!</v>
      </c>
      <c r="P82" s="454">
        <v>0.48476754077107442</v>
      </c>
      <c r="Q82" s="454">
        <v>0.99731969089646599</v>
      </c>
      <c r="R82" s="454">
        <v>1.4016645489235606</v>
      </c>
      <c r="S82" s="454">
        <v>1.3824117119412265</v>
      </c>
      <c r="T82" s="454">
        <v>1.3598369755718231</v>
      </c>
      <c r="U82" s="454">
        <v>1.3326037849882884</v>
      </c>
      <c r="V82" s="454">
        <v>1.2910603802453207</v>
      </c>
      <c r="W82" s="454">
        <v>1.2482650252686858</v>
      </c>
      <c r="X82" s="454">
        <v>1.2420831847400891</v>
      </c>
      <c r="Y82" s="454">
        <v>1.2361113999479805</v>
      </c>
      <c r="Z82" s="454">
        <v>1.230330508624871</v>
      </c>
    </row>
    <row r="83" spans="1:26" ht="12.5">
      <c r="C83" s="651" t="s">
        <v>621</v>
      </c>
      <c r="D83" s="454" t="e">
        <f>ResCalc!D$137*ResCalc!D70</f>
        <v>#REF!</v>
      </c>
      <c r="E83" s="454" t="e">
        <f>'2010 Fuel Share'!$T$61*ResCalc!E$137*ResCalc!E70</f>
        <v>#REF!</v>
      </c>
      <c r="F83" s="454" t="e">
        <f>'2010 Fuel Share'!$T$61*ResCalc!F$137*ResCalc!F70</f>
        <v>#REF!</v>
      </c>
      <c r="G83" s="454" t="e">
        <f>'2010 Fuel Share'!$T$61*ResCalc!G$137*ResCalc!G70</f>
        <v>#REF!</v>
      </c>
      <c r="H83" s="454" t="e">
        <f>'2010 Fuel Share'!$T$61*ResCalc!H$137*ResCalc!H70</f>
        <v>#REF!</v>
      </c>
      <c r="I83" s="454" t="e">
        <f>'2010 Fuel Share'!$T$61*ResCalc!I$137*ResCalc!I70</f>
        <v>#REF!</v>
      </c>
      <c r="J83" s="454" t="e">
        <f>'2010 Fuel Share'!$T$61*ResCalc!J$137*ResCalc!J70</f>
        <v>#REF!</v>
      </c>
      <c r="K83" s="454" t="e">
        <f>'2010 Fuel Share'!$T$61*ResCalc!K$137*ResCalc!K70</f>
        <v>#REF!</v>
      </c>
      <c r="L83" s="454" t="e">
        <f>'2010 Fuel Share'!$T$61*ResCalc!L$137*ResCalc!L70</f>
        <v>#REF!</v>
      </c>
      <c r="M83" s="454" t="e">
        <f>'2010 Fuel Share'!$T$61*ResCalc!M$137*ResCalc!M70</f>
        <v>#REF!</v>
      </c>
      <c r="N83" s="454" t="e">
        <f>'2010 Fuel Share'!$T$61*ResCalc!N$137*ResCalc!N70</f>
        <v>#REF!</v>
      </c>
      <c r="P83" s="454">
        <v>0.14185989177679914</v>
      </c>
      <c r="Q83" s="454">
        <v>6.5798580988431207E-2</v>
      </c>
      <c r="R83" s="454">
        <v>9.0286443427946089E-2</v>
      </c>
      <c r="S83" s="454">
        <v>9.1758005101689535E-2</v>
      </c>
      <c r="T83" s="454">
        <v>9.0183040256838029E-2</v>
      </c>
      <c r="U83" s="454">
        <v>8.8303655556861746E-2</v>
      </c>
      <c r="V83" s="454">
        <v>8.5459935145333205E-2</v>
      </c>
      <c r="W83" s="454">
        <v>8.2540054799190313E-2</v>
      </c>
      <c r="X83" s="454">
        <v>8.4613806583763038E-2</v>
      </c>
      <c r="Y83" s="454">
        <v>8.4861578377258801E-2</v>
      </c>
      <c r="Z83" s="454">
        <v>8.510142992264999E-2</v>
      </c>
    </row>
    <row r="84" spans="1:26" ht="12.5">
      <c r="C84" s="651" t="s">
        <v>620</v>
      </c>
      <c r="D84" s="454" t="e">
        <f>ResCalc!D$137*ResCalc!D71</f>
        <v>#REF!</v>
      </c>
      <c r="E84" s="454" t="e">
        <f>'2010 Fuel Share'!$U$61*ResCalc!E$137*ResCalc!E71</f>
        <v>#REF!</v>
      </c>
      <c r="F84" s="454" t="e">
        <f>'2010 Fuel Share'!$U$61*ResCalc!F$137*ResCalc!F71</f>
        <v>#REF!</v>
      </c>
      <c r="G84" s="454" t="e">
        <f>'2010 Fuel Share'!$U$61*ResCalc!G$137*ResCalc!G71</f>
        <v>#REF!</v>
      </c>
      <c r="H84" s="454" t="e">
        <f>'2010 Fuel Share'!$U$61*ResCalc!H$137*ResCalc!H71</f>
        <v>#REF!</v>
      </c>
      <c r="I84" s="454" t="e">
        <f>'2010 Fuel Share'!$U$61*ResCalc!I$137*ResCalc!I71</f>
        <v>#REF!</v>
      </c>
      <c r="J84" s="454" t="e">
        <f>'2010 Fuel Share'!$U$61*ResCalc!J$137*ResCalc!J71</f>
        <v>#REF!</v>
      </c>
      <c r="K84" s="454" t="e">
        <f>'2010 Fuel Share'!$U$61*ResCalc!K$137*ResCalc!K71</f>
        <v>#REF!</v>
      </c>
      <c r="L84" s="454" t="e">
        <f>'2010 Fuel Share'!$U$61*ResCalc!L$137*ResCalc!L71</f>
        <v>#REF!</v>
      </c>
      <c r="M84" s="454" t="e">
        <f>'2010 Fuel Share'!$U$61*ResCalc!M$137*ResCalc!M71</f>
        <v>#REF!</v>
      </c>
      <c r="N84" s="454" t="e">
        <f>'2010 Fuel Share'!$U$61*ResCalc!N$137*ResCalc!N71</f>
        <v>#REF!</v>
      </c>
      <c r="P84" s="454">
        <v>0.68306291652233564</v>
      </c>
      <c r="Q84" s="454">
        <v>0.13283714841908131</v>
      </c>
      <c r="R84" s="454">
        <v>0.18716911267433278</v>
      </c>
      <c r="S84" s="454">
        <v>0.18459951885139225</v>
      </c>
      <c r="T84" s="454">
        <v>0.18114524085094544</v>
      </c>
      <c r="U84" s="454">
        <v>0.17709639346722636</v>
      </c>
      <c r="V84" s="454">
        <v>0.17222353999156104</v>
      </c>
      <c r="W84" s="454">
        <v>0.1671358277993838</v>
      </c>
      <c r="X84" s="454">
        <v>0.16796525123979747</v>
      </c>
      <c r="Y84" s="454">
        <v>0.16769435912329764</v>
      </c>
      <c r="Z84" s="454">
        <v>0.16743212631681023</v>
      </c>
    </row>
    <row r="85" spans="1:26">
      <c r="C85" s="356" t="s">
        <v>1094</v>
      </c>
      <c r="D85" s="359" t="e">
        <f>ResCalc!D$137*ResCalc!D72</f>
        <v>#REF!</v>
      </c>
      <c r="E85" s="359" t="e">
        <f>ResCalc!E$137*ResCalc!E72</f>
        <v>#REF!</v>
      </c>
      <c r="F85" s="359" t="e">
        <f>ResCalc!F$137*ResCalc!F72</f>
        <v>#REF!</v>
      </c>
      <c r="G85" s="359" t="e">
        <f>ResCalc!G$137*ResCalc!G72</f>
        <v>#REF!</v>
      </c>
      <c r="H85" s="359" t="e">
        <f>ResCalc!H$137*ResCalc!H72</f>
        <v>#REF!</v>
      </c>
      <c r="I85" s="359" t="e">
        <f>ResCalc!I$137*ResCalc!I72</f>
        <v>#REF!</v>
      </c>
      <c r="J85" s="359" t="e">
        <f>ResCalc!J$137*ResCalc!J72</f>
        <v>#REF!</v>
      </c>
      <c r="K85" s="359" t="e">
        <f>ResCalc!K$137*ResCalc!K72</f>
        <v>#REF!</v>
      </c>
      <c r="L85" s="359" t="e">
        <f>ResCalc!L$137*ResCalc!L72</f>
        <v>#REF!</v>
      </c>
      <c r="M85" s="359" t="e">
        <f>ResCalc!M$137*ResCalc!M72</f>
        <v>#REF!</v>
      </c>
      <c r="N85" s="359" t="e">
        <f>ResCalc!N$137*ResCalc!N72</f>
        <v>#REF!</v>
      </c>
      <c r="P85" s="359">
        <v>0</v>
      </c>
      <c r="Q85" s="359">
        <v>0</v>
      </c>
      <c r="R85" s="359">
        <v>0</v>
      </c>
      <c r="S85" s="359">
        <v>0</v>
      </c>
      <c r="T85" s="359">
        <v>0</v>
      </c>
      <c r="U85" s="359">
        <v>0</v>
      </c>
      <c r="V85" s="359">
        <v>0</v>
      </c>
      <c r="W85" s="359">
        <v>0</v>
      </c>
      <c r="X85" s="359">
        <v>0</v>
      </c>
      <c r="Y85" s="359">
        <v>0</v>
      </c>
      <c r="Z85" s="359">
        <v>0</v>
      </c>
    </row>
    <row r="86" spans="1:26">
      <c r="C86" s="356" t="s">
        <v>1097</v>
      </c>
      <c r="D86" s="359" t="e">
        <f>ResCalc!D$137*ResCalc!D73</f>
        <v>#REF!</v>
      </c>
      <c r="E86" s="359" t="e">
        <f>ResCalc!E$137*ResCalc!E73</f>
        <v>#REF!</v>
      </c>
      <c r="F86" s="359" t="e">
        <f>ResCalc!F$137*ResCalc!F73</f>
        <v>#REF!</v>
      </c>
      <c r="G86" s="359" t="e">
        <f>ResCalc!G$137*ResCalc!G73</f>
        <v>#REF!</v>
      </c>
      <c r="H86" s="359" t="e">
        <f>ResCalc!H$137*ResCalc!H73</f>
        <v>#REF!</v>
      </c>
      <c r="I86" s="359" t="e">
        <f>ResCalc!I$137*ResCalc!I73</f>
        <v>#REF!</v>
      </c>
      <c r="J86" s="359" t="e">
        <f>ResCalc!J$137*ResCalc!J73</f>
        <v>#REF!</v>
      </c>
      <c r="K86" s="359" t="e">
        <f>ResCalc!K$137*ResCalc!K73</f>
        <v>#REF!</v>
      </c>
      <c r="L86" s="359" t="e">
        <f>ResCalc!L$137*ResCalc!L73</f>
        <v>#REF!</v>
      </c>
      <c r="M86" s="359" t="e">
        <f>ResCalc!M$137*ResCalc!M73</f>
        <v>#REF!</v>
      </c>
      <c r="N86" s="359" t="e">
        <f>ResCalc!N$137*ResCalc!N73</f>
        <v>#REF!</v>
      </c>
      <c r="P86" s="359">
        <v>0</v>
      </c>
      <c r="Q86" s="359">
        <v>0</v>
      </c>
      <c r="R86" s="359">
        <v>0</v>
      </c>
      <c r="S86" s="359">
        <v>0</v>
      </c>
      <c r="T86" s="359">
        <v>0</v>
      </c>
      <c r="U86" s="359">
        <v>0</v>
      </c>
      <c r="V86" s="359">
        <v>0</v>
      </c>
      <c r="W86" s="359">
        <v>0</v>
      </c>
      <c r="X86" s="359">
        <v>0</v>
      </c>
      <c r="Y86" s="359">
        <v>0</v>
      </c>
      <c r="Z86" s="359">
        <v>0</v>
      </c>
    </row>
    <row r="87" spans="1:26">
      <c r="C87" s="356" t="s">
        <v>1100</v>
      </c>
      <c r="D87" s="359" t="e">
        <f>ResCalc!D$137*ResCalc!D74</f>
        <v>#REF!</v>
      </c>
      <c r="E87" s="359" t="e">
        <f>ResCalc!E$137*ResCalc!E74</f>
        <v>#REF!</v>
      </c>
      <c r="F87" s="359" t="e">
        <f>ResCalc!F$137*ResCalc!F74</f>
        <v>#REF!</v>
      </c>
      <c r="G87" s="359" t="e">
        <f>ResCalc!G$137*ResCalc!G74</f>
        <v>#REF!</v>
      </c>
      <c r="H87" s="359" t="e">
        <f>ResCalc!H$137*ResCalc!H74</f>
        <v>#REF!</v>
      </c>
      <c r="I87" s="359" t="e">
        <f>ResCalc!I$137*ResCalc!I74</f>
        <v>#REF!</v>
      </c>
      <c r="J87" s="359" t="e">
        <f>ResCalc!J$137*ResCalc!J74</f>
        <v>#REF!</v>
      </c>
      <c r="K87" s="359" t="e">
        <f>ResCalc!K$137*ResCalc!K74</f>
        <v>#REF!</v>
      </c>
      <c r="L87" s="359" t="e">
        <f>ResCalc!L$137*ResCalc!L74</f>
        <v>#REF!</v>
      </c>
      <c r="M87" s="359" t="e">
        <f>ResCalc!M$137*ResCalc!M74</f>
        <v>#REF!</v>
      </c>
      <c r="N87" s="359" t="e">
        <f>ResCalc!N$137*ResCalc!N74</f>
        <v>#REF!</v>
      </c>
      <c r="P87" s="359">
        <v>0</v>
      </c>
      <c r="Q87" s="359">
        <v>0</v>
      </c>
      <c r="R87" s="359">
        <v>0</v>
      </c>
      <c r="S87" s="359">
        <v>0</v>
      </c>
      <c r="T87" s="359">
        <v>0</v>
      </c>
      <c r="U87" s="359">
        <v>0</v>
      </c>
      <c r="V87" s="359">
        <v>0</v>
      </c>
      <c r="W87" s="359">
        <v>0</v>
      </c>
      <c r="X87" s="359">
        <v>0</v>
      </c>
      <c r="Y87" s="359">
        <v>0</v>
      </c>
      <c r="Z87" s="359">
        <v>0</v>
      </c>
    </row>
    <row r="88" spans="1:26">
      <c r="C88" s="74" t="s">
        <v>1101</v>
      </c>
      <c r="D88" s="70" t="e">
        <f>SUM(D80:D84)</f>
        <v>#REF!</v>
      </c>
      <c r="E88" s="70" t="e">
        <f t="shared" ref="E88:N88" si="8">SUM(E80:E84)</f>
        <v>#REF!</v>
      </c>
      <c r="F88" s="70" t="e">
        <f t="shared" si="8"/>
        <v>#REF!</v>
      </c>
      <c r="G88" s="70" t="e">
        <f t="shared" si="8"/>
        <v>#REF!</v>
      </c>
      <c r="H88" s="70" t="e">
        <f t="shared" si="8"/>
        <v>#REF!</v>
      </c>
      <c r="I88" s="70" t="e">
        <f t="shared" si="8"/>
        <v>#REF!</v>
      </c>
      <c r="J88" s="70" t="e">
        <f t="shared" si="8"/>
        <v>#REF!</v>
      </c>
      <c r="K88" s="70" t="e">
        <f t="shared" si="8"/>
        <v>#REF!</v>
      </c>
      <c r="L88" s="70" t="e">
        <f t="shared" si="8"/>
        <v>#REF!</v>
      </c>
      <c r="M88" s="70" t="e">
        <f t="shared" si="8"/>
        <v>#REF!</v>
      </c>
      <c r="N88" s="70" t="e">
        <f t="shared" si="8"/>
        <v>#REF!</v>
      </c>
      <c r="P88" s="70">
        <v>2.4861215061373541</v>
      </c>
      <c r="Q88" s="70">
        <v>2.3412370893758485</v>
      </c>
      <c r="R88" s="70">
        <v>3.2942368654658689</v>
      </c>
      <c r="S88" s="70">
        <v>3.2576815095432767</v>
      </c>
      <c r="T88" s="70">
        <v>3.2200711879960076</v>
      </c>
      <c r="U88" s="70">
        <v>3.1705085988363368</v>
      </c>
      <c r="V88" s="70">
        <v>3.0920178599529837</v>
      </c>
      <c r="W88" s="70">
        <v>3.0090262339606224</v>
      </c>
      <c r="X88" s="70">
        <v>3.0008635539132595</v>
      </c>
      <c r="Y88" s="70">
        <v>2.9988818875364576</v>
      </c>
      <c r="Z88" s="70">
        <v>2.9969635669067372</v>
      </c>
    </row>
    <row r="90" spans="1:26" s="356" customFormat="1" hidden="1">
      <c r="A90" s="361" t="s">
        <v>1129</v>
      </c>
      <c r="B90" s="361"/>
      <c r="I90" s="362" t="s">
        <v>1128</v>
      </c>
      <c r="U90" s="362" t="s">
        <v>1128</v>
      </c>
    </row>
    <row r="91" spans="1:26" s="356" customFormat="1" hidden="1">
      <c r="B91" s="356" t="s">
        <v>1092</v>
      </c>
      <c r="C91" s="356" t="s">
        <v>1093</v>
      </c>
      <c r="D91" s="359">
        <f>ResCalc!D$138*ResCalc!D66</f>
        <v>0</v>
      </c>
      <c r="E91" s="359">
        <f>ResCalc!E$138*ResCalc!E66</f>
        <v>0</v>
      </c>
      <c r="F91" s="359">
        <f>ResCalc!F$138*ResCalc!F66</f>
        <v>0</v>
      </c>
      <c r="G91" s="359">
        <f>ResCalc!G$138*ResCalc!G66</f>
        <v>0</v>
      </c>
      <c r="H91" s="359">
        <f>ResCalc!H$138*ResCalc!H66</f>
        <v>0</v>
      </c>
      <c r="I91" s="359">
        <f>ResCalc!I$138*ResCalc!I66</f>
        <v>0</v>
      </c>
      <c r="J91" s="359">
        <f>ResCalc!J$138*ResCalc!J66</f>
        <v>0</v>
      </c>
      <c r="K91" s="359">
        <f>ResCalc!K$138*ResCalc!K66</f>
        <v>0</v>
      </c>
      <c r="L91" s="359">
        <f>ResCalc!L$138*ResCalc!L66</f>
        <v>0</v>
      </c>
      <c r="M91" s="359">
        <f>ResCalc!M$138*ResCalc!M66</f>
        <v>0</v>
      </c>
      <c r="N91" s="359">
        <f>ResCalc!N$138*ResCalc!N66</f>
        <v>0</v>
      </c>
      <c r="P91" s="359">
        <v>0</v>
      </c>
      <c r="Q91" s="359">
        <v>0</v>
      </c>
      <c r="R91" s="359">
        <v>0</v>
      </c>
      <c r="S91" s="359">
        <v>0</v>
      </c>
      <c r="T91" s="359">
        <v>0</v>
      </c>
      <c r="U91" s="359">
        <v>0</v>
      </c>
      <c r="V91" s="359">
        <v>0</v>
      </c>
      <c r="W91" s="359">
        <v>0</v>
      </c>
      <c r="X91" s="359">
        <v>0</v>
      </c>
      <c r="Y91" s="359">
        <v>0</v>
      </c>
      <c r="Z91" s="359">
        <v>0</v>
      </c>
    </row>
    <row r="92" spans="1:26" s="356" customFormat="1" hidden="1">
      <c r="B92" s="356" t="s">
        <v>1108</v>
      </c>
      <c r="C92" s="356" t="s">
        <v>1109</v>
      </c>
      <c r="D92" s="359">
        <f>ResCalc!D$138*ResCalc!D67</f>
        <v>12.94392480747636</v>
      </c>
      <c r="E92" s="359">
        <f>ResCalc!E$138*ResCalc!E67</f>
        <v>12.96826447685106</v>
      </c>
      <c r="F92" s="359">
        <f>ResCalc!F$138*ResCalc!F67</f>
        <v>13.925686468851474</v>
      </c>
      <c r="G92" s="359">
        <f>ResCalc!G$138*ResCalc!G67</f>
        <v>15.22865838982497</v>
      </c>
      <c r="H92" s="359">
        <f>ResCalc!H$138*ResCalc!H67</f>
        <v>16.508227217052408</v>
      </c>
      <c r="I92" s="359">
        <f>ResCalc!I$138*ResCalc!I67</f>
        <v>17.83236287337121</v>
      </c>
      <c r="J92" s="359">
        <f>ResCalc!J$138*ResCalc!J67</f>
        <v>19.135936983471865</v>
      </c>
      <c r="K92" s="359">
        <f>ResCalc!K$138*ResCalc!K67</f>
        <v>20.53257965967887</v>
      </c>
      <c r="L92" s="359">
        <f>ResCalc!L$138*ResCalc!L67</f>
        <v>21.819748232528998</v>
      </c>
      <c r="M92" s="359">
        <f>ResCalc!M$138*ResCalc!M67</f>
        <v>23.344687533021592</v>
      </c>
      <c r="N92" s="359">
        <f>ResCalc!N$138*ResCalc!N67</f>
        <v>24.975309742540073</v>
      </c>
      <c r="P92" s="359">
        <v>12.94392480747636</v>
      </c>
      <c r="Q92" s="359">
        <v>12.96826447685106</v>
      </c>
      <c r="R92" s="359">
        <v>13.925686468851474</v>
      </c>
      <c r="S92" s="359">
        <v>15.22865838982497</v>
      </c>
      <c r="T92" s="359">
        <v>16.508227217052408</v>
      </c>
      <c r="U92" s="359">
        <v>17.83236287337121</v>
      </c>
      <c r="V92" s="359">
        <v>19.135936983471865</v>
      </c>
      <c r="W92" s="359">
        <v>20.53257965967887</v>
      </c>
      <c r="X92" s="359">
        <v>21.819748232528998</v>
      </c>
      <c r="Y92" s="359">
        <v>23.344687533021592</v>
      </c>
      <c r="Z92" s="359">
        <v>24.975309742540073</v>
      </c>
    </row>
    <row r="93" spans="1:26" s="356" customFormat="1" hidden="1">
      <c r="B93" s="356" t="s">
        <v>1110</v>
      </c>
      <c r="C93" s="356" t="s">
        <v>1111</v>
      </c>
      <c r="D93" s="359">
        <f>ResCalc!D$138*ResCalc!D68</f>
        <v>7.0250890583691357</v>
      </c>
      <c r="E93" s="359">
        <f>ResCalc!E$138*ResCalc!E68</f>
        <v>7.0360646622628913</v>
      </c>
      <c r="F93" s="359">
        <f>ResCalc!F$138*ResCalc!F68</f>
        <v>7.6868008415601361</v>
      </c>
      <c r="G93" s="359">
        <f>ResCalc!G$138*ResCalc!G68</f>
        <v>8.319063443286149</v>
      </c>
      <c r="H93" s="359">
        <f>ResCalc!H$138*ResCalc!H68</f>
        <v>9.0625122819309549</v>
      </c>
      <c r="I93" s="359">
        <f>ResCalc!I$138*ResCalc!I68</f>
        <v>9.8355973200977633</v>
      </c>
      <c r="J93" s="359">
        <f>ResCalc!J$138*ResCalc!J68</f>
        <v>10.597447938913737</v>
      </c>
      <c r="K93" s="359">
        <f>ResCalc!K$138*ResCalc!K68</f>
        <v>11.415486138882619</v>
      </c>
      <c r="L93" s="359">
        <f>ResCalc!L$138*ResCalc!L68</f>
        <v>12.199087163785926</v>
      </c>
      <c r="M93" s="359">
        <f>ResCalc!M$138*ResCalc!M68</f>
        <v>13.098960832210937</v>
      </c>
      <c r="N93" s="359">
        <f>ResCalc!N$138*ResCalc!N68</f>
        <v>14.062806551447077</v>
      </c>
      <c r="P93" s="359">
        <v>7.0250890583691357</v>
      </c>
      <c r="Q93" s="359">
        <v>7.0360646622628913</v>
      </c>
      <c r="R93" s="359">
        <v>7.6868008415601361</v>
      </c>
      <c r="S93" s="359">
        <v>8.319063443286149</v>
      </c>
      <c r="T93" s="359">
        <v>9.0625122819309549</v>
      </c>
      <c r="U93" s="359">
        <v>9.8355973200977633</v>
      </c>
      <c r="V93" s="359">
        <v>10.597447938913737</v>
      </c>
      <c r="W93" s="359">
        <v>11.415486138882619</v>
      </c>
      <c r="X93" s="359">
        <v>12.199087163785926</v>
      </c>
      <c r="Y93" s="359">
        <v>13.098960832210937</v>
      </c>
      <c r="Z93" s="359">
        <v>14.062806551447077</v>
      </c>
    </row>
    <row r="94" spans="1:26" s="356" customFormat="1" hidden="1">
      <c r="B94" s="356" t="s">
        <v>1112</v>
      </c>
      <c r="C94" s="356" t="s">
        <v>1113</v>
      </c>
      <c r="D94" s="359">
        <f>ResCalc!D$138*ResCalc!D69</f>
        <v>8.2285560742054589</v>
      </c>
      <c r="E94" s="359">
        <f>ResCalc!E$138*ResCalc!E69</f>
        <v>8.0559097010029816</v>
      </c>
      <c r="F94" s="359">
        <f>ResCalc!F$138*ResCalc!F69</f>
        <v>8.6853787204185053</v>
      </c>
      <c r="G94" s="359">
        <f>ResCalc!G$138*ResCalc!G69</f>
        <v>9.4201524873929525</v>
      </c>
      <c r="H94" s="359">
        <f>ResCalc!H$138*ResCalc!H69</f>
        <v>10.129603847719762</v>
      </c>
      <c r="I94" s="359">
        <f>ResCalc!I$138*ResCalc!I69</f>
        <v>10.856856123941125</v>
      </c>
      <c r="J94" s="359">
        <f>ResCalc!J$138*ResCalc!J69</f>
        <v>11.521296424527346</v>
      </c>
      <c r="K94" s="359">
        <f>ResCalc!K$138*ResCalc!K69</f>
        <v>12.227760997057581</v>
      </c>
      <c r="L94" s="359">
        <f>ResCalc!L$138*ResCalc!L69</f>
        <v>13.003462846157889</v>
      </c>
      <c r="M94" s="359">
        <f>ResCalc!M$138*ResCalc!M69</f>
        <v>13.830381186765845</v>
      </c>
      <c r="N94" s="359">
        <f>ResCalc!N$138*ResCalc!N69</f>
        <v>14.711824362966183</v>
      </c>
      <c r="P94" s="359">
        <v>8.2285560742054589</v>
      </c>
      <c r="Q94" s="359">
        <v>8.0559097010029816</v>
      </c>
      <c r="R94" s="359">
        <v>8.6853787204185053</v>
      </c>
      <c r="S94" s="359">
        <v>9.4201524873929525</v>
      </c>
      <c r="T94" s="359">
        <v>10.129603847719762</v>
      </c>
      <c r="U94" s="359">
        <v>10.856856123941125</v>
      </c>
      <c r="V94" s="359">
        <v>11.521296424527346</v>
      </c>
      <c r="W94" s="359">
        <v>12.227760997057581</v>
      </c>
      <c r="X94" s="359">
        <v>13.003462846157889</v>
      </c>
      <c r="Y94" s="359">
        <v>13.830381186765845</v>
      </c>
      <c r="Z94" s="359">
        <v>14.711824362966183</v>
      </c>
    </row>
    <row r="95" spans="1:26" s="356" customFormat="1" hidden="1">
      <c r="B95" s="356" t="s">
        <v>1114</v>
      </c>
      <c r="C95" s="356" t="s">
        <v>1115</v>
      </c>
      <c r="D95" s="359">
        <f>ResCalc!D$138*ResCalc!D70</f>
        <v>2.4079625304726284</v>
      </c>
      <c r="E95" s="359">
        <f>ResCalc!E$138*ResCalc!E70</f>
        <v>2.3810522999957295</v>
      </c>
      <c r="F95" s="359">
        <f>ResCalc!F$138*ResCalc!F70</f>
        <v>2.5063367836681416</v>
      </c>
      <c r="G95" s="359">
        <f>ResCalc!G$138*ResCalc!G70</f>
        <v>2.8011521741361305</v>
      </c>
      <c r="H95" s="359">
        <f>ResCalc!H$138*ResCalc!H70</f>
        <v>3.0095578698270633</v>
      </c>
      <c r="I95" s="359">
        <f>ResCalc!I$138*ResCalc!I70</f>
        <v>3.222952716515322</v>
      </c>
      <c r="J95" s="359">
        <f>ResCalc!J$138*ResCalc!J70</f>
        <v>3.4165640504529495</v>
      </c>
      <c r="K95" s="359">
        <f>ResCalc!K$138*ResCalc!K70</f>
        <v>3.6222390088740695</v>
      </c>
      <c r="L95" s="359">
        <f>ResCalc!L$138*ResCalc!L70</f>
        <v>3.9684579557281698</v>
      </c>
      <c r="M95" s="359">
        <f>ResCalc!M$138*ResCalc!M70</f>
        <v>4.2536314156875212</v>
      </c>
      <c r="N95" s="359">
        <f>ResCalc!N$138*ResCalc!N70</f>
        <v>4.5588342956391417</v>
      </c>
      <c r="P95" s="359">
        <v>2.4079625304726284</v>
      </c>
      <c r="Q95" s="359">
        <v>2.3810522999957295</v>
      </c>
      <c r="R95" s="359">
        <v>2.5063367836681416</v>
      </c>
      <c r="S95" s="359">
        <v>2.8011521741361305</v>
      </c>
      <c r="T95" s="359">
        <v>3.0095578698270633</v>
      </c>
      <c r="U95" s="359">
        <v>3.222952716515322</v>
      </c>
      <c r="V95" s="359">
        <v>3.4165640504529495</v>
      </c>
      <c r="W95" s="359">
        <v>3.6222390088740695</v>
      </c>
      <c r="X95" s="359">
        <v>3.9684579557281698</v>
      </c>
      <c r="Y95" s="359">
        <v>4.2536314156875212</v>
      </c>
      <c r="Z95" s="359">
        <v>4.5588342956391417</v>
      </c>
    </row>
    <row r="96" spans="1:26" s="356" customFormat="1" hidden="1">
      <c r="B96" s="356" t="s">
        <v>1116</v>
      </c>
      <c r="C96" s="356" t="s">
        <v>1117</v>
      </c>
      <c r="D96" s="359">
        <f>ResCalc!D$138*ResCalc!D71</f>
        <v>11.594467529476423</v>
      </c>
      <c r="E96" s="359">
        <f>ResCalc!E$138*ResCalc!E71</f>
        <v>11.429548859887337</v>
      </c>
      <c r="F96" s="359">
        <f>ResCalc!F$138*ResCalc!F71</f>
        <v>12.354017185501739</v>
      </c>
      <c r="G96" s="359">
        <f>ResCalc!G$138*ResCalc!G71</f>
        <v>13.399248505359802</v>
      </c>
      <c r="H96" s="359">
        <f>ResCalc!H$138*ResCalc!H71</f>
        <v>14.37347878346981</v>
      </c>
      <c r="I96" s="359">
        <f>ResCalc!I$138*ResCalc!I71</f>
        <v>15.368875966074587</v>
      </c>
      <c r="J96" s="359">
        <f>ResCalc!J$138*ResCalc!J71</f>
        <v>16.371054602634114</v>
      </c>
      <c r="K96" s="359">
        <f>ResCalc!K$138*ResCalc!K71</f>
        <v>17.439701387364856</v>
      </c>
      <c r="L96" s="359">
        <f>ResCalc!L$138*ResCalc!L71</f>
        <v>18.730834701536804</v>
      </c>
      <c r="M96" s="359">
        <f>ResCalc!M$138*ResCalc!M71</f>
        <v>19.985929040604404</v>
      </c>
      <c r="N96" s="359">
        <f>ResCalc!N$138*ResCalc!N71</f>
        <v>21.326170611227997</v>
      </c>
      <c r="P96" s="359">
        <v>11.594467529476423</v>
      </c>
      <c r="Q96" s="359">
        <v>11.429548859887337</v>
      </c>
      <c r="R96" s="359">
        <v>12.354017185501739</v>
      </c>
      <c r="S96" s="359">
        <v>13.399248505359802</v>
      </c>
      <c r="T96" s="359">
        <v>14.37347878346981</v>
      </c>
      <c r="U96" s="359">
        <v>15.368875966074587</v>
      </c>
      <c r="V96" s="359">
        <v>16.371054602634114</v>
      </c>
      <c r="W96" s="359">
        <v>17.439701387364856</v>
      </c>
      <c r="X96" s="359">
        <v>18.730834701536804</v>
      </c>
      <c r="Y96" s="359">
        <v>19.985929040604404</v>
      </c>
      <c r="Z96" s="359">
        <v>21.326170611227997</v>
      </c>
    </row>
    <row r="97" spans="1:26" s="356" customFormat="1" hidden="1">
      <c r="B97" s="356" t="s">
        <v>1118</v>
      </c>
      <c r="C97" s="356" t="s">
        <v>1094</v>
      </c>
      <c r="D97" s="359">
        <f>ResCalc!D$138*ResCalc!D72</f>
        <v>0</v>
      </c>
      <c r="E97" s="359">
        <f>ResCalc!E$138*ResCalc!E72</f>
        <v>0</v>
      </c>
      <c r="F97" s="359">
        <f>ResCalc!F$138*ResCalc!F72</f>
        <v>0</v>
      </c>
      <c r="G97" s="359">
        <f>ResCalc!G$138*ResCalc!G72</f>
        <v>0</v>
      </c>
      <c r="H97" s="359">
        <f>ResCalc!H$138*ResCalc!H72</f>
        <v>0</v>
      </c>
      <c r="I97" s="359">
        <f>ResCalc!I$138*ResCalc!I72</f>
        <v>0</v>
      </c>
      <c r="J97" s="359">
        <f>ResCalc!J$138*ResCalc!J72</f>
        <v>0</v>
      </c>
      <c r="K97" s="359">
        <f>ResCalc!K$138*ResCalc!K72</f>
        <v>0</v>
      </c>
      <c r="L97" s="359">
        <f>ResCalc!L$138*ResCalc!L72</f>
        <v>0</v>
      </c>
      <c r="M97" s="359">
        <f>ResCalc!M$138*ResCalc!M72</f>
        <v>0</v>
      </c>
      <c r="N97" s="359">
        <f>ResCalc!N$138*ResCalc!N72</f>
        <v>0</v>
      </c>
      <c r="P97" s="359">
        <v>0</v>
      </c>
      <c r="Q97" s="359">
        <v>0</v>
      </c>
      <c r="R97" s="359">
        <v>0</v>
      </c>
      <c r="S97" s="359">
        <v>0</v>
      </c>
      <c r="T97" s="359">
        <v>0</v>
      </c>
      <c r="U97" s="359">
        <v>0</v>
      </c>
      <c r="V97" s="359">
        <v>0</v>
      </c>
      <c r="W97" s="359">
        <v>0</v>
      </c>
      <c r="X97" s="359">
        <v>0</v>
      </c>
      <c r="Y97" s="359">
        <v>0</v>
      </c>
      <c r="Z97" s="359">
        <v>0</v>
      </c>
    </row>
    <row r="98" spans="1:26" s="356" customFormat="1" hidden="1">
      <c r="B98" s="356" t="s">
        <v>1096</v>
      </c>
      <c r="C98" s="356" t="s">
        <v>1097</v>
      </c>
      <c r="D98" s="359">
        <f>ResCalc!D$138*ResCalc!D73</f>
        <v>0</v>
      </c>
      <c r="E98" s="359">
        <f>ResCalc!E$138*ResCalc!E73</f>
        <v>0</v>
      </c>
      <c r="F98" s="359">
        <f>ResCalc!F$138*ResCalc!F73</f>
        <v>0</v>
      </c>
      <c r="G98" s="359">
        <f>ResCalc!G$138*ResCalc!G73</f>
        <v>0</v>
      </c>
      <c r="H98" s="359">
        <f>ResCalc!H$138*ResCalc!H73</f>
        <v>0</v>
      </c>
      <c r="I98" s="359">
        <f>ResCalc!I$138*ResCalc!I73</f>
        <v>0</v>
      </c>
      <c r="J98" s="359">
        <f>ResCalc!J$138*ResCalc!J73</f>
        <v>0</v>
      </c>
      <c r="K98" s="359">
        <f>ResCalc!K$138*ResCalc!K73</f>
        <v>0</v>
      </c>
      <c r="L98" s="359">
        <f>ResCalc!L$138*ResCalc!L73</f>
        <v>0</v>
      </c>
      <c r="M98" s="359">
        <f>ResCalc!M$138*ResCalc!M73</f>
        <v>0</v>
      </c>
      <c r="N98" s="359">
        <f>ResCalc!N$138*ResCalc!N73</f>
        <v>0</v>
      </c>
      <c r="P98" s="359">
        <v>0</v>
      </c>
      <c r="Q98" s="359">
        <v>0</v>
      </c>
      <c r="R98" s="359">
        <v>0</v>
      </c>
      <c r="S98" s="359">
        <v>0</v>
      </c>
      <c r="T98" s="359">
        <v>0</v>
      </c>
      <c r="U98" s="359">
        <v>0</v>
      </c>
      <c r="V98" s="359">
        <v>0</v>
      </c>
      <c r="W98" s="359">
        <v>0</v>
      </c>
      <c r="X98" s="359">
        <v>0</v>
      </c>
      <c r="Y98" s="359">
        <v>0</v>
      </c>
      <c r="Z98" s="359">
        <v>0</v>
      </c>
    </row>
    <row r="99" spans="1:26" s="356" customFormat="1" hidden="1">
      <c r="B99" s="356" t="s">
        <v>1099</v>
      </c>
      <c r="C99" s="356" t="s">
        <v>1100</v>
      </c>
      <c r="D99" s="359">
        <f>ResCalc!D$138*ResCalc!D74</f>
        <v>0</v>
      </c>
      <c r="E99" s="359">
        <f>ResCalc!E$138*ResCalc!E74</f>
        <v>0</v>
      </c>
      <c r="F99" s="359">
        <f>ResCalc!F$138*ResCalc!F74</f>
        <v>0</v>
      </c>
      <c r="G99" s="359">
        <f>ResCalc!G$138*ResCalc!G74</f>
        <v>0</v>
      </c>
      <c r="H99" s="359">
        <f>ResCalc!H$138*ResCalc!H74</f>
        <v>0</v>
      </c>
      <c r="I99" s="359">
        <f>ResCalc!I$138*ResCalc!I74</f>
        <v>0</v>
      </c>
      <c r="J99" s="359">
        <f>ResCalc!J$138*ResCalc!J74</f>
        <v>0</v>
      </c>
      <c r="K99" s="359">
        <f>ResCalc!K$138*ResCalc!K74</f>
        <v>0</v>
      </c>
      <c r="L99" s="359">
        <f>ResCalc!L$138*ResCalc!L74</f>
        <v>0</v>
      </c>
      <c r="M99" s="359">
        <f>ResCalc!M$138*ResCalc!M74</f>
        <v>0</v>
      </c>
      <c r="N99" s="359">
        <f>ResCalc!N$138*ResCalc!N74</f>
        <v>0</v>
      </c>
      <c r="P99" s="359">
        <v>0</v>
      </c>
      <c r="Q99" s="359">
        <v>0</v>
      </c>
      <c r="R99" s="359">
        <v>0</v>
      </c>
      <c r="S99" s="359">
        <v>0</v>
      </c>
      <c r="T99" s="359">
        <v>0</v>
      </c>
      <c r="U99" s="359">
        <v>0</v>
      </c>
      <c r="V99" s="359">
        <v>0</v>
      </c>
      <c r="W99" s="359">
        <v>0</v>
      </c>
      <c r="X99" s="359">
        <v>0</v>
      </c>
      <c r="Y99" s="359">
        <v>0</v>
      </c>
      <c r="Z99" s="359">
        <v>0</v>
      </c>
    </row>
    <row r="100" spans="1:26" s="356" customFormat="1" hidden="1">
      <c r="C100" s="360" t="s">
        <v>1119</v>
      </c>
      <c r="D100" s="359">
        <f t="shared" ref="D100:N100" si="9">SUM(D91:D99)</f>
        <v>42.2</v>
      </c>
      <c r="E100" s="359">
        <f t="shared" si="9"/>
        <v>41.870840000000001</v>
      </c>
      <c r="F100" s="359">
        <f t="shared" si="9"/>
        <v>45.158219999999993</v>
      </c>
      <c r="G100" s="359">
        <f t="shared" si="9"/>
        <v>49.168275000000001</v>
      </c>
      <c r="H100" s="359">
        <f t="shared" si="9"/>
        <v>53.083380000000005</v>
      </c>
      <c r="I100" s="359">
        <f t="shared" si="9"/>
        <v>57.116645000000005</v>
      </c>
      <c r="J100" s="359">
        <f t="shared" si="9"/>
        <v>61.042300000000012</v>
      </c>
      <c r="K100" s="359">
        <f t="shared" si="9"/>
        <v>65.237767191857984</v>
      </c>
      <c r="L100" s="359">
        <f t="shared" si="9"/>
        <v>69.721590899737791</v>
      </c>
      <c r="M100" s="359">
        <f t="shared" si="9"/>
        <v>74.513590008290294</v>
      </c>
      <c r="N100" s="359">
        <f t="shared" si="9"/>
        <v>79.63494556382048</v>
      </c>
      <c r="P100" s="359">
        <v>42.2</v>
      </c>
      <c r="Q100" s="359">
        <v>41.870840000000001</v>
      </c>
      <c r="R100" s="359">
        <v>45.158219999999993</v>
      </c>
      <c r="S100" s="359">
        <v>49.168275000000001</v>
      </c>
      <c r="T100" s="359">
        <v>53.083380000000005</v>
      </c>
      <c r="U100" s="359">
        <v>57.116645000000005</v>
      </c>
      <c r="V100" s="359">
        <v>61.042300000000012</v>
      </c>
      <c r="W100" s="359">
        <v>65.237767191857984</v>
      </c>
      <c r="X100" s="359">
        <v>69.721590899737791</v>
      </c>
      <c r="Y100" s="359">
        <v>74.513590008290294</v>
      </c>
      <c r="Z100" s="359">
        <v>79.63494556382048</v>
      </c>
    </row>
    <row r="102" spans="1:26">
      <c r="A102" s="177" t="s">
        <v>1130</v>
      </c>
      <c r="B102" s="177"/>
      <c r="C102" s="178"/>
      <c r="D102" s="178"/>
      <c r="E102" s="178"/>
      <c r="F102" s="178"/>
      <c r="G102" s="178"/>
      <c r="H102" s="178"/>
      <c r="I102" s="179" t="s">
        <v>1131</v>
      </c>
      <c r="J102" s="178"/>
      <c r="K102" s="178"/>
      <c r="L102" s="178"/>
      <c r="M102" s="178"/>
      <c r="N102" s="178"/>
      <c r="P102" s="178"/>
      <c r="Q102" s="178"/>
      <c r="R102" s="178"/>
      <c r="S102" s="178"/>
      <c r="T102" s="178"/>
      <c r="U102" s="179" t="s">
        <v>1131</v>
      </c>
      <c r="V102" s="178"/>
      <c r="W102" s="178"/>
      <c r="X102" s="178"/>
      <c r="Y102" s="178"/>
      <c r="Z102" s="178"/>
    </row>
    <row r="103" spans="1:26">
      <c r="D103" s="359" t="e">
        <f>ResCalc!D$139*ResCalc!D66</f>
        <v>#REF!</v>
      </c>
      <c r="E103" s="359" t="e">
        <f>ResCalc!E$139*ResCalc!E66</f>
        <v>#REF!</v>
      </c>
      <c r="F103" s="359" t="e">
        <f>ResCalc!F$139*ResCalc!F66</f>
        <v>#REF!</v>
      </c>
      <c r="G103" s="359" t="e">
        <f>ResCalc!G$139*ResCalc!G66</f>
        <v>#REF!</v>
      </c>
      <c r="H103" s="359" t="e">
        <f>ResCalc!H$139*ResCalc!H66</f>
        <v>#REF!</v>
      </c>
      <c r="I103" s="359" t="e">
        <f>ResCalc!I$139*ResCalc!I66</f>
        <v>#REF!</v>
      </c>
      <c r="J103" s="359" t="e">
        <f>ResCalc!J$139*ResCalc!J66</f>
        <v>#REF!</v>
      </c>
      <c r="K103" s="359" t="e">
        <f>ResCalc!K$139*ResCalc!K66</f>
        <v>#REF!</v>
      </c>
      <c r="L103" s="359" t="e">
        <f>ResCalc!L$139*ResCalc!L66</f>
        <v>#REF!</v>
      </c>
      <c r="M103" s="359" t="e">
        <f>ResCalc!M$139*ResCalc!M66</f>
        <v>#REF!</v>
      </c>
      <c r="N103" s="359" t="e">
        <f>ResCalc!N$139*ResCalc!N66</f>
        <v>#REF!</v>
      </c>
      <c r="O103" s="356"/>
      <c r="P103" s="359">
        <v>0</v>
      </c>
      <c r="Q103" s="359">
        <v>0</v>
      </c>
      <c r="R103" s="359">
        <v>0</v>
      </c>
      <c r="S103" s="359">
        <v>0</v>
      </c>
      <c r="T103" s="359">
        <v>0</v>
      </c>
      <c r="U103" s="359">
        <v>0</v>
      </c>
      <c r="V103" s="359">
        <v>0</v>
      </c>
      <c r="W103" s="359">
        <v>0</v>
      </c>
      <c r="X103" s="359">
        <v>0</v>
      </c>
      <c r="Y103" s="359">
        <v>0</v>
      </c>
      <c r="Z103" s="359">
        <v>0</v>
      </c>
    </row>
    <row r="104" spans="1:26" ht="12.5">
      <c r="C104" s="651" t="s">
        <v>617</v>
      </c>
      <c r="D104" s="454" t="e">
        <f>ResCalc!D$139*ResCalc!D67</f>
        <v>#REF!</v>
      </c>
      <c r="E104" s="454" t="e">
        <f>'2010 Fuel Share'!$Q$67*ResCalc!E$139*ResCalc!E67</f>
        <v>#REF!</v>
      </c>
      <c r="F104" s="454" t="e">
        <f>'2010 Fuel Share'!$Q$67*ResCalc!F$139*ResCalc!F67</f>
        <v>#REF!</v>
      </c>
      <c r="G104" s="454" t="e">
        <f>'2010 Fuel Share'!$Q$67*ResCalc!G$139*ResCalc!G67</f>
        <v>#REF!</v>
      </c>
      <c r="H104" s="454" t="e">
        <f>'2010 Fuel Share'!$Q$67*ResCalc!H$139*ResCalc!H67</f>
        <v>#REF!</v>
      </c>
      <c r="I104" s="454" t="e">
        <f>'2010 Fuel Share'!$Q$67*ResCalc!I$139*ResCalc!I67</f>
        <v>#REF!</v>
      </c>
      <c r="J104" s="454" t="e">
        <f>'2010 Fuel Share'!$Q$67*ResCalc!J$139*ResCalc!J67</f>
        <v>#REF!</v>
      </c>
      <c r="K104" s="454" t="e">
        <f>'2010 Fuel Share'!$Q$67*ResCalc!K$139*ResCalc!K67</f>
        <v>#REF!</v>
      </c>
      <c r="L104" s="454" t="e">
        <f>'2010 Fuel Share'!$Q$67*ResCalc!L$139*ResCalc!L67</f>
        <v>#REF!</v>
      </c>
      <c r="M104" s="454" t="e">
        <f>'2010 Fuel Share'!$Q$67*ResCalc!M$139*ResCalc!M67</f>
        <v>#REF!</v>
      </c>
      <c r="N104" s="454" t="e">
        <f>'2010 Fuel Share'!$Q$67*ResCalc!N$139*ResCalc!N67</f>
        <v>#REF!</v>
      </c>
      <c r="P104" s="454">
        <v>11.803917118263843</v>
      </c>
      <c r="Q104" s="454">
        <v>13.214639529454681</v>
      </c>
      <c r="R104" s="454">
        <v>13.387632404690551</v>
      </c>
      <c r="S104" s="454">
        <v>13.910710006311495</v>
      </c>
      <c r="T104" s="454">
        <v>14.44314325367951</v>
      </c>
      <c r="U104" s="454">
        <v>14.725540831669928</v>
      </c>
      <c r="V104" s="454">
        <v>14.608126275130106</v>
      </c>
      <c r="W104" s="454">
        <v>14.430818129538935</v>
      </c>
      <c r="X104" s="454">
        <v>14.052794639210614</v>
      </c>
      <c r="Y104" s="454">
        <v>13.777377477303855</v>
      </c>
      <c r="Z104" s="454">
        <v>13.506875690613917</v>
      </c>
    </row>
    <row r="105" spans="1:26" ht="12.5">
      <c r="C105" s="651" t="s">
        <v>618</v>
      </c>
      <c r="D105" s="454" t="e">
        <f>ResCalc!D$139*ResCalc!D68</f>
        <v>#REF!</v>
      </c>
      <c r="E105" s="454" t="e">
        <f>'2010 Fuel Share'!$R$67*ResCalc!E$139*ResCalc!E68</f>
        <v>#REF!</v>
      </c>
      <c r="F105" s="454" t="e">
        <f>'2010 Fuel Share'!$R$67*ResCalc!F$139*ResCalc!F68</f>
        <v>#REF!</v>
      </c>
      <c r="G105" s="454" t="e">
        <f>'2010 Fuel Share'!$R$67*ResCalc!G$139*ResCalc!G68</f>
        <v>#REF!</v>
      </c>
      <c r="H105" s="454" t="e">
        <f>'2010 Fuel Share'!$R$67*ResCalc!H$139*ResCalc!H68</f>
        <v>#REF!</v>
      </c>
      <c r="I105" s="454" t="e">
        <f>'2010 Fuel Share'!$R$67*ResCalc!I$139*ResCalc!I68</f>
        <v>#REF!</v>
      </c>
      <c r="J105" s="454" t="e">
        <f>'2010 Fuel Share'!$R$67*ResCalc!J$139*ResCalc!J68</f>
        <v>#REF!</v>
      </c>
      <c r="K105" s="454" t="e">
        <f>'2010 Fuel Share'!$R$67*ResCalc!K$139*ResCalc!K68</f>
        <v>#REF!</v>
      </c>
      <c r="L105" s="454" t="e">
        <f>'2010 Fuel Share'!$R$67*ResCalc!L$139*ResCalc!L68</f>
        <v>#REF!</v>
      </c>
      <c r="M105" s="454" t="e">
        <f>'2010 Fuel Share'!$R$67*ResCalc!M$139*ResCalc!M68</f>
        <v>#REF!</v>
      </c>
      <c r="N105" s="454" t="e">
        <f>'2010 Fuel Share'!$R$67*ResCalc!N$139*ResCalc!N68</f>
        <v>#REF!</v>
      </c>
      <c r="P105" s="454">
        <v>6.4063698010293706</v>
      </c>
      <c r="Q105" s="454">
        <v>7.9304092671870166</v>
      </c>
      <c r="R105" s="454">
        <v>8.1738207942956667</v>
      </c>
      <c r="S105" s="454">
        <v>8.4053229676888499</v>
      </c>
      <c r="T105" s="454">
        <v>8.7700527567456028</v>
      </c>
      <c r="U105" s="454">
        <v>8.9837036647246862</v>
      </c>
      <c r="V105" s="454">
        <v>8.9482558016310172</v>
      </c>
      <c r="W105" s="454">
        <v>8.8743011966864387</v>
      </c>
      <c r="X105" s="454">
        <v>8.6902569108720993</v>
      </c>
      <c r="Y105" s="454">
        <v>8.5508177977221003</v>
      </c>
      <c r="Z105" s="454">
        <v>8.4121757832310919</v>
      </c>
    </row>
    <row r="106" spans="1:26" ht="12.5">
      <c r="C106" s="651" t="s">
        <v>619</v>
      </c>
      <c r="D106" s="454" t="e">
        <f>ResCalc!D$139*ResCalc!D69</f>
        <v>#REF!</v>
      </c>
      <c r="E106" s="454" t="e">
        <f>'2010 Fuel Share'!$S$67*ResCalc!E$139*ResCalc!E69</f>
        <v>#REF!</v>
      </c>
      <c r="F106" s="454" t="e">
        <f>'2010 Fuel Share'!$S$67*ResCalc!F$139*ResCalc!F69</f>
        <v>#REF!</v>
      </c>
      <c r="G106" s="454" t="e">
        <f>'2010 Fuel Share'!$S$67*ResCalc!G$139*ResCalc!G69</f>
        <v>#REF!</v>
      </c>
      <c r="H106" s="454" t="e">
        <f>'2010 Fuel Share'!$S$67*ResCalc!H$139*ResCalc!H69</f>
        <v>#REF!</v>
      </c>
      <c r="I106" s="454" t="e">
        <f>'2010 Fuel Share'!$S$67*ResCalc!I$139*ResCalc!I69</f>
        <v>#REF!</v>
      </c>
      <c r="J106" s="454" t="e">
        <f>'2010 Fuel Share'!$S$67*ResCalc!J$139*ResCalc!J69</f>
        <v>#REF!</v>
      </c>
      <c r="K106" s="454" t="e">
        <f>'2010 Fuel Share'!$S$67*ResCalc!K$139*ResCalc!K69</f>
        <v>#REF!</v>
      </c>
      <c r="L106" s="454" t="e">
        <f>'2010 Fuel Share'!$S$67*ResCalc!L$139*ResCalc!L69</f>
        <v>#REF!</v>
      </c>
      <c r="M106" s="454" t="e">
        <f>'2010 Fuel Share'!$S$67*ResCalc!M$139*ResCalc!M69</f>
        <v>#REF!</v>
      </c>
      <c r="N106" s="454" t="e">
        <f>'2010 Fuel Share'!$S$67*ResCalc!N$139*ResCalc!N69</f>
        <v>#REF!</v>
      </c>
      <c r="P106" s="454">
        <v>7.5038441081491989</v>
      </c>
      <c r="Q106" s="454">
        <v>13.519191123846007</v>
      </c>
      <c r="R106" s="454">
        <v>13.751136173298237</v>
      </c>
      <c r="S106" s="454">
        <v>14.171252677366734</v>
      </c>
      <c r="T106" s="454">
        <v>14.595413334533534</v>
      </c>
      <c r="U106" s="454">
        <v>14.764852070813264</v>
      </c>
      <c r="V106" s="454">
        <v>14.48467612932124</v>
      </c>
      <c r="W106" s="454">
        <v>14.153277919524589</v>
      </c>
      <c r="X106" s="454">
        <v>13.792234801957306</v>
      </c>
      <c r="Y106" s="454">
        <v>13.442353085875308</v>
      </c>
      <c r="Z106" s="454">
        <v>13.103074420804161</v>
      </c>
    </row>
    <row r="107" spans="1:26" ht="12.5">
      <c r="C107" s="651" t="s">
        <v>621</v>
      </c>
      <c r="D107" s="454" t="e">
        <f>ResCalc!D$139*ResCalc!D70</f>
        <v>#REF!</v>
      </c>
      <c r="E107" s="454" t="e">
        <f>'2010 Fuel Share'!$U$67*ResCalc!E$139*ResCalc!E70</f>
        <v>#REF!</v>
      </c>
      <c r="F107" s="454" t="e">
        <f>'2010 Fuel Share'!$U$67*ResCalc!F$139*ResCalc!F70</f>
        <v>#REF!</v>
      </c>
      <c r="G107" s="454" t="e">
        <f>'2010 Fuel Share'!$U$67*ResCalc!G$139*ResCalc!G70</f>
        <v>#REF!</v>
      </c>
      <c r="H107" s="454" t="e">
        <f>'2010 Fuel Share'!$U$67*ResCalc!H$139*ResCalc!H70</f>
        <v>#REF!</v>
      </c>
      <c r="I107" s="454" t="e">
        <f>'2010 Fuel Share'!$U$67*ResCalc!I$139*ResCalc!I70</f>
        <v>#REF!</v>
      </c>
      <c r="J107" s="454" t="e">
        <f>'2010 Fuel Share'!$U$67*ResCalc!J$139*ResCalc!J70</f>
        <v>#REF!</v>
      </c>
      <c r="K107" s="454" t="e">
        <f>'2010 Fuel Share'!$U$67*ResCalc!K$139*ResCalc!K70</f>
        <v>#REF!</v>
      </c>
      <c r="L107" s="454" t="e">
        <f>'2010 Fuel Share'!$U$67*ResCalc!L$139*ResCalc!L70</f>
        <v>#REF!</v>
      </c>
      <c r="M107" s="454" t="e">
        <f>'2010 Fuel Share'!$U$67*ResCalc!M$139*ResCalc!M70</f>
        <v>#REF!</v>
      </c>
      <c r="N107" s="454" t="e">
        <f>'2010 Fuel Share'!$U$67*ResCalc!N$139*ResCalc!N70</f>
        <v>#REF!</v>
      </c>
      <c r="P107" s="454">
        <v>2.1958865302714479</v>
      </c>
      <c r="Q107" s="454">
        <v>2.2680152949744721</v>
      </c>
      <c r="R107" s="454">
        <v>2.252320430918636</v>
      </c>
      <c r="S107" s="454">
        <v>2.3918169400391336</v>
      </c>
      <c r="T107" s="454">
        <v>2.4613170601355274</v>
      </c>
      <c r="U107" s="454">
        <v>2.4878252857553433</v>
      </c>
      <c r="V107" s="454">
        <v>2.4380237464987435</v>
      </c>
      <c r="W107" s="454">
        <v>2.3797323943387139</v>
      </c>
      <c r="X107" s="454">
        <v>2.3891220158630162</v>
      </c>
      <c r="Y107" s="454">
        <v>2.3466154697071882</v>
      </c>
      <c r="Z107" s="454">
        <v>2.304631050779046</v>
      </c>
    </row>
    <row r="108" spans="1:26" ht="12.5">
      <c r="C108" s="651" t="s">
        <v>620</v>
      </c>
      <c r="D108" s="454" t="e">
        <f>ResCalc!D$139*ResCalc!D71</f>
        <v>#REF!</v>
      </c>
      <c r="E108" s="454" t="e">
        <f>'2010 Fuel Share'!$T$67*ResCalc!E$139*ResCalc!E71</f>
        <v>#REF!</v>
      </c>
      <c r="F108" s="454" t="e">
        <f>'2010 Fuel Share'!$T$67*ResCalc!F$139*ResCalc!F71</f>
        <v>#REF!</v>
      </c>
      <c r="G108" s="454" t="e">
        <f>'2010 Fuel Share'!$T$67*ResCalc!G$139*ResCalc!G71</f>
        <v>#REF!</v>
      </c>
      <c r="H108" s="454" t="e">
        <f>'2010 Fuel Share'!$T$67*ResCalc!H$139*ResCalc!H71</f>
        <v>#REF!</v>
      </c>
      <c r="I108" s="454" t="e">
        <f>'2010 Fuel Share'!$T$67*ResCalc!I$139*ResCalc!I71</f>
        <v>#REF!</v>
      </c>
      <c r="J108" s="454" t="e">
        <f>'2010 Fuel Share'!$T$67*ResCalc!J$139*ResCalc!J71</f>
        <v>#REF!</v>
      </c>
      <c r="K108" s="454" t="e">
        <f>'2010 Fuel Share'!$T$67*ResCalc!K$139*ResCalc!K71</f>
        <v>#REF!</v>
      </c>
      <c r="L108" s="454" t="e">
        <f>'2010 Fuel Share'!$T$67*ResCalc!L$139*ResCalc!L71</f>
        <v>#REF!</v>
      </c>
      <c r="M108" s="454" t="e">
        <f>'2010 Fuel Share'!$T$67*ResCalc!M$139*ResCalc!M71</f>
        <v>#REF!</v>
      </c>
      <c r="N108" s="454" t="e">
        <f>'2010 Fuel Share'!$T$67*ResCalc!N$139*ResCalc!N71</f>
        <v>#REF!</v>
      </c>
      <c r="P108" s="454">
        <v>10.573310320011375</v>
      </c>
      <c r="Q108" s="454">
        <v>6.6098722871656994</v>
      </c>
      <c r="R108" s="454">
        <v>6.7404033401855337</v>
      </c>
      <c r="S108" s="454">
        <v>6.9463811904613948</v>
      </c>
      <c r="T108" s="454">
        <v>7.1369670408536008</v>
      </c>
      <c r="U108" s="454">
        <v>7.2026943351870951</v>
      </c>
      <c r="V108" s="454">
        <v>7.0927059811919175</v>
      </c>
      <c r="W108" s="454">
        <v>6.9562791128237427</v>
      </c>
      <c r="X108" s="454">
        <v>6.8463739036031486</v>
      </c>
      <c r="Y108" s="454">
        <v>6.694117810079641</v>
      </c>
      <c r="Z108" s="454">
        <v>6.5455691767176969</v>
      </c>
    </row>
    <row r="109" spans="1:26">
      <c r="D109" s="359" t="e">
        <f>ResCalc!D$139*ResCalc!D72</f>
        <v>#REF!</v>
      </c>
      <c r="E109" s="359" t="e">
        <f>ResCalc!E$139*ResCalc!E72</f>
        <v>#REF!</v>
      </c>
      <c r="F109" s="359" t="e">
        <f>ResCalc!F$139*ResCalc!F72</f>
        <v>#REF!</v>
      </c>
      <c r="G109" s="359" t="e">
        <f>ResCalc!G$139*ResCalc!G72</f>
        <v>#REF!</v>
      </c>
      <c r="H109" s="359" t="e">
        <f>ResCalc!H$139*ResCalc!H72</f>
        <v>#REF!</v>
      </c>
      <c r="I109" s="359" t="e">
        <f>ResCalc!I$139*ResCalc!I72</f>
        <v>#REF!</v>
      </c>
      <c r="J109" s="359" t="e">
        <f>ResCalc!J$139*ResCalc!J72</f>
        <v>#REF!</v>
      </c>
      <c r="K109" s="359" t="e">
        <f>ResCalc!K$139*ResCalc!K72</f>
        <v>#REF!</v>
      </c>
      <c r="L109" s="359" t="e">
        <f>ResCalc!L$139*ResCalc!L72</f>
        <v>#REF!</v>
      </c>
      <c r="M109" s="359" t="e">
        <f>ResCalc!M$139*ResCalc!M72</f>
        <v>#REF!</v>
      </c>
      <c r="N109" s="359" t="e">
        <f>ResCalc!N$139*ResCalc!N72</f>
        <v>#REF!</v>
      </c>
      <c r="O109" s="356"/>
      <c r="P109" s="359">
        <v>0</v>
      </c>
      <c r="Q109" s="359">
        <v>0</v>
      </c>
      <c r="R109" s="359">
        <v>0</v>
      </c>
      <c r="S109" s="359">
        <v>0</v>
      </c>
      <c r="T109" s="359">
        <v>0</v>
      </c>
      <c r="U109" s="359">
        <v>0</v>
      </c>
      <c r="V109" s="359">
        <v>0</v>
      </c>
      <c r="W109" s="359">
        <v>0</v>
      </c>
      <c r="X109" s="359">
        <v>0</v>
      </c>
      <c r="Y109" s="359">
        <v>0</v>
      </c>
      <c r="Z109" s="359">
        <v>0</v>
      </c>
    </row>
    <row r="110" spans="1:26">
      <c r="D110" s="359" t="e">
        <f>ResCalc!D$139*ResCalc!D73</f>
        <v>#REF!</v>
      </c>
      <c r="E110" s="359" t="e">
        <f>ResCalc!E$139*ResCalc!E73</f>
        <v>#REF!</v>
      </c>
      <c r="F110" s="359" t="e">
        <f>ResCalc!F$139*ResCalc!F73</f>
        <v>#REF!</v>
      </c>
      <c r="G110" s="359" t="e">
        <f>ResCalc!G$139*ResCalc!G73</f>
        <v>#REF!</v>
      </c>
      <c r="H110" s="359" t="e">
        <f>ResCalc!H$139*ResCalc!H73</f>
        <v>#REF!</v>
      </c>
      <c r="I110" s="359" t="e">
        <f>ResCalc!I$139*ResCalc!I73</f>
        <v>#REF!</v>
      </c>
      <c r="J110" s="359" t="e">
        <f>ResCalc!J$139*ResCalc!J73</f>
        <v>#REF!</v>
      </c>
      <c r="K110" s="359" t="e">
        <f>ResCalc!K$139*ResCalc!K73</f>
        <v>#REF!</v>
      </c>
      <c r="L110" s="359" t="e">
        <f>ResCalc!L$139*ResCalc!L73</f>
        <v>#REF!</v>
      </c>
      <c r="M110" s="359" t="e">
        <f>ResCalc!M$139*ResCalc!M73</f>
        <v>#REF!</v>
      </c>
      <c r="N110" s="359" t="e">
        <f>ResCalc!N$139*ResCalc!N73</f>
        <v>#REF!</v>
      </c>
      <c r="O110" s="356"/>
      <c r="P110" s="359">
        <v>0</v>
      </c>
      <c r="Q110" s="359">
        <v>0</v>
      </c>
      <c r="R110" s="359">
        <v>0</v>
      </c>
      <c r="S110" s="359">
        <v>0</v>
      </c>
      <c r="T110" s="359">
        <v>0</v>
      </c>
      <c r="U110" s="359">
        <v>0</v>
      </c>
      <c r="V110" s="359">
        <v>0</v>
      </c>
      <c r="W110" s="359">
        <v>0</v>
      </c>
      <c r="X110" s="359">
        <v>0</v>
      </c>
      <c r="Y110" s="359">
        <v>0</v>
      </c>
      <c r="Z110" s="359">
        <v>0</v>
      </c>
    </row>
    <row r="111" spans="1:26">
      <c r="D111" s="359" t="e">
        <f>ResCalc!D$139*ResCalc!D74</f>
        <v>#REF!</v>
      </c>
      <c r="E111" s="359" t="e">
        <f>ResCalc!E$139*ResCalc!E74</f>
        <v>#REF!</v>
      </c>
      <c r="F111" s="359" t="e">
        <f>ResCalc!F$139*ResCalc!F74</f>
        <v>#REF!</v>
      </c>
      <c r="G111" s="359" t="e">
        <f>ResCalc!G$139*ResCalc!G74</f>
        <v>#REF!</v>
      </c>
      <c r="H111" s="359" t="e">
        <f>ResCalc!H$139*ResCalc!H74</f>
        <v>#REF!</v>
      </c>
      <c r="I111" s="359" t="e">
        <f>ResCalc!I$139*ResCalc!I74</f>
        <v>#REF!</v>
      </c>
      <c r="J111" s="359" t="e">
        <f>ResCalc!J$139*ResCalc!J74</f>
        <v>#REF!</v>
      </c>
      <c r="K111" s="359" t="e">
        <f>ResCalc!K$139*ResCalc!K74</f>
        <v>#REF!</v>
      </c>
      <c r="L111" s="359" t="e">
        <f>ResCalc!L$139*ResCalc!L74</f>
        <v>#REF!</v>
      </c>
      <c r="M111" s="359" t="e">
        <f>ResCalc!M$139*ResCalc!M74</f>
        <v>#REF!</v>
      </c>
      <c r="N111" s="359" t="e">
        <f>ResCalc!N$139*ResCalc!N74</f>
        <v>#REF!</v>
      </c>
      <c r="O111" s="356"/>
      <c r="P111" s="359">
        <v>0</v>
      </c>
      <c r="Q111" s="359">
        <v>0</v>
      </c>
      <c r="R111" s="359">
        <v>0</v>
      </c>
      <c r="S111" s="359">
        <v>0</v>
      </c>
      <c r="T111" s="359">
        <v>0</v>
      </c>
      <c r="U111" s="359">
        <v>0</v>
      </c>
      <c r="V111" s="359">
        <v>0</v>
      </c>
      <c r="W111" s="359">
        <v>0</v>
      </c>
      <c r="X111" s="359">
        <v>0</v>
      </c>
      <c r="Y111" s="359">
        <v>0</v>
      </c>
      <c r="Z111" s="359">
        <v>0</v>
      </c>
    </row>
    <row r="112" spans="1:26">
      <c r="C112" s="74" t="s">
        <v>1101</v>
      </c>
      <c r="D112" s="70" t="e">
        <f>SUM(D104:D108)</f>
        <v>#REF!</v>
      </c>
      <c r="E112" s="70" t="e">
        <f t="shared" ref="E112:N112" si="10">SUM(E104:E108)</f>
        <v>#REF!</v>
      </c>
      <c r="F112" s="70" t="e">
        <f t="shared" si="10"/>
        <v>#REF!</v>
      </c>
      <c r="G112" s="70" t="e">
        <f t="shared" si="10"/>
        <v>#REF!</v>
      </c>
      <c r="H112" s="70" t="e">
        <f t="shared" si="10"/>
        <v>#REF!</v>
      </c>
      <c r="I112" s="70" t="e">
        <f t="shared" si="10"/>
        <v>#REF!</v>
      </c>
      <c r="J112" s="70" t="e">
        <f t="shared" si="10"/>
        <v>#REF!</v>
      </c>
      <c r="K112" s="70" t="e">
        <f t="shared" si="10"/>
        <v>#REF!</v>
      </c>
      <c r="L112" s="70" t="e">
        <f t="shared" si="10"/>
        <v>#REF!</v>
      </c>
      <c r="M112" s="70" t="e">
        <f t="shared" si="10"/>
        <v>#REF!</v>
      </c>
      <c r="N112" s="70" t="e">
        <f t="shared" si="10"/>
        <v>#REF!</v>
      </c>
      <c r="P112" s="70">
        <v>38.483327877725237</v>
      </c>
      <c r="Q112" s="70">
        <v>43.542127502627878</v>
      </c>
      <c r="R112" s="70">
        <v>44.305313143388631</v>
      </c>
      <c r="S112" s="70">
        <v>45.825483781867604</v>
      </c>
      <c r="T112" s="70">
        <v>47.406893445947773</v>
      </c>
      <c r="U112" s="70">
        <v>48.164616188150319</v>
      </c>
      <c r="V112" s="70">
        <v>47.571787933773031</v>
      </c>
      <c r="W112" s="70">
        <v>46.794408752912425</v>
      </c>
      <c r="X112" s="70">
        <v>45.770782271506185</v>
      </c>
      <c r="Y112" s="70">
        <v>44.811281640688087</v>
      </c>
      <c r="Z112" s="70">
        <v>43.872326122145914</v>
      </c>
    </row>
  </sheetData>
  <phoneticPr fontId="14" type="noConversion"/>
  <pageMargins left="0.25" right="0.25" top="0.5" bottom="0.5" header="0.5" footer="0.5"/>
  <pageSetup scale="47" fitToHeight="0" orientation="landscape" r:id="rId1"/>
  <headerFooter alignWithMargins="0"/>
  <rowBreaks count="2" manualBreakCount="2">
    <brk id="37" max="16383" man="1"/>
    <brk id="73" max="16383" man="1"/>
  </rowBreaks>
  <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F171"/>
  <sheetViews>
    <sheetView topLeftCell="A55" zoomScale="90" zoomScaleNormal="90" workbookViewId="0">
      <selection activeCell="C33" sqref="C33"/>
    </sheetView>
  </sheetViews>
  <sheetFormatPr defaultColWidth="9.26953125" defaultRowHeight="12.5"/>
  <cols>
    <col min="1" max="1" width="9.7265625" style="16" customWidth="1"/>
    <col min="2" max="2" width="38.54296875" style="16" customWidth="1"/>
    <col min="3" max="3" width="10" style="16" customWidth="1"/>
    <col min="4" max="4" width="10.453125" style="16" customWidth="1"/>
    <col min="5" max="13" width="10.26953125" style="16" bestFit="1" customWidth="1"/>
    <col min="14" max="14" width="10" style="16" customWidth="1"/>
    <col min="15" max="15" width="10.453125" style="16" bestFit="1" customWidth="1"/>
    <col min="16" max="16" width="11" style="16" customWidth="1"/>
    <col min="17" max="17" width="4" style="16" customWidth="1"/>
    <col min="18" max="18" width="3.54296875" style="16" customWidth="1"/>
    <col min="19" max="19" width="21.7265625" style="16" customWidth="1"/>
    <col min="20" max="20" width="11.7265625" style="16" bestFit="1" customWidth="1"/>
    <col min="21" max="29" width="11.453125" style="16" bestFit="1" customWidth="1"/>
    <col min="30" max="16384" width="9.26953125" style="16"/>
  </cols>
  <sheetData>
    <row r="1" spans="1:22" ht="13">
      <c r="A1" s="15" t="s">
        <v>1132</v>
      </c>
    </row>
    <row r="2" spans="1:22" ht="13">
      <c r="A2" s="15" t="s">
        <v>1133</v>
      </c>
    </row>
    <row r="4" spans="1:22">
      <c r="E4" s="16" t="s">
        <v>1134</v>
      </c>
      <c r="H4" s="16" t="s">
        <v>1135</v>
      </c>
      <c r="K4" s="16" t="s">
        <v>1136</v>
      </c>
      <c r="N4" s="16" t="s">
        <v>1135</v>
      </c>
    </row>
    <row r="5" spans="1:22">
      <c r="A5" s="16" t="s">
        <v>14</v>
      </c>
      <c r="B5" s="16" t="s">
        <v>1137</v>
      </c>
      <c r="C5" s="16" t="s">
        <v>1138</v>
      </c>
      <c r="D5" s="16" t="s">
        <v>1139</v>
      </c>
      <c r="E5" s="16" t="s">
        <v>1140</v>
      </c>
      <c r="F5" s="16" t="s">
        <v>1141</v>
      </c>
      <c r="G5" s="16" t="s">
        <v>1142</v>
      </c>
      <c r="H5" s="16" t="s">
        <v>1143</v>
      </c>
      <c r="I5" s="16" t="s">
        <v>1144</v>
      </c>
      <c r="J5" s="16" t="s">
        <v>1145</v>
      </c>
      <c r="K5" s="16" t="s">
        <v>1146</v>
      </c>
      <c r="L5" s="16" t="s">
        <v>1147</v>
      </c>
      <c r="M5" s="16" t="s">
        <v>1148</v>
      </c>
      <c r="N5" s="16" t="s">
        <v>1149</v>
      </c>
      <c r="O5" s="16" t="s">
        <v>1150</v>
      </c>
    </row>
    <row r="6" spans="1:22">
      <c r="A6" s="16" t="s">
        <v>1092</v>
      </c>
      <c r="B6" s="16">
        <v>1</v>
      </c>
      <c r="C6" s="51" t="s">
        <v>1151</v>
      </c>
      <c r="D6" s="83">
        <v>43.5</v>
      </c>
      <c r="E6" s="83">
        <v>8.4</v>
      </c>
      <c r="F6" s="83">
        <v>15.6</v>
      </c>
      <c r="G6" s="83">
        <v>93.9</v>
      </c>
      <c r="H6" s="83">
        <v>431.3</v>
      </c>
      <c r="I6" s="83">
        <v>685.5</v>
      </c>
      <c r="J6" s="83">
        <v>1046.4000000000001</v>
      </c>
      <c r="K6" s="83">
        <v>1215.4000000000001</v>
      </c>
      <c r="L6" s="83">
        <v>1042</v>
      </c>
      <c r="M6" s="83">
        <v>916.1</v>
      </c>
      <c r="N6" s="83">
        <v>553.5</v>
      </c>
      <c r="O6" s="83">
        <v>270.8</v>
      </c>
      <c r="P6" s="83">
        <f t="shared" ref="P6:P23" si="0">SUM(D6:O6)</f>
        <v>6322.4000000000005</v>
      </c>
      <c r="Q6" s="84"/>
      <c r="R6" s="84"/>
      <c r="S6" s="31"/>
      <c r="T6" s="84"/>
      <c r="U6" s="84"/>
      <c r="V6" s="84"/>
    </row>
    <row r="7" spans="1:22">
      <c r="C7" s="16" t="s">
        <v>1152</v>
      </c>
      <c r="D7" s="31">
        <v>85.1</v>
      </c>
      <c r="E7" s="31">
        <v>198.7</v>
      </c>
      <c r="F7" s="31">
        <v>177.3</v>
      </c>
      <c r="G7" s="31">
        <v>43.9</v>
      </c>
      <c r="H7" s="31">
        <v>0.8</v>
      </c>
      <c r="I7" s="31">
        <v>0</v>
      </c>
      <c r="J7" s="31">
        <v>0</v>
      </c>
      <c r="K7" s="31">
        <v>0</v>
      </c>
      <c r="L7" s="31">
        <v>0</v>
      </c>
      <c r="M7" s="31">
        <v>0</v>
      </c>
      <c r="N7" s="31">
        <v>0</v>
      </c>
      <c r="O7" s="31">
        <v>5.4</v>
      </c>
      <c r="P7" s="18">
        <f t="shared" si="0"/>
        <v>511.19999999999993</v>
      </c>
      <c r="Q7" s="84"/>
      <c r="R7" s="84"/>
      <c r="S7" s="84"/>
      <c r="T7" s="84"/>
      <c r="U7" s="31"/>
      <c r="V7" s="31"/>
    </row>
    <row r="8" spans="1:22">
      <c r="A8" s="16" t="s">
        <v>1108</v>
      </c>
      <c r="B8" s="16">
        <v>2</v>
      </c>
      <c r="C8" s="51" t="s">
        <v>1151</v>
      </c>
      <c r="D8" s="83">
        <v>21.1</v>
      </c>
      <c r="E8" s="83">
        <v>5.0999999999999996</v>
      </c>
      <c r="F8" s="83">
        <v>8</v>
      </c>
      <c r="G8" s="83">
        <v>64.8</v>
      </c>
      <c r="H8" s="83">
        <v>363</v>
      </c>
      <c r="I8" s="83">
        <v>610.9</v>
      </c>
      <c r="J8" s="83">
        <v>970.8</v>
      </c>
      <c r="K8" s="83">
        <v>1100.0999999999999</v>
      </c>
      <c r="L8" s="83">
        <v>957.3</v>
      </c>
      <c r="M8" s="83">
        <v>818.9</v>
      </c>
      <c r="N8" s="83">
        <v>453</v>
      </c>
      <c r="O8" s="83">
        <v>204.9</v>
      </c>
      <c r="P8" s="51">
        <f t="shared" si="0"/>
        <v>5577.9</v>
      </c>
      <c r="Q8" s="84"/>
      <c r="R8" s="84"/>
      <c r="S8" s="31"/>
      <c r="T8" s="84"/>
      <c r="U8" s="84"/>
      <c r="V8" s="84"/>
    </row>
    <row r="9" spans="1:22">
      <c r="C9" s="16" t="s">
        <v>1152</v>
      </c>
      <c r="D9" s="31">
        <v>147.30000000000001</v>
      </c>
      <c r="E9" s="31">
        <v>260.8</v>
      </c>
      <c r="F9" s="31">
        <v>243</v>
      </c>
      <c r="G9" s="31">
        <v>84.2</v>
      </c>
      <c r="H9" s="31">
        <v>5.0999999999999996</v>
      </c>
      <c r="I9" s="31">
        <v>0</v>
      </c>
      <c r="J9" s="31">
        <v>0</v>
      </c>
      <c r="K9" s="31">
        <v>0</v>
      </c>
      <c r="L9" s="31">
        <v>0</v>
      </c>
      <c r="M9" s="31">
        <v>0</v>
      </c>
      <c r="N9" s="31">
        <v>0</v>
      </c>
      <c r="O9" s="31">
        <v>26.1</v>
      </c>
      <c r="P9" s="18">
        <f t="shared" si="0"/>
        <v>766.50000000000011</v>
      </c>
      <c r="Q9" s="84"/>
      <c r="R9" s="84"/>
      <c r="S9" s="84"/>
      <c r="T9" s="84"/>
      <c r="U9" s="31"/>
      <c r="V9" s="31"/>
    </row>
    <row r="10" spans="1:22">
      <c r="A10" s="16" t="s">
        <v>1114</v>
      </c>
      <c r="B10" s="16">
        <v>3</v>
      </c>
      <c r="C10" s="51" t="s">
        <v>1151</v>
      </c>
      <c r="D10" s="83">
        <v>37</v>
      </c>
      <c r="E10" s="83">
        <v>6.2</v>
      </c>
      <c r="F10" s="83">
        <v>17.5</v>
      </c>
      <c r="G10" s="83">
        <v>88.7</v>
      </c>
      <c r="H10" s="83">
        <v>396.6</v>
      </c>
      <c r="I10" s="83">
        <v>693</v>
      </c>
      <c r="J10" s="83">
        <v>1129.4000000000001</v>
      </c>
      <c r="K10" s="83">
        <v>1212.0999999999999</v>
      </c>
      <c r="L10" s="83">
        <v>1046.7</v>
      </c>
      <c r="M10" s="83">
        <v>865.5</v>
      </c>
      <c r="N10" s="83">
        <v>447.8</v>
      </c>
      <c r="O10" s="83">
        <v>224.3</v>
      </c>
      <c r="P10" s="51">
        <f t="shared" si="0"/>
        <v>6164.8</v>
      </c>
      <c r="Q10" s="84"/>
      <c r="R10" s="84"/>
      <c r="S10" s="31"/>
      <c r="T10" s="84"/>
      <c r="U10" s="84"/>
      <c r="V10" s="84"/>
    </row>
    <row r="11" spans="1:22">
      <c r="C11" s="16" t="s">
        <v>1152</v>
      </c>
      <c r="D11" s="31">
        <v>159.69999999999999</v>
      </c>
      <c r="E11" s="31">
        <v>264.39999999999998</v>
      </c>
      <c r="F11" s="31">
        <v>221.3</v>
      </c>
      <c r="G11" s="31">
        <v>78.900000000000006</v>
      </c>
      <c r="H11" s="31">
        <v>8</v>
      </c>
      <c r="I11" s="31">
        <v>0</v>
      </c>
      <c r="J11" s="31">
        <v>0</v>
      </c>
      <c r="K11" s="31">
        <v>0.1</v>
      </c>
      <c r="L11" s="31">
        <v>0</v>
      </c>
      <c r="M11" s="31">
        <v>0.7</v>
      </c>
      <c r="N11" s="31">
        <v>1.5</v>
      </c>
      <c r="O11" s="31">
        <v>50.3</v>
      </c>
      <c r="P11" s="18">
        <f t="shared" si="0"/>
        <v>784.9</v>
      </c>
      <c r="Q11" s="84"/>
      <c r="R11" s="84"/>
      <c r="S11" s="84"/>
      <c r="T11" s="84"/>
      <c r="U11" s="31"/>
      <c r="V11" s="31"/>
    </row>
    <row r="12" spans="1:22">
      <c r="A12" s="16" t="s">
        <v>1118</v>
      </c>
      <c r="B12" s="16">
        <v>4</v>
      </c>
      <c r="C12" s="51" t="s">
        <v>1151</v>
      </c>
      <c r="D12" s="83">
        <v>42.1</v>
      </c>
      <c r="E12" s="83">
        <v>7.2</v>
      </c>
      <c r="F12" s="83">
        <v>19.7</v>
      </c>
      <c r="G12" s="83">
        <v>107.9</v>
      </c>
      <c r="H12" s="83">
        <v>404.6</v>
      </c>
      <c r="I12" s="83">
        <v>744.2</v>
      </c>
      <c r="J12" s="83">
        <v>1195.9000000000001</v>
      </c>
      <c r="K12" s="83">
        <v>1273.5</v>
      </c>
      <c r="L12" s="83">
        <v>1071.3</v>
      </c>
      <c r="M12" s="83">
        <v>846.9</v>
      </c>
      <c r="N12" s="83">
        <v>427.7</v>
      </c>
      <c r="O12" s="83">
        <v>195</v>
      </c>
      <c r="P12" s="51">
        <f t="shared" si="0"/>
        <v>6336</v>
      </c>
      <c r="Q12" s="84"/>
      <c r="R12" s="84"/>
      <c r="S12" s="31"/>
      <c r="T12" s="84"/>
      <c r="U12" s="84"/>
      <c r="V12" s="84"/>
    </row>
    <row r="13" spans="1:22">
      <c r="C13" s="16" t="s">
        <v>1152</v>
      </c>
      <c r="D13" s="31">
        <v>188.7</v>
      </c>
      <c r="E13" s="31">
        <v>333.2</v>
      </c>
      <c r="F13" s="31">
        <v>284.8</v>
      </c>
      <c r="G13" s="31">
        <v>99.5</v>
      </c>
      <c r="H13" s="31">
        <v>11.1</v>
      </c>
      <c r="I13" s="31">
        <v>0.2</v>
      </c>
      <c r="J13" s="31">
        <v>0</v>
      </c>
      <c r="K13" s="31">
        <v>0.2</v>
      </c>
      <c r="L13" s="31">
        <v>0.1</v>
      </c>
      <c r="M13" s="31">
        <v>2.9</v>
      </c>
      <c r="N13" s="31">
        <v>7.4</v>
      </c>
      <c r="O13" s="31">
        <v>68</v>
      </c>
      <c r="P13" s="18">
        <f t="shared" si="0"/>
        <v>996.10000000000014</v>
      </c>
      <c r="Q13" s="84"/>
      <c r="R13" s="84"/>
      <c r="S13" s="84"/>
      <c r="T13" s="84"/>
      <c r="U13" s="31"/>
      <c r="V13" s="31"/>
    </row>
    <row r="14" spans="1:22">
      <c r="A14" s="16" t="s">
        <v>1110</v>
      </c>
      <c r="B14" s="16">
        <v>5</v>
      </c>
      <c r="C14" s="51" t="s">
        <v>1151</v>
      </c>
      <c r="D14" s="83">
        <v>2.5</v>
      </c>
      <c r="E14" s="83">
        <v>0.2</v>
      </c>
      <c r="F14" s="83">
        <v>0.3</v>
      </c>
      <c r="G14" s="83">
        <v>16.2</v>
      </c>
      <c r="H14" s="83">
        <v>144.30000000000001</v>
      </c>
      <c r="I14" s="83">
        <v>319.10000000000002</v>
      </c>
      <c r="J14" s="83">
        <v>554.9</v>
      </c>
      <c r="K14" s="83">
        <v>612.1</v>
      </c>
      <c r="L14" s="83">
        <v>500</v>
      </c>
      <c r="M14" s="83">
        <v>369.3</v>
      </c>
      <c r="N14" s="83">
        <v>157.4</v>
      </c>
      <c r="O14" s="83">
        <v>54.4</v>
      </c>
      <c r="P14" s="51">
        <f t="shared" si="0"/>
        <v>2730.7000000000003</v>
      </c>
      <c r="Q14" s="84"/>
      <c r="R14" s="84"/>
      <c r="S14" s="31"/>
      <c r="T14" s="31"/>
      <c r="U14" s="84"/>
      <c r="V14" s="84"/>
    </row>
    <row r="15" spans="1:22">
      <c r="C15" s="16" t="s">
        <v>1152</v>
      </c>
      <c r="D15" s="31">
        <v>333.8</v>
      </c>
      <c r="E15" s="31">
        <v>425.7</v>
      </c>
      <c r="F15" s="31">
        <v>427.1</v>
      </c>
      <c r="G15" s="31">
        <v>268</v>
      </c>
      <c r="H15" s="31">
        <v>128.5</v>
      </c>
      <c r="I15" s="31">
        <v>49.4</v>
      </c>
      <c r="J15" s="31">
        <v>33.4</v>
      </c>
      <c r="K15" s="31">
        <v>30.5</v>
      </c>
      <c r="L15" s="31">
        <v>31.2</v>
      </c>
      <c r="M15" s="31">
        <v>52.9</v>
      </c>
      <c r="N15" s="31">
        <v>75.7</v>
      </c>
      <c r="O15" s="31">
        <v>185.2</v>
      </c>
      <c r="P15" s="18">
        <f t="shared" si="0"/>
        <v>2041.4000000000003</v>
      </c>
      <c r="Q15" s="84"/>
      <c r="R15" s="84"/>
      <c r="S15" s="84"/>
      <c r="T15" s="84"/>
      <c r="U15" s="84"/>
      <c r="V15" s="84"/>
    </row>
    <row r="16" spans="1:22">
      <c r="A16" s="16" t="s">
        <v>1112</v>
      </c>
      <c r="B16" s="16">
        <v>6</v>
      </c>
      <c r="C16" s="51" t="s">
        <v>1151</v>
      </c>
      <c r="D16" s="83">
        <v>2</v>
      </c>
      <c r="E16" s="83">
        <v>0</v>
      </c>
      <c r="F16" s="83">
        <v>0.3</v>
      </c>
      <c r="G16" s="83">
        <v>19.5</v>
      </c>
      <c r="H16" s="83">
        <v>174.9</v>
      </c>
      <c r="I16" s="83">
        <v>413</v>
      </c>
      <c r="J16" s="83">
        <v>720</v>
      </c>
      <c r="K16" s="83">
        <v>754.7</v>
      </c>
      <c r="L16" s="83">
        <v>611.9</v>
      </c>
      <c r="M16" s="83">
        <v>443.5</v>
      </c>
      <c r="N16" s="83">
        <v>174.4</v>
      </c>
      <c r="O16" s="83">
        <v>56.7</v>
      </c>
      <c r="P16" s="51">
        <f t="shared" si="0"/>
        <v>3370.9</v>
      </c>
      <c r="Q16" s="84"/>
      <c r="R16" s="84"/>
      <c r="S16" s="31"/>
      <c r="T16" s="31"/>
      <c r="U16" s="84"/>
      <c r="V16" s="84"/>
    </row>
    <row r="17" spans="1:32">
      <c r="C17" s="16" t="s">
        <v>1152</v>
      </c>
      <c r="D17" s="31">
        <v>308.5</v>
      </c>
      <c r="E17" s="31">
        <v>417</v>
      </c>
      <c r="F17" s="31">
        <v>423.6</v>
      </c>
      <c r="G17" s="31">
        <v>229.2</v>
      </c>
      <c r="H17" s="31">
        <v>61.8</v>
      </c>
      <c r="I17" s="31">
        <v>6.1</v>
      </c>
      <c r="J17" s="31">
        <v>1.9</v>
      </c>
      <c r="K17" s="31">
        <v>7.6</v>
      </c>
      <c r="L17" s="31">
        <v>3.6</v>
      </c>
      <c r="M17" s="31">
        <v>18.8</v>
      </c>
      <c r="N17" s="31">
        <v>39.200000000000003</v>
      </c>
      <c r="O17" s="31">
        <v>153.6</v>
      </c>
      <c r="P17" s="18">
        <f t="shared" si="0"/>
        <v>1670.8999999999996</v>
      </c>
      <c r="Q17" s="84"/>
      <c r="R17" s="84"/>
      <c r="S17" s="84"/>
      <c r="T17" s="84"/>
      <c r="U17" s="84"/>
      <c r="V17" s="31"/>
    </row>
    <row r="18" spans="1:32">
      <c r="A18" s="16" t="s">
        <v>1116</v>
      </c>
      <c r="B18" s="16">
        <v>7</v>
      </c>
      <c r="C18" s="51" t="s">
        <v>1151</v>
      </c>
      <c r="D18" s="83">
        <v>0.9</v>
      </c>
      <c r="E18" s="83">
        <v>0</v>
      </c>
      <c r="F18" s="83">
        <v>0.1</v>
      </c>
      <c r="G18" s="83">
        <v>5.2</v>
      </c>
      <c r="H18" s="83">
        <v>66.2</v>
      </c>
      <c r="I18" s="83">
        <v>248.6</v>
      </c>
      <c r="J18" s="83">
        <v>516.29999999999995</v>
      </c>
      <c r="K18" s="83">
        <v>532.9</v>
      </c>
      <c r="L18" s="83">
        <v>403.1</v>
      </c>
      <c r="M18" s="83">
        <v>254.9</v>
      </c>
      <c r="N18" s="83">
        <v>73.2</v>
      </c>
      <c r="O18" s="83">
        <v>8.3000000000000007</v>
      </c>
      <c r="P18" s="51">
        <f t="shared" si="0"/>
        <v>2109.6999999999998</v>
      </c>
      <c r="Q18" s="84"/>
      <c r="R18" s="84"/>
      <c r="S18" s="31"/>
      <c r="T18" s="31"/>
      <c r="U18" s="84"/>
      <c r="V18" s="84"/>
    </row>
    <row r="19" spans="1:32">
      <c r="C19" s="16" t="s">
        <v>1152</v>
      </c>
      <c r="D19" s="31">
        <v>440.3</v>
      </c>
      <c r="E19" s="31">
        <v>543.20000000000005</v>
      </c>
      <c r="F19" s="31">
        <v>566.5</v>
      </c>
      <c r="G19" s="31">
        <v>358.7</v>
      </c>
      <c r="H19" s="31">
        <v>147.30000000000001</v>
      </c>
      <c r="I19" s="31">
        <v>37.9</v>
      </c>
      <c r="J19" s="31">
        <v>7.6</v>
      </c>
      <c r="K19" s="31">
        <v>17.2</v>
      </c>
      <c r="L19" s="31">
        <v>17.100000000000001</v>
      </c>
      <c r="M19" s="31">
        <v>55.1</v>
      </c>
      <c r="N19" s="31">
        <v>118.9</v>
      </c>
      <c r="O19" s="31">
        <v>284.39999999999998</v>
      </c>
      <c r="P19" s="18">
        <f t="shared" si="0"/>
        <v>2594.1999999999998</v>
      </c>
      <c r="Q19" s="84"/>
      <c r="R19" s="84"/>
      <c r="S19" s="84"/>
      <c r="T19" s="84"/>
      <c r="U19" s="84"/>
      <c r="V19" s="31"/>
    </row>
    <row r="20" spans="1:32">
      <c r="A20" s="16" t="s">
        <v>1096</v>
      </c>
      <c r="B20" s="16">
        <v>8</v>
      </c>
      <c r="C20" s="51" t="s">
        <v>1151</v>
      </c>
      <c r="D20" s="83">
        <v>66.8</v>
      </c>
      <c r="E20" s="83">
        <v>6.6</v>
      </c>
      <c r="F20" s="83">
        <v>17.8</v>
      </c>
      <c r="G20" s="83">
        <v>116</v>
      </c>
      <c r="H20" s="83">
        <v>327.10000000000002</v>
      </c>
      <c r="I20" s="83">
        <v>609.70000000000005</v>
      </c>
      <c r="J20" s="83">
        <v>902.8</v>
      </c>
      <c r="K20" s="83">
        <v>889.9</v>
      </c>
      <c r="L20" s="83">
        <v>732.1</v>
      </c>
      <c r="M20" s="83">
        <v>595.9</v>
      </c>
      <c r="N20" s="83">
        <v>389</v>
      </c>
      <c r="O20" s="83">
        <v>195.4</v>
      </c>
      <c r="P20" s="51">
        <f t="shared" si="0"/>
        <v>4849.0999999999995</v>
      </c>
      <c r="Q20" s="84"/>
      <c r="R20" s="84"/>
      <c r="S20" s="84"/>
      <c r="T20" s="84"/>
      <c r="U20" s="84"/>
      <c r="V20" s="84"/>
    </row>
    <row r="21" spans="1:32">
      <c r="C21" s="16" t="s">
        <v>1152</v>
      </c>
      <c r="D21" s="31">
        <v>267.89999999999998</v>
      </c>
      <c r="E21" s="31">
        <v>416.4</v>
      </c>
      <c r="F21" s="31">
        <v>344.7</v>
      </c>
      <c r="G21" s="31">
        <v>196.2</v>
      </c>
      <c r="H21" s="31">
        <v>69.900000000000006</v>
      </c>
      <c r="I21" s="31">
        <v>11.4</v>
      </c>
      <c r="J21" s="31">
        <v>0</v>
      </c>
      <c r="K21" s="31">
        <v>1.1000000000000001</v>
      </c>
      <c r="L21" s="31">
        <v>2.9</v>
      </c>
      <c r="M21" s="31">
        <v>15.3</v>
      </c>
      <c r="N21" s="31">
        <v>43</v>
      </c>
      <c r="O21" s="31">
        <v>131</v>
      </c>
      <c r="P21" s="18">
        <f t="shared" si="0"/>
        <v>1499.8000000000002</v>
      </c>
      <c r="Q21" s="84"/>
      <c r="R21" s="84"/>
      <c r="S21" s="84"/>
      <c r="T21" s="84"/>
      <c r="U21" s="31"/>
      <c r="V21" s="31"/>
    </row>
    <row r="22" spans="1:32">
      <c r="A22" s="16" t="s">
        <v>1099</v>
      </c>
      <c r="B22" s="16">
        <v>9</v>
      </c>
      <c r="C22" s="51" t="s">
        <v>1151</v>
      </c>
      <c r="D22" s="83">
        <v>62.6</v>
      </c>
      <c r="E22" s="83">
        <v>15.2</v>
      </c>
      <c r="F22" s="83">
        <v>15.5</v>
      </c>
      <c r="G22" s="83">
        <v>53.4</v>
      </c>
      <c r="H22" s="83">
        <v>173.6</v>
      </c>
      <c r="I22" s="83">
        <v>364</v>
      </c>
      <c r="J22" s="83">
        <v>542.20000000000005</v>
      </c>
      <c r="K22" s="83">
        <v>543.6</v>
      </c>
      <c r="L22" s="83">
        <v>445.8</v>
      </c>
      <c r="M22" s="83">
        <v>393.1</v>
      </c>
      <c r="N22" s="83">
        <v>301.5</v>
      </c>
      <c r="O22" s="83">
        <v>155</v>
      </c>
      <c r="P22" s="51">
        <f t="shared" si="0"/>
        <v>3065.5</v>
      </c>
      <c r="Q22" s="84"/>
      <c r="R22" s="84"/>
      <c r="S22" s="84"/>
      <c r="T22" s="84"/>
      <c r="U22" s="84"/>
      <c r="V22" s="84"/>
    </row>
    <row r="23" spans="1:32">
      <c r="C23" s="16" t="s">
        <v>1152</v>
      </c>
      <c r="D23" s="31">
        <v>117.2</v>
      </c>
      <c r="E23" s="31">
        <v>221.7</v>
      </c>
      <c r="F23" s="31">
        <v>208.7</v>
      </c>
      <c r="G23" s="31">
        <v>132.19999999999999</v>
      </c>
      <c r="H23" s="31">
        <v>41.2</v>
      </c>
      <c r="I23" s="31">
        <v>6.4</v>
      </c>
      <c r="J23" s="31">
        <v>0</v>
      </c>
      <c r="K23" s="31">
        <v>2.2000000000000002</v>
      </c>
      <c r="L23" s="31">
        <v>0.3</v>
      </c>
      <c r="M23" s="31">
        <v>6.8</v>
      </c>
      <c r="N23" s="31">
        <v>12.7</v>
      </c>
      <c r="O23" s="31">
        <v>51.7</v>
      </c>
      <c r="P23" s="18">
        <f t="shared" si="0"/>
        <v>801.1</v>
      </c>
      <c r="Q23" s="84"/>
      <c r="R23" s="84"/>
      <c r="S23" s="84"/>
      <c r="T23" s="84"/>
      <c r="U23" s="84"/>
      <c r="V23" s="31"/>
    </row>
    <row r="25" spans="1:32">
      <c r="M25" s="16" t="s">
        <v>1153</v>
      </c>
      <c r="N25" s="16" t="s">
        <v>1154</v>
      </c>
    </row>
    <row r="26" spans="1:32">
      <c r="B26" s="16" t="s">
        <v>1155</v>
      </c>
      <c r="E26" s="16" t="s">
        <v>1156</v>
      </c>
      <c r="M26" s="18">
        <v>0.7</v>
      </c>
      <c r="N26" s="18">
        <v>0.3</v>
      </c>
      <c r="P26" s="18"/>
      <c r="Q26" s="85"/>
      <c r="R26" s="85"/>
      <c r="S26" s="85"/>
      <c r="T26" s="85"/>
      <c r="U26" s="85"/>
      <c r="V26" s="85"/>
    </row>
    <row r="27" spans="1:32">
      <c r="F27" s="16" t="s">
        <v>1157</v>
      </c>
      <c r="M27" s="18">
        <v>0.8</v>
      </c>
      <c r="N27" s="18">
        <v>0.2</v>
      </c>
    </row>
    <row r="28" spans="1:32">
      <c r="E28" s="16" t="s">
        <v>1158</v>
      </c>
      <c r="M28" s="51">
        <v>0.45</v>
      </c>
      <c r="N28" s="51">
        <v>0.55000000000000004</v>
      </c>
      <c r="P28" s="51"/>
      <c r="Q28" s="86"/>
      <c r="R28" s="86"/>
      <c r="S28" s="86"/>
      <c r="T28" s="86"/>
      <c r="U28" s="86"/>
      <c r="V28" s="86"/>
    </row>
    <row r="29" spans="1:32">
      <c r="F29" s="16" t="s">
        <v>1159</v>
      </c>
      <c r="M29" s="51">
        <v>0.2</v>
      </c>
      <c r="N29" s="51">
        <v>0.8</v>
      </c>
      <c r="U29" s="16" t="s">
        <v>1160</v>
      </c>
    </row>
    <row r="30" spans="1:32" ht="13">
      <c r="M30" s="51"/>
      <c r="N30" s="51"/>
      <c r="S30" s="33"/>
      <c r="T30" s="32">
        <v>2005</v>
      </c>
      <c r="U30" s="652">
        <v>2010</v>
      </c>
      <c r="V30" s="652">
        <v>2015</v>
      </c>
      <c r="W30" s="652">
        <v>2020</v>
      </c>
      <c r="X30" s="652">
        <v>2025</v>
      </c>
      <c r="Y30" s="652">
        <v>2030</v>
      </c>
      <c r="Z30" s="652">
        <v>2035</v>
      </c>
      <c r="AA30" s="652">
        <v>2040</v>
      </c>
      <c r="AB30" s="652">
        <v>2045</v>
      </c>
      <c r="AC30" s="652">
        <v>2050</v>
      </c>
      <c r="AD30" s="652">
        <v>2055</v>
      </c>
    </row>
    <row r="31" spans="1:32" ht="13">
      <c r="M31" s="51"/>
      <c r="N31" s="51"/>
      <c r="S31" s="37" t="s">
        <v>1161</v>
      </c>
      <c r="T31" s="37"/>
      <c r="U31" s="33"/>
      <c r="V31" s="33"/>
      <c r="W31" s="33"/>
      <c r="X31" s="33"/>
      <c r="Y31" s="33"/>
      <c r="Z31" s="33"/>
      <c r="AA31" s="33"/>
      <c r="AB31" s="33"/>
      <c r="AC31" s="33"/>
      <c r="AD31" s="33"/>
    </row>
    <row r="32" spans="1:32">
      <c r="B32" s="16" t="s">
        <v>1162</v>
      </c>
      <c r="I32" s="669" t="s">
        <v>1163</v>
      </c>
      <c r="J32" s="669"/>
      <c r="S32" s="52" t="s">
        <v>1164</v>
      </c>
      <c r="T32" s="52">
        <f>J34</f>
        <v>4376</v>
      </c>
      <c r="U32" s="52">
        <v>6082</v>
      </c>
      <c r="V32" s="52">
        <v>6115</v>
      </c>
      <c r="W32" s="52">
        <v>6045</v>
      </c>
      <c r="X32" s="52">
        <v>5975</v>
      </c>
      <c r="Y32" s="52">
        <v>5905</v>
      </c>
      <c r="Z32" s="52">
        <v>5835</v>
      </c>
      <c r="AA32" s="52">
        <v>5763</v>
      </c>
      <c r="AB32" s="87">
        <f>AA32*(AA32/Z32)</f>
        <v>5691.8884318766068</v>
      </c>
      <c r="AC32" s="87">
        <f t="shared" ref="AC32:AD32" si="1">AB32*(AB32/AA32)</f>
        <v>5621.6543329742735</v>
      </c>
      <c r="AD32" s="87">
        <f t="shared" si="1"/>
        <v>5552.2868759092953</v>
      </c>
      <c r="AF32" s="52"/>
    </row>
    <row r="33" spans="1:32">
      <c r="B33" s="645" t="s">
        <v>14</v>
      </c>
      <c r="C33" s="645" t="s">
        <v>1165</v>
      </c>
      <c r="D33" s="645" t="s">
        <v>1166</v>
      </c>
      <c r="E33" s="16" t="s">
        <v>1167</v>
      </c>
      <c r="I33" s="16" t="s">
        <v>1152</v>
      </c>
      <c r="J33" s="16" t="s">
        <v>1151</v>
      </c>
      <c r="S33" s="52" t="s">
        <v>1168</v>
      </c>
      <c r="T33" s="52">
        <f>J35</f>
        <v>4376</v>
      </c>
      <c r="U33" s="52">
        <v>5405</v>
      </c>
      <c r="V33" s="52">
        <v>5384</v>
      </c>
      <c r="W33" s="52">
        <v>5307</v>
      </c>
      <c r="X33" s="52">
        <v>5229</v>
      </c>
      <c r="Y33" s="52">
        <v>5152</v>
      </c>
      <c r="Z33" s="52">
        <v>5076</v>
      </c>
      <c r="AA33" s="52">
        <v>5000</v>
      </c>
      <c r="AB33" s="87">
        <f t="shared" ref="AB33:AB41" si="2">AA33*(AA33/Z33)</f>
        <v>4925.1379038613077</v>
      </c>
      <c r="AC33" s="87">
        <f t="shared" ref="AC33:AC41" si="3">AB33*(AB33/AA33)</f>
        <v>4851.3966744102709</v>
      </c>
      <c r="AD33" s="87">
        <f t="shared" ref="AD33:AD41" si="4">AC33*(AC33/AB33)</f>
        <v>4778.7595295609435</v>
      </c>
      <c r="AF33" s="52"/>
    </row>
    <row r="34" spans="1:32" ht="13">
      <c r="B34" s="29" t="s">
        <v>617</v>
      </c>
      <c r="C34" s="651">
        <v>1112</v>
      </c>
      <c r="D34" s="651">
        <v>4376</v>
      </c>
      <c r="E34" s="16">
        <f t="shared" ref="E34:E42" si="5">C34/D34</f>
        <v>0.25411334552102377</v>
      </c>
      <c r="I34" s="16">
        <f t="shared" ref="I34:I42" si="6">C34</f>
        <v>1112</v>
      </c>
      <c r="J34" s="16">
        <f t="shared" ref="J34:J42" si="7">D34</f>
        <v>4376</v>
      </c>
      <c r="K34" s="16">
        <f t="shared" ref="K34:K39" si="8">I34/I$43</f>
        <v>0.1111111111111111</v>
      </c>
      <c r="L34" s="16">
        <f t="shared" ref="L34:L39" si="9">J34/J$43</f>
        <v>0.1111111111111111</v>
      </c>
      <c r="S34" s="52" t="s">
        <v>1169</v>
      </c>
      <c r="T34" s="52">
        <f>J38</f>
        <v>4376</v>
      </c>
      <c r="U34" s="52">
        <v>6163</v>
      </c>
      <c r="V34" s="52">
        <v>5999</v>
      </c>
      <c r="W34" s="52">
        <v>5933</v>
      </c>
      <c r="X34" s="52">
        <v>5867</v>
      </c>
      <c r="Y34" s="52">
        <v>5801</v>
      </c>
      <c r="Z34" s="52">
        <v>5735</v>
      </c>
      <c r="AA34" s="52">
        <v>5669</v>
      </c>
      <c r="AB34" s="87">
        <f t="shared" si="2"/>
        <v>5603.7595466434177</v>
      </c>
      <c r="AC34" s="87">
        <f t="shared" si="3"/>
        <v>5539.2698988529264</v>
      </c>
      <c r="AD34" s="87">
        <f t="shared" si="4"/>
        <v>5475.5224161459873</v>
      </c>
      <c r="AF34" s="52"/>
    </row>
    <row r="35" spans="1:32" ht="13">
      <c r="B35" s="29" t="s">
        <v>618</v>
      </c>
      <c r="C35" s="16">
        <f>C34</f>
        <v>1112</v>
      </c>
      <c r="D35" s="16">
        <f>D34</f>
        <v>4376</v>
      </c>
      <c r="E35" s="16">
        <f t="shared" si="5"/>
        <v>0.25411334552102377</v>
      </c>
      <c r="I35" s="16">
        <f t="shared" si="6"/>
        <v>1112</v>
      </c>
      <c r="J35" s="16">
        <f t="shared" si="7"/>
        <v>4376</v>
      </c>
      <c r="K35" s="16">
        <f t="shared" si="8"/>
        <v>0.1111111111111111</v>
      </c>
      <c r="L35" s="16">
        <f t="shared" si="9"/>
        <v>0.1111111111111111</v>
      </c>
      <c r="S35" s="52" t="s">
        <v>1170</v>
      </c>
      <c r="T35" s="88">
        <f>U35*U35/V35</f>
        <v>7012.3008920038228</v>
      </c>
      <c r="U35" s="52">
        <v>6635</v>
      </c>
      <c r="V35" s="52">
        <v>6278</v>
      </c>
      <c r="W35" s="52">
        <v>6226</v>
      </c>
      <c r="X35" s="52">
        <v>6170</v>
      </c>
      <c r="Y35" s="52">
        <v>6112</v>
      </c>
      <c r="Z35" s="52">
        <v>6053</v>
      </c>
      <c r="AA35" s="52">
        <v>5992</v>
      </c>
      <c r="AB35" s="87">
        <f t="shared" si="2"/>
        <v>5931.6147364942999</v>
      </c>
      <c r="AC35" s="87">
        <f t="shared" si="3"/>
        <v>5871.8380143852373</v>
      </c>
      <c r="AD35" s="87">
        <f t="shared" si="4"/>
        <v>5812.6637010071599</v>
      </c>
      <c r="AF35" s="52"/>
    </row>
    <row r="36" spans="1:32" ht="13">
      <c r="B36" s="29" t="s">
        <v>619</v>
      </c>
      <c r="C36" s="16">
        <f t="shared" ref="C36:C42" si="10">C35</f>
        <v>1112</v>
      </c>
      <c r="D36" s="16">
        <f t="shared" ref="D36:D42" si="11">D35</f>
        <v>4376</v>
      </c>
      <c r="E36" s="16">
        <f t="shared" si="5"/>
        <v>0.25411334552102377</v>
      </c>
      <c r="I36" s="651">
        <f t="shared" si="6"/>
        <v>1112</v>
      </c>
      <c r="J36" s="651">
        <f t="shared" si="7"/>
        <v>4376</v>
      </c>
      <c r="K36" s="16">
        <f t="shared" si="8"/>
        <v>0.1111111111111111</v>
      </c>
      <c r="L36" s="16">
        <f t="shared" si="9"/>
        <v>0.1111111111111111</v>
      </c>
      <c r="S36" s="52" t="s">
        <v>1171</v>
      </c>
      <c r="T36" s="88">
        <f>U36*U36/V36</f>
        <v>2513.1951219512193</v>
      </c>
      <c r="U36" s="52">
        <v>2568</v>
      </c>
      <c r="V36" s="52">
        <v>2624</v>
      </c>
      <c r="W36" s="52">
        <v>2588</v>
      </c>
      <c r="X36" s="52">
        <v>2551</v>
      </c>
      <c r="Y36" s="52">
        <v>2516</v>
      </c>
      <c r="Z36" s="52">
        <v>2481</v>
      </c>
      <c r="AA36" s="52">
        <v>2448</v>
      </c>
      <c r="AB36" s="87">
        <f t="shared" si="2"/>
        <v>2415.4389359129382</v>
      </c>
      <c r="AC36" s="87">
        <f t="shared" si="3"/>
        <v>2383.3109694134914</v>
      </c>
      <c r="AD36" s="87">
        <f t="shared" si="4"/>
        <v>2351.6103398324171</v>
      </c>
      <c r="AF36" s="52"/>
    </row>
    <row r="37" spans="1:32" ht="13">
      <c r="B37" s="29" t="s">
        <v>621</v>
      </c>
      <c r="C37" s="16">
        <f t="shared" si="10"/>
        <v>1112</v>
      </c>
      <c r="D37" s="16">
        <f t="shared" si="11"/>
        <v>4376</v>
      </c>
      <c r="E37" s="16">
        <f t="shared" si="5"/>
        <v>0.25411334552102377</v>
      </c>
      <c r="I37" s="651">
        <f t="shared" si="6"/>
        <v>1112</v>
      </c>
      <c r="J37" s="651">
        <f t="shared" si="7"/>
        <v>4376</v>
      </c>
      <c r="K37" s="16">
        <f t="shared" si="8"/>
        <v>0.1111111111111111</v>
      </c>
      <c r="L37" s="16">
        <f t="shared" si="9"/>
        <v>0.1111111111111111</v>
      </c>
      <c r="S37" s="52" t="s">
        <v>1172</v>
      </c>
      <c r="T37" s="52">
        <f>J37</f>
        <v>4376</v>
      </c>
      <c r="U37" s="52">
        <v>3358</v>
      </c>
      <c r="V37" s="52">
        <v>3298</v>
      </c>
      <c r="W37" s="52">
        <v>3258</v>
      </c>
      <c r="X37" s="52">
        <v>3218</v>
      </c>
      <c r="Y37" s="52">
        <v>3177</v>
      </c>
      <c r="Z37" s="52">
        <v>3135</v>
      </c>
      <c r="AA37" s="52">
        <v>3093</v>
      </c>
      <c r="AB37" s="87">
        <f t="shared" si="2"/>
        <v>3051.5626794258374</v>
      </c>
      <c r="AC37" s="87">
        <f t="shared" si="3"/>
        <v>3010.6804999885535</v>
      </c>
      <c r="AD37" s="87">
        <f t="shared" si="4"/>
        <v>2970.3460243906206</v>
      </c>
      <c r="AF37" s="52"/>
    </row>
    <row r="38" spans="1:32" ht="13">
      <c r="B38" s="29" t="s">
        <v>620</v>
      </c>
      <c r="C38" s="16">
        <f t="shared" si="10"/>
        <v>1112</v>
      </c>
      <c r="D38" s="16">
        <f t="shared" si="11"/>
        <v>4376</v>
      </c>
      <c r="E38" s="16">
        <f t="shared" si="5"/>
        <v>0.25411334552102377</v>
      </c>
      <c r="I38" s="651">
        <f t="shared" si="6"/>
        <v>1112</v>
      </c>
      <c r="J38" s="651">
        <f t="shared" si="7"/>
        <v>4376</v>
      </c>
      <c r="K38" s="16">
        <f t="shared" si="8"/>
        <v>0.1111111111111111</v>
      </c>
      <c r="L38" s="16">
        <f t="shared" si="9"/>
        <v>0.1111111111111111</v>
      </c>
      <c r="S38" s="52" t="s">
        <v>1173</v>
      </c>
      <c r="T38" s="52">
        <f>J39</f>
        <v>4376</v>
      </c>
      <c r="U38" s="52">
        <v>2145</v>
      </c>
      <c r="V38" s="52">
        <v>1979</v>
      </c>
      <c r="W38" s="52">
        <v>1924</v>
      </c>
      <c r="X38" s="52">
        <v>1870</v>
      </c>
      <c r="Y38" s="52">
        <v>1815</v>
      </c>
      <c r="Z38" s="52">
        <v>1761</v>
      </c>
      <c r="AA38" s="52">
        <v>1707</v>
      </c>
      <c r="AB38" s="87">
        <f t="shared" si="2"/>
        <v>1654.655877342419</v>
      </c>
      <c r="AC38" s="87">
        <f t="shared" si="3"/>
        <v>1603.9168555499768</v>
      </c>
      <c r="AD38" s="87">
        <f t="shared" si="4"/>
        <v>1554.7337151753609</v>
      </c>
      <c r="AF38" s="52"/>
    </row>
    <row r="39" spans="1:32" ht="13">
      <c r="B39" s="29" t="s">
        <v>622</v>
      </c>
      <c r="C39" s="16">
        <f t="shared" si="10"/>
        <v>1112</v>
      </c>
      <c r="D39" s="16">
        <f t="shared" si="11"/>
        <v>4376</v>
      </c>
      <c r="E39" s="16">
        <f t="shared" si="5"/>
        <v>0.25411334552102377</v>
      </c>
      <c r="I39" s="651">
        <f t="shared" si="6"/>
        <v>1112</v>
      </c>
      <c r="J39" s="651">
        <f t="shared" si="7"/>
        <v>4376</v>
      </c>
      <c r="K39" s="16">
        <f t="shared" si="8"/>
        <v>0.1111111111111111</v>
      </c>
      <c r="L39" s="16">
        <f t="shared" si="9"/>
        <v>0.1111111111111111</v>
      </c>
      <c r="S39" s="52" t="s">
        <v>1174</v>
      </c>
      <c r="T39" s="88">
        <f t="shared" ref="T39:T40" si="12">U39*U39/V39</f>
        <v>5777.155654383736</v>
      </c>
      <c r="U39" s="52">
        <v>5223</v>
      </c>
      <c r="V39" s="52">
        <v>4722</v>
      </c>
      <c r="W39" s="52">
        <v>4660</v>
      </c>
      <c r="X39" s="52">
        <v>4586</v>
      </c>
      <c r="Y39" s="52">
        <v>4508</v>
      </c>
      <c r="Z39" s="52">
        <v>4428</v>
      </c>
      <c r="AA39" s="52">
        <v>4347</v>
      </c>
      <c r="AB39" s="87">
        <f t="shared" si="2"/>
        <v>4267.4817073170734</v>
      </c>
      <c r="AC39" s="87">
        <f t="shared" si="3"/>
        <v>4189.4180175490783</v>
      </c>
      <c r="AD39" s="87">
        <f t="shared" si="4"/>
        <v>4112.7823221061071</v>
      </c>
      <c r="AF39" s="52"/>
    </row>
    <row r="40" spans="1:32">
      <c r="B40" s="180" t="s">
        <v>1094</v>
      </c>
      <c r="C40" s="180">
        <f t="shared" si="10"/>
        <v>1112</v>
      </c>
      <c r="D40" s="180">
        <f t="shared" si="11"/>
        <v>4376</v>
      </c>
      <c r="E40" s="180">
        <f t="shared" si="5"/>
        <v>0.25411334552102377</v>
      </c>
      <c r="H40" s="180"/>
      <c r="I40" s="651">
        <f t="shared" si="6"/>
        <v>1112</v>
      </c>
      <c r="J40" s="651">
        <f t="shared" si="7"/>
        <v>4376</v>
      </c>
      <c r="K40" s="16">
        <f t="shared" ref="K40:K42" si="13">I40/I$43</f>
        <v>0.1111111111111111</v>
      </c>
      <c r="L40" s="16">
        <f t="shared" ref="L40:L42" si="14">J40/J$43</f>
        <v>0.1111111111111111</v>
      </c>
      <c r="M40" s="180"/>
      <c r="S40" s="52" t="s">
        <v>1175</v>
      </c>
      <c r="T40" s="88">
        <f t="shared" si="12"/>
        <v>3876.6389061528898</v>
      </c>
      <c r="U40" s="52">
        <v>3532</v>
      </c>
      <c r="V40" s="52">
        <v>3218</v>
      </c>
      <c r="W40" s="52">
        <v>3244</v>
      </c>
      <c r="X40" s="52">
        <v>3267</v>
      </c>
      <c r="Y40" s="52">
        <v>3290</v>
      </c>
      <c r="Z40" s="52">
        <v>3314</v>
      </c>
      <c r="AA40" s="52">
        <v>3339</v>
      </c>
      <c r="AB40" s="87">
        <f t="shared" si="2"/>
        <v>3364.1885938442974</v>
      </c>
      <c r="AC40" s="87">
        <f t="shared" si="3"/>
        <v>3389.5672042384158</v>
      </c>
      <c r="AD40" s="87">
        <f t="shared" si="4"/>
        <v>3415.13726462042</v>
      </c>
      <c r="AF40" s="52"/>
    </row>
    <row r="41" spans="1:32" ht="13">
      <c r="B41" s="180" t="s">
        <v>1097</v>
      </c>
      <c r="C41" s="180">
        <f t="shared" si="10"/>
        <v>1112</v>
      </c>
      <c r="D41" s="180">
        <f t="shared" si="11"/>
        <v>4376</v>
      </c>
      <c r="E41" s="180">
        <f t="shared" si="5"/>
        <v>0.25411334552102377</v>
      </c>
      <c r="H41" s="180"/>
      <c r="I41" s="651">
        <f t="shared" si="6"/>
        <v>1112</v>
      </c>
      <c r="J41" s="651">
        <f t="shared" si="7"/>
        <v>4376</v>
      </c>
      <c r="K41" s="16">
        <f t="shared" si="13"/>
        <v>0.1111111111111111</v>
      </c>
      <c r="L41" s="16">
        <f t="shared" si="14"/>
        <v>0.1111111111111111</v>
      </c>
      <c r="M41" s="180"/>
      <c r="S41" s="37" t="s">
        <v>1176</v>
      </c>
      <c r="T41" s="37"/>
      <c r="U41" s="89">
        <v>4257.6396480000003</v>
      </c>
      <c r="V41" s="89">
        <v>4085.9526369999999</v>
      </c>
      <c r="W41" s="89">
        <v>4015.4521479999999</v>
      </c>
      <c r="X41" s="89">
        <v>3945.3781739999999</v>
      </c>
      <c r="Y41" s="89">
        <v>3877.0732419999999</v>
      </c>
      <c r="Z41" s="89">
        <v>3810.336182</v>
      </c>
      <c r="AA41" s="89">
        <v>3744.6064449999999</v>
      </c>
      <c r="AB41" s="78">
        <f t="shared" si="2"/>
        <v>3680.0105707668858</v>
      </c>
      <c r="AC41" s="78">
        <f t="shared" si="3"/>
        <v>3616.5289997400573</v>
      </c>
      <c r="AD41" s="78">
        <f t="shared" si="4"/>
        <v>3554.1425097687143</v>
      </c>
      <c r="AF41" s="37"/>
    </row>
    <row r="42" spans="1:32">
      <c r="B42" s="180" t="s">
        <v>1100</v>
      </c>
      <c r="C42" s="180">
        <f t="shared" si="10"/>
        <v>1112</v>
      </c>
      <c r="D42" s="180">
        <f t="shared" si="11"/>
        <v>4376</v>
      </c>
      <c r="E42" s="180">
        <f t="shared" si="5"/>
        <v>0.25411334552102377</v>
      </c>
      <c r="H42" s="180"/>
      <c r="I42" s="651">
        <f t="shared" si="6"/>
        <v>1112</v>
      </c>
      <c r="J42" s="651">
        <f t="shared" si="7"/>
        <v>4376</v>
      </c>
      <c r="K42" s="16">
        <f t="shared" si="13"/>
        <v>0.1111111111111111</v>
      </c>
      <c r="L42" s="16">
        <f t="shared" si="14"/>
        <v>0.1111111111111111</v>
      </c>
      <c r="M42" s="180"/>
      <c r="S42" s="52"/>
      <c r="T42" s="52"/>
      <c r="AB42" s="33"/>
      <c r="AC42" s="33"/>
      <c r="AD42" s="33"/>
    </row>
    <row r="43" spans="1:32" ht="13">
      <c r="A43" s="16" t="s">
        <v>1177</v>
      </c>
      <c r="C43" s="645"/>
      <c r="D43" s="645"/>
      <c r="E43" s="645"/>
      <c r="F43" s="645"/>
      <c r="G43" s="645"/>
      <c r="H43" s="181" t="s">
        <v>1178</v>
      </c>
      <c r="I43" s="182">
        <f>SUM(I34:I42)</f>
        <v>10008</v>
      </c>
      <c r="J43" s="182">
        <f>SUM(J34:J42)</f>
        <v>39384</v>
      </c>
      <c r="K43" s="183">
        <f>SUM(K34:K42)</f>
        <v>1.0000000000000002</v>
      </c>
      <c r="L43" s="183">
        <f>SUM(L34:L42)</f>
        <v>1.0000000000000002</v>
      </c>
      <c r="M43" s="180"/>
      <c r="S43" s="37" t="s">
        <v>1179</v>
      </c>
      <c r="T43" s="37"/>
      <c r="AB43" s="33"/>
      <c r="AC43" s="33"/>
      <c r="AD43" s="33"/>
    </row>
    <row r="44" spans="1:32">
      <c r="A44" s="16" t="s">
        <v>1180</v>
      </c>
      <c r="I44" s="180"/>
      <c r="J44" s="180"/>
      <c r="K44" s="180"/>
      <c r="L44" s="180"/>
      <c r="M44" s="180"/>
      <c r="S44" s="52" t="s">
        <v>1164</v>
      </c>
      <c r="T44" s="52">
        <f>I34</f>
        <v>1112</v>
      </c>
      <c r="U44" s="52">
        <v>568</v>
      </c>
      <c r="V44" s="52">
        <v>546</v>
      </c>
      <c r="W44" s="52">
        <v>565</v>
      </c>
      <c r="X44" s="52">
        <v>583</v>
      </c>
      <c r="Y44" s="52">
        <v>601</v>
      </c>
      <c r="Z44" s="52">
        <v>620</v>
      </c>
      <c r="AA44" s="52">
        <v>638</v>
      </c>
      <c r="AB44" s="87">
        <f>AA44*(AA44/Z44)</f>
        <v>656.52258064516127</v>
      </c>
      <c r="AC44" s="87">
        <f t="shared" ref="AC44:AC53" si="15">AB44*(AB44/AA44)</f>
        <v>675.58291363163369</v>
      </c>
      <c r="AD44" s="87">
        <f t="shared" ref="AD44:AD53" si="16">AC44*(AC44/AB44)</f>
        <v>695.19661112416497</v>
      </c>
      <c r="AF44" s="52"/>
    </row>
    <row r="45" spans="1:32">
      <c r="S45" s="52" t="s">
        <v>1168</v>
      </c>
      <c r="T45" s="52">
        <f>I35</f>
        <v>1112</v>
      </c>
      <c r="U45" s="52">
        <v>885</v>
      </c>
      <c r="V45" s="52">
        <v>821</v>
      </c>
      <c r="W45" s="52">
        <v>848</v>
      </c>
      <c r="X45" s="52">
        <v>875</v>
      </c>
      <c r="Y45" s="52">
        <v>903</v>
      </c>
      <c r="Z45" s="52">
        <v>929</v>
      </c>
      <c r="AA45" s="52">
        <v>956</v>
      </c>
      <c r="AB45" s="87">
        <f t="shared" ref="AB45:AB53" si="17">AA45*(AA45/Z45)</f>
        <v>983.78471474703974</v>
      </c>
      <c r="AC45" s="87">
        <f t="shared" si="15"/>
        <v>1012.3769508053498</v>
      </c>
      <c r="AD45" s="87">
        <f t="shared" si="16"/>
        <v>1041.8001775779487</v>
      </c>
      <c r="AF45" s="52"/>
    </row>
    <row r="46" spans="1:32">
      <c r="S46" s="52" t="s">
        <v>1169</v>
      </c>
      <c r="T46" s="52">
        <f>I38</f>
        <v>1112</v>
      </c>
      <c r="U46" s="52">
        <v>855</v>
      </c>
      <c r="V46" s="52">
        <v>814</v>
      </c>
      <c r="W46" s="52">
        <v>825</v>
      </c>
      <c r="X46" s="52">
        <v>835</v>
      </c>
      <c r="Y46" s="52">
        <v>846</v>
      </c>
      <c r="Z46" s="52">
        <v>856</v>
      </c>
      <c r="AA46" s="52">
        <v>867</v>
      </c>
      <c r="AB46" s="87">
        <f t="shared" si="17"/>
        <v>878.14135514018687</v>
      </c>
      <c r="AC46" s="87">
        <f t="shared" si="15"/>
        <v>889.4258819001659</v>
      </c>
      <c r="AD46" s="87">
        <f t="shared" si="16"/>
        <v>900.85542010215397</v>
      </c>
      <c r="AF46" s="52"/>
    </row>
    <row r="47" spans="1:32" ht="13">
      <c r="A47" s="15" t="s">
        <v>1181</v>
      </c>
      <c r="B47" s="15" t="s">
        <v>1182</v>
      </c>
      <c r="S47" s="52" t="s">
        <v>1170</v>
      </c>
      <c r="T47" s="88">
        <f>U47*U47/V47</f>
        <v>1114.267716535433</v>
      </c>
      <c r="U47" s="52">
        <v>1064</v>
      </c>
      <c r="V47" s="52">
        <v>1016</v>
      </c>
      <c r="W47" s="52">
        <v>1024</v>
      </c>
      <c r="X47" s="52">
        <v>1032</v>
      </c>
      <c r="Y47" s="52">
        <v>1041</v>
      </c>
      <c r="Z47" s="52">
        <v>1051</v>
      </c>
      <c r="AA47" s="52">
        <v>1061</v>
      </c>
      <c r="AB47" s="87">
        <f t="shared" si="17"/>
        <v>1071.0951474785918</v>
      </c>
      <c r="AC47" s="87">
        <f t="shared" si="15"/>
        <v>1081.2863477400438</v>
      </c>
      <c r="AD47" s="87">
        <f t="shared" si="16"/>
        <v>1091.5745147023658</v>
      </c>
      <c r="AF47" s="52"/>
    </row>
    <row r="48" spans="1:32" ht="13">
      <c r="B48" s="15" t="s">
        <v>1183</v>
      </c>
      <c r="S48" s="52" t="s">
        <v>1171</v>
      </c>
      <c r="T48" s="88">
        <f>U48*U48/V48</f>
        <v>2366.1551565377531</v>
      </c>
      <c r="U48" s="52">
        <v>2267</v>
      </c>
      <c r="V48" s="52">
        <v>2172</v>
      </c>
      <c r="W48" s="52">
        <v>2208</v>
      </c>
      <c r="X48" s="52">
        <v>2244</v>
      </c>
      <c r="Y48" s="52">
        <v>2280</v>
      </c>
      <c r="Z48" s="52">
        <v>2316</v>
      </c>
      <c r="AA48" s="52">
        <v>2350</v>
      </c>
      <c r="AB48" s="87">
        <f t="shared" si="17"/>
        <v>2384.4991364421412</v>
      </c>
      <c r="AC48" s="87">
        <f t="shared" si="15"/>
        <v>2419.5047368907735</v>
      </c>
      <c r="AD48" s="87">
        <f t="shared" si="16"/>
        <v>2455.0242364824339</v>
      </c>
      <c r="AF48" s="52"/>
    </row>
    <row r="49" spans="1:32" ht="13">
      <c r="B49" s="15" t="s">
        <v>127</v>
      </c>
      <c r="C49" s="15"/>
      <c r="D49" s="29" t="s">
        <v>127</v>
      </c>
      <c r="E49" s="29" t="s">
        <v>127</v>
      </c>
      <c r="F49" s="29" t="s">
        <v>127</v>
      </c>
      <c r="G49" s="29" t="s">
        <v>127</v>
      </c>
      <c r="H49" s="29" t="s">
        <v>127</v>
      </c>
      <c r="I49" s="29" t="s">
        <v>127</v>
      </c>
      <c r="J49" s="29" t="s">
        <v>127</v>
      </c>
      <c r="K49" s="29"/>
      <c r="S49" s="52" t="s">
        <v>1172</v>
      </c>
      <c r="T49" s="52">
        <f>I37</f>
        <v>1112</v>
      </c>
      <c r="U49" s="52">
        <v>1740</v>
      </c>
      <c r="V49" s="52">
        <v>1761</v>
      </c>
      <c r="W49" s="52">
        <v>1795</v>
      </c>
      <c r="X49" s="52">
        <v>1829</v>
      </c>
      <c r="Y49" s="52">
        <v>1863</v>
      </c>
      <c r="Z49" s="52">
        <v>1897</v>
      </c>
      <c r="AA49" s="52">
        <v>1931</v>
      </c>
      <c r="AB49" s="87">
        <f t="shared" si="17"/>
        <v>1965.6093832366894</v>
      </c>
      <c r="AC49" s="87">
        <f t="shared" si="15"/>
        <v>2000.8390717079847</v>
      </c>
      <c r="AD49" s="87">
        <f t="shared" si="16"/>
        <v>2036.7001831671682</v>
      </c>
      <c r="AF49" s="52"/>
    </row>
    <row r="50" spans="1:32" ht="13">
      <c r="B50" s="79" t="s">
        <v>1184</v>
      </c>
      <c r="C50" s="79"/>
      <c r="D50" s="15">
        <v>2007</v>
      </c>
      <c r="E50" s="15">
        <v>2010</v>
      </c>
      <c r="F50" s="15">
        <v>2015</v>
      </c>
      <c r="G50" s="15">
        <v>2020</v>
      </c>
      <c r="H50" s="15">
        <v>2025</v>
      </c>
      <c r="I50" s="15">
        <v>2030</v>
      </c>
      <c r="J50" s="15">
        <v>2035</v>
      </c>
      <c r="K50" s="15">
        <v>2040</v>
      </c>
      <c r="S50" s="52" t="s">
        <v>1173</v>
      </c>
      <c r="T50" s="88">
        <f t="shared" ref="T50:T52" si="18">U50*U50/V50</f>
        <v>3346.3141230878691</v>
      </c>
      <c r="U50" s="52">
        <v>3067</v>
      </c>
      <c r="V50" s="52">
        <v>2811</v>
      </c>
      <c r="W50" s="52">
        <v>2880</v>
      </c>
      <c r="X50" s="52">
        <v>2948</v>
      </c>
      <c r="Y50" s="52">
        <v>3017</v>
      </c>
      <c r="Z50" s="52">
        <v>3086</v>
      </c>
      <c r="AA50" s="52">
        <v>3155</v>
      </c>
      <c r="AB50" s="87">
        <f t="shared" si="17"/>
        <v>3225.5427738172393</v>
      </c>
      <c r="AC50" s="87">
        <f t="shared" si="15"/>
        <v>3297.6628163944883</v>
      </c>
      <c r="AD50" s="87">
        <f t="shared" si="16"/>
        <v>3371.3953939483508</v>
      </c>
      <c r="AF50" s="52"/>
    </row>
    <row r="51" spans="1:32">
      <c r="S51" s="52" t="s">
        <v>1174</v>
      </c>
      <c r="T51" s="88">
        <f t="shared" si="18"/>
        <v>1406.9702233250621</v>
      </c>
      <c r="U51" s="52">
        <v>1506</v>
      </c>
      <c r="V51" s="52">
        <v>1612</v>
      </c>
      <c r="W51" s="52">
        <v>1661</v>
      </c>
      <c r="X51" s="52">
        <v>1719</v>
      </c>
      <c r="Y51" s="52">
        <v>1779</v>
      </c>
      <c r="Z51" s="52">
        <v>1841</v>
      </c>
      <c r="AA51" s="52">
        <v>1905</v>
      </c>
      <c r="AB51" s="87">
        <f t="shared" si="17"/>
        <v>1971.2248777838131</v>
      </c>
      <c r="AC51" s="87">
        <f t="shared" si="15"/>
        <v>2039.7519783694534</v>
      </c>
      <c r="AD51" s="87">
        <f t="shared" si="16"/>
        <v>2110.6613355751269</v>
      </c>
      <c r="AF51" s="52"/>
    </row>
    <row r="52" spans="1:32" ht="13">
      <c r="B52" s="15" t="s">
        <v>1185</v>
      </c>
      <c r="C52" s="15"/>
      <c r="S52" s="52" t="s">
        <v>1175</v>
      </c>
      <c r="T52" s="88">
        <f t="shared" si="18"/>
        <v>684.05697674418604</v>
      </c>
      <c r="U52" s="52">
        <v>767</v>
      </c>
      <c r="V52" s="52">
        <v>860</v>
      </c>
      <c r="W52" s="52">
        <v>860</v>
      </c>
      <c r="X52" s="52">
        <v>861</v>
      </c>
      <c r="Y52" s="52">
        <v>861</v>
      </c>
      <c r="Z52" s="52">
        <v>861</v>
      </c>
      <c r="AA52" s="52">
        <v>861</v>
      </c>
      <c r="AB52" s="87">
        <f t="shared" si="17"/>
        <v>861</v>
      </c>
      <c r="AC52" s="87">
        <f t="shared" si="15"/>
        <v>861</v>
      </c>
      <c r="AD52" s="87">
        <f t="shared" si="16"/>
        <v>861</v>
      </c>
      <c r="AF52" s="52"/>
    </row>
    <row r="53" spans="1:32" ht="13">
      <c r="B53" s="15" t="s">
        <v>1186</v>
      </c>
      <c r="C53" s="15"/>
      <c r="S53" s="37" t="s">
        <v>1176</v>
      </c>
      <c r="T53" s="37"/>
      <c r="U53" s="89">
        <v>1480.630249</v>
      </c>
      <c r="V53" s="89">
        <v>1447.2969969999999</v>
      </c>
      <c r="W53" s="89">
        <v>1488.2861330000001</v>
      </c>
      <c r="X53" s="89">
        <v>1529.6455080000001</v>
      </c>
      <c r="Y53" s="89">
        <v>1571.5615230000001</v>
      </c>
      <c r="Z53" s="89">
        <v>1613.6485600000001</v>
      </c>
      <c r="AA53" s="89">
        <v>1656.1577150000001</v>
      </c>
      <c r="AB53" s="78">
        <f t="shared" si="17"/>
        <v>1699.7867100343221</v>
      </c>
      <c r="AC53" s="78">
        <f t="shared" si="15"/>
        <v>1744.5650456117971</v>
      </c>
      <c r="AD53" s="78">
        <f t="shared" si="16"/>
        <v>1790.5229993879861</v>
      </c>
      <c r="AF53" s="37"/>
    </row>
    <row r="54" spans="1:32">
      <c r="B54" s="16" t="s">
        <v>1187</v>
      </c>
      <c r="D54" s="22">
        <v>80.794464000000005</v>
      </c>
      <c r="E54" s="22">
        <v>82.108704000000003</v>
      </c>
      <c r="F54" s="91">
        <v>81.206581</v>
      </c>
      <c r="G54" s="91">
        <v>85.713097000000005</v>
      </c>
      <c r="H54" s="91">
        <v>89.733536000000001</v>
      </c>
      <c r="I54" s="91">
        <v>93.555961999999994</v>
      </c>
      <c r="J54" s="91">
        <v>96.987388999999993</v>
      </c>
      <c r="K54" s="91">
        <v>100.37367999999999</v>
      </c>
      <c r="T54" s="651"/>
      <c r="U54" s="651"/>
      <c r="X54" s="651"/>
    </row>
    <row r="55" spans="1:32">
      <c r="B55" s="16" t="s">
        <v>1188</v>
      </c>
      <c r="D55" s="22">
        <v>24.912299999999998</v>
      </c>
      <c r="E55" s="22">
        <v>25.522863000000001</v>
      </c>
      <c r="F55" s="91">
        <v>28.962713000000001</v>
      </c>
      <c r="G55" s="91">
        <v>30.546143000000001</v>
      </c>
      <c r="H55" s="91">
        <v>32.178677</v>
      </c>
      <c r="I55" s="91">
        <v>33.98386</v>
      </c>
      <c r="J55" s="91">
        <v>35.822186000000002</v>
      </c>
      <c r="K55" s="91">
        <v>37.608955000000002</v>
      </c>
    </row>
    <row r="56" spans="1:32">
      <c r="B56" s="16" t="s">
        <v>1189</v>
      </c>
      <c r="D56" s="22">
        <v>6.7729150000000002</v>
      </c>
      <c r="E56" s="22">
        <v>6.5580730000000003</v>
      </c>
      <c r="F56" s="91">
        <v>6.0181339999999999</v>
      </c>
      <c r="G56" s="91">
        <v>5.7028100000000004</v>
      </c>
      <c r="H56" s="91">
        <v>5.4645440000000001</v>
      </c>
      <c r="I56" s="91">
        <v>5.2926279999999997</v>
      </c>
      <c r="J56" s="91">
        <v>5.1442629999999996</v>
      </c>
      <c r="K56" s="91">
        <v>5.0316460000000003</v>
      </c>
    </row>
    <row r="57" spans="1:32" ht="13">
      <c r="B57" s="15" t="s">
        <v>1190</v>
      </c>
      <c r="C57" s="15"/>
      <c r="D57" s="80">
        <v>112.479675</v>
      </c>
      <c r="E57" s="80">
        <v>114.189644</v>
      </c>
      <c r="F57" s="38">
        <v>116.187431</v>
      </c>
      <c r="G57" s="38">
        <v>121.962051</v>
      </c>
      <c r="H57" s="38">
        <v>127.376762</v>
      </c>
      <c r="I57" s="38">
        <v>132.832458</v>
      </c>
      <c r="J57" s="38">
        <v>137.95382699999999</v>
      </c>
      <c r="K57" s="38">
        <v>143.01428200000001</v>
      </c>
      <c r="S57" s="30"/>
      <c r="W57" s="30"/>
    </row>
    <row r="58" spans="1:32">
      <c r="S58" s="30"/>
      <c r="W58" s="30"/>
    </row>
    <row r="59" spans="1:32" ht="13">
      <c r="B59" s="15" t="s">
        <v>1191</v>
      </c>
      <c r="C59" s="15"/>
      <c r="D59" s="81">
        <v>1645.5268550000001</v>
      </c>
      <c r="E59" s="81">
        <v>1652.901611</v>
      </c>
      <c r="F59" s="89">
        <v>1695.30249</v>
      </c>
      <c r="G59" s="89">
        <v>1735.5345460000001</v>
      </c>
      <c r="H59" s="89">
        <v>1770.923462</v>
      </c>
      <c r="I59" s="89">
        <v>1802.268188</v>
      </c>
      <c r="J59" s="89">
        <v>1830.575439</v>
      </c>
      <c r="K59" s="89">
        <v>1857.958374</v>
      </c>
      <c r="S59" s="30"/>
      <c r="T59" s="92"/>
      <c r="U59" s="92"/>
      <c r="W59" s="30"/>
      <c r="X59" s="92"/>
    </row>
    <row r="60" spans="1:32" ht="13">
      <c r="B60" s="15"/>
      <c r="C60" s="184">
        <v>2000</v>
      </c>
      <c r="D60" s="184">
        <v>2005</v>
      </c>
      <c r="E60" s="184">
        <v>2010</v>
      </c>
      <c r="F60" s="184">
        <v>2015</v>
      </c>
      <c r="G60" s="184">
        <v>2020</v>
      </c>
      <c r="H60" s="184">
        <v>2025</v>
      </c>
      <c r="I60" s="184">
        <v>2030</v>
      </c>
      <c r="J60" s="184">
        <v>2035</v>
      </c>
      <c r="K60" s="184">
        <v>2040</v>
      </c>
      <c r="L60" s="184">
        <v>2045</v>
      </c>
      <c r="M60" s="184">
        <v>2050</v>
      </c>
      <c r="N60" s="184">
        <v>2055</v>
      </c>
      <c r="S60" s="30"/>
      <c r="T60" s="92"/>
      <c r="U60" s="92"/>
      <c r="W60" s="30"/>
      <c r="X60" s="92"/>
    </row>
    <row r="61" spans="1:32" ht="13">
      <c r="A61" s="79"/>
      <c r="B61" s="15" t="s">
        <v>1192</v>
      </c>
      <c r="C61" s="185">
        <v>2.581929344679804</v>
      </c>
      <c r="D61" s="22">
        <v>2.6245352283423657</v>
      </c>
      <c r="E61" s="22">
        <v>2.7044649846705924</v>
      </c>
      <c r="F61" s="22">
        <v>2.7144033864231703</v>
      </c>
      <c r="G61" s="22">
        <v>2.6670519411573586</v>
      </c>
      <c r="H61" s="22">
        <v>2.6352892469264995</v>
      </c>
      <c r="I61" s="22">
        <v>2.6079757158216266</v>
      </c>
      <c r="J61" s="22">
        <v>2.5885362492483068</v>
      </c>
      <c r="K61" s="186">
        <f>J61</f>
        <v>2.5885362492483068</v>
      </c>
      <c r="L61" s="186">
        <f>K61</f>
        <v>2.5885362492483068</v>
      </c>
      <c r="M61" s="186">
        <f>L61</f>
        <v>2.5885362492483068</v>
      </c>
      <c r="N61" s="186">
        <f>M61</f>
        <v>2.5885362492483068</v>
      </c>
      <c r="S61" s="30"/>
      <c r="T61" s="92"/>
      <c r="U61" s="92"/>
      <c r="W61" s="30"/>
      <c r="X61" s="92"/>
    </row>
    <row r="62" spans="1:32" ht="13">
      <c r="A62" s="79"/>
      <c r="B62" s="15" t="s">
        <v>1193</v>
      </c>
      <c r="C62" s="31">
        <v>1678.07678222656</v>
      </c>
      <c r="D62" s="31">
        <v>1645.5268550000001</v>
      </c>
      <c r="E62" s="31">
        <v>1652.901611</v>
      </c>
      <c r="F62" s="31">
        <v>1683.307861</v>
      </c>
      <c r="G62" s="31">
        <v>1703.668091</v>
      </c>
      <c r="H62" s="31">
        <v>1723.825928</v>
      </c>
      <c r="I62" s="31">
        <v>1742.627197</v>
      </c>
      <c r="J62" s="31">
        <v>1759.5878909999999</v>
      </c>
      <c r="K62" s="187">
        <f>J62*(1+0.00337)^5</f>
        <v>1789.437456178787</v>
      </c>
      <c r="L62" s="187">
        <f>K62*(1+0.00337)^5</f>
        <v>1819.7933879596176</v>
      </c>
      <c r="M62" s="187">
        <f>L62*(1+0.00337)^5</f>
        <v>1850.664276321412</v>
      </c>
      <c r="N62" s="187">
        <f>M62*(1+0.00337)^5</f>
        <v>1882.0588569630838</v>
      </c>
      <c r="R62" s="30"/>
      <c r="S62" s="92"/>
      <c r="T62" s="92"/>
      <c r="V62" s="30"/>
      <c r="W62" s="92"/>
    </row>
    <row r="63" spans="1:32" ht="13">
      <c r="A63" s="79"/>
      <c r="C63" s="31"/>
      <c r="D63" s="31"/>
      <c r="E63" s="31"/>
      <c r="F63" s="31"/>
      <c r="G63" s="31"/>
      <c r="H63" s="31"/>
      <c r="I63" s="31"/>
      <c r="J63" s="31"/>
      <c r="K63" s="93"/>
      <c r="L63" s="93"/>
      <c r="M63" s="93"/>
      <c r="N63" s="93"/>
      <c r="R63" s="22"/>
      <c r="S63" s="94"/>
      <c r="T63" s="22"/>
      <c r="U63" s="22"/>
      <c r="V63" s="22"/>
      <c r="W63" s="22"/>
      <c r="X63" s="22"/>
      <c r="Y63" s="22"/>
      <c r="Z63" s="22"/>
      <c r="AA63" s="22"/>
      <c r="AB63" s="22"/>
      <c r="AC63" s="22"/>
    </row>
    <row r="64" spans="1:32" ht="13">
      <c r="B64" s="15" t="s">
        <v>1194</v>
      </c>
      <c r="R64" s="22"/>
      <c r="S64" s="94"/>
      <c r="T64" s="22"/>
      <c r="U64" s="22"/>
      <c r="V64" s="22"/>
      <c r="W64" s="22"/>
      <c r="X64" s="22"/>
      <c r="Y64" s="22"/>
      <c r="Z64" s="22"/>
      <c r="AA64" s="22"/>
      <c r="AB64" s="22"/>
      <c r="AC64" s="22"/>
    </row>
    <row r="65" spans="1:29" ht="13">
      <c r="B65" s="47" t="s">
        <v>14</v>
      </c>
      <c r="C65" s="184">
        <v>2000</v>
      </c>
      <c r="D65" s="184">
        <v>2005</v>
      </c>
      <c r="E65" s="184">
        <v>2010</v>
      </c>
      <c r="F65" s="184">
        <v>2015</v>
      </c>
      <c r="G65" s="184">
        <v>2020</v>
      </c>
      <c r="H65" s="184">
        <v>2025</v>
      </c>
      <c r="I65" s="184">
        <v>2030</v>
      </c>
      <c r="J65" s="184">
        <v>2035</v>
      </c>
      <c r="K65" s="184">
        <v>2040</v>
      </c>
      <c r="L65" s="184">
        <v>2045</v>
      </c>
      <c r="M65" s="184">
        <v>2050</v>
      </c>
      <c r="N65" s="184">
        <v>2055</v>
      </c>
      <c r="R65" s="22"/>
      <c r="S65" s="94"/>
      <c r="T65" s="22"/>
      <c r="U65" s="22"/>
      <c r="V65" s="22"/>
      <c r="W65" s="22"/>
      <c r="X65" s="22"/>
      <c r="Y65" s="22"/>
      <c r="Z65" s="22"/>
      <c r="AA65" s="22"/>
      <c r="AB65" s="22"/>
      <c r="AC65" s="22"/>
    </row>
    <row r="66" spans="1:29">
      <c r="A66" s="180" t="s">
        <v>1092</v>
      </c>
      <c r="B66" s="180" t="s">
        <v>1093</v>
      </c>
      <c r="C66" s="180">
        <f>Pop!C4/C$61</f>
        <v>0</v>
      </c>
      <c r="D66" s="180">
        <f>Pop!D4/D$61</f>
        <v>0</v>
      </c>
      <c r="E66" s="180">
        <f>Pop!E4/E$61</f>
        <v>0</v>
      </c>
      <c r="F66" s="180">
        <f>Pop!F4/F$61</f>
        <v>0</v>
      </c>
      <c r="G66" s="180">
        <f>Pop!G4/G$61</f>
        <v>0</v>
      </c>
      <c r="H66" s="180">
        <f>Pop!H4/H$61</f>
        <v>0</v>
      </c>
      <c r="I66" s="180">
        <f>Pop!I4/I$61</f>
        <v>0</v>
      </c>
      <c r="J66" s="180">
        <f>Pop!J4/J$61</f>
        <v>0</v>
      </c>
      <c r="K66" s="180">
        <f>Pop!K4/K$61</f>
        <v>0</v>
      </c>
      <c r="L66" s="180">
        <f>Pop!L4/L$61</f>
        <v>0</v>
      </c>
      <c r="M66" s="180">
        <f>Pop!M4/M$61</f>
        <v>0</v>
      </c>
      <c r="N66" s="180">
        <f>Pop!N4/N$61</f>
        <v>0</v>
      </c>
      <c r="O66" s="180"/>
    </row>
    <row r="67" spans="1:29" ht="13">
      <c r="A67" s="180" t="s">
        <v>1108</v>
      </c>
      <c r="B67" s="29" t="s">
        <v>617</v>
      </c>
      <c r="C67" s="31">
        <f>Pop!C5/C$61</f>
        <v>954838.67716207227</v>
      </c>
      <c r="D67" s="31">
        <f>Pop!D5/D$61</f>
        <v>959046.75723851833</v>
      </c>
      <c r="E67" s="31">
        <f>Pop!E5/E$61</f>
        <v>943961.56521543872</v>
      </c>
      <c r="F67" s="31">
        <f>Pop!F5/F$61</f>
        <v>971386.57179266354</v>
      </c>
      <c r="G67" s="31">
        <f>Pop!G5/G$61</f>
        <v>993026.02965081844</v>
      </c>
      <c r="H67" s="31">
        <f>Pop!H5/H$61</f>
        <v>1025022.3967446483</v>
      </c>
      <c r="I67" s="31">
        <f>Pop!I5/I$61</f>
        <v>1055994.8788220854</v>
      </c>
      <c r="J67" s="31">
        <f>Pop!J5/J$61</f>
        <v>1080636.5956097031</v>
      </c>
      <c r="K67" s="31">
        <f>Pop!K5/K$61</f>
        <v>1097347.9706242743</v>
      </c>
      <c r="L67" s="31">
        <f>Pop!L5/L$61</f>
        <v>1123509.2838357154</v>
      </c>
      <c r="M67" s="31">
        <f>Pop!M5/M$61</f>
        <v>1143296.2082067938</v>
      </c>
      <c r="N67" s="31">
        <f>Pop!N5/N$61</f>
        <v>1163083.1325778724</v>
      </c>
      <c r="O67" s="31"/>
    </row>
    <row r="68" spans="1:29" ht="13">
      <c r="B68" s="29" t="s">
        <v>618</v>
      </c>
      <c r="C68" s="195">
        <v>516145.03036111069</v>
      </c>
      <c r="D68" s="195">
        <v>520505.87290566048</v>
      </c>
      <c r="E68" s="195">
        <v>512156.01157753874</v>
      </c>
      <c r="F68" s="195">
        <v>536192.96501021204</v>
      </c>
      <c r="G68" s="195">
        <v>542467.12547044398</v>
      </c>
      <c r="H68" s="195">
        <v>562705.97306518711</v>
      </c>
      <c r="I68" s="195">
        <v>582443.30680872512</v>
      </c>
      <c r="J68" s="195">
        <v>598454.62873075635</v>
      </c>
      <c r="K68" s="195">
        <v>610091.90057068039</v>
      </c>
      <c r="L68" s="195">
        <v>628136.83901274041</v>
      </c>
      <c r="M68" s="195">
        <v>641516.07211414538</v>
      </c>
      <c r="N68" s="195">
        <v>654895.30521555047</v>
      </c>
      <c r="O68" s="31"/>
    </row>
    <row r="69" spans="1:29" ht="13">
      <c r="B69" s="29" t="s">
        <v>619</v>
      </c>
      <c r="C69" s="195">
        <v>595366.79544212471</v>
      </c>
      <c r="D69" s="195">
        <v>609673.66058584629</v>
      </c>
      <c r="E69" s="195">
        <v>586390.65729784686</v>
      </c>
      <c r="F69" s="195">
        <v>605848.78733408079</v>
      </c>
      <c r="G69" s="195">
        <v>614266.62702679622</v>
      </c>
      <c r="H69" s="195">
        <v>628963.40579430491</v>
      </c>
      <c r="I69" s="195">
        <v>642920.0969272675</v>
      </c>
      <c r="J69" s="195">
        <v>650625.81236367498</v>
      </c>
      <c r="K69" s="195">
        <v>653503.3073194297</v>
      </c>
      <c r="L69" s="195">
        <v>669554.52803489484</v>
      </c>
      <c r="M69" s="195">
        <v>677337.07493480982</v>
      </c>
      <c r="N69" s="195">
        <v>685119.62183472468</v>
      </c>
      <c r="O69" s="31"/>
    </row>
    <row r="70" spans="1:29" ht="13">
      <c r="B70" s="29" t="s">
        <v>621</v>
      </c>
      <c r="C70" s="195">
        <v>171859.07930219857</v>
      </c>
      <c r="D70" s="195">
        <v>178411.77932892198</v>
      </c>
      <c r="E70" s="195">
        <v>173317.08957477665</v>
      </c>
      <c r="F70" s="195">
        <v>174829.57852676997</v>
      </c>
      <c r="G70" s="195">
        <v>182656.73513227518</v>
      </c>
      <c r="H70" s="195">
        <v>186868.29181060099</v>
      </c>
      <c r="I70" s="195">
        <v>190856.45505835826</v>
      </c>
      <c r="J70" s="195">
        <v>192938.76998826297</v>
      </c>
      <c r="K70" s="195">
        <v>193587.78543105919</v>
      </c>
      <c r="L70" s="195">
        <v>204337.80024672326</v>
      </c>
      <c r="M70" s="195">
        <v>208319.80131607191</v>
      </c>
      <c r="N70" s="195">
        <v>212301.80238542057</v>
      </c>
    </row>
    <row r="71" spans="1:29" ht="13">
      <c r="B71" s="29" t="s">
        <v>620</v>
      </c>
      <c r="C71" s="195">
        <v>863454.68925931235</v>
      </c>
      <c r="D71" s="195">
        <v>859062.19724244694</v>
      </c>
      <c r="E71" s="195">
        <v>831958.26633120689</v>
      </c>
      <c r="F71" s="195">
        <v>861754.74570209335</v>
      </c>
      <c r="G71" s="195">
        <v>873734.38966050884</v>
      </c>
      <c r="H71" s="195">
        <v>892472.43077510921</v>
      </c>
      <c r="I71" s="195">
        <v>910112.38547987305</v>
      </c>
      <c r="J71" s="195">
        <v>924499.31914028234</v>
      </c>
      <c r="K71" s="195">
        <v>932051.46371839172</v>
      </c>
      <c r="L71" s="195">
        <v>964459.64714642637</v>
      </c>
      <c r="M71" s="195">
        <v>978802.43020136573</v>
      </c>
      <c r="N71" s="195">
        <v>993145.21325630439</v>
      </c>
    </row>
    <row r="72" spans="1:29" ht="13">
      <c r="B72" s="29"/>
      <c r="C72" s="188">
        <v>0</v>
      </c>
      <c r="D72" s="188">
        <v>0</v>
      </c>
      <c r="E72" s="188">
        <v>0</v>
      </c>
      <c r="F72" s="188">
        <v>0</v>
      </c>
      <c r="G72" s="188">
        <v>0</v>
      </c>
      <c r="H72" s="188">
        <v>0</v>
      </c>
      <c r="I72" s="188">
        <v>0</v>
      </c>
      <c r="J72" s="188">
        <v>0</v>
      </c>
      <c r="K72" s="188">
        <v>0</v>
      </c>
      <c r="L72" s="188">
        <v>0</v>
      </c>
      <c r="M72" s="188">
        <v>0</v>
      </c>
      <c r="N72" s="188">
        <v>0</v>
      </c>
      <c r="O72" s="180"/>
      <c r="P72" s="180"/>
      <c r="Q72" s="180"/>
      <c r="R72" s="180"/>
      <c r="S72" s="180"/>
      <c r="T72" s="180"/>
    </row>
    <row r="73" spans="1:29">
      <c r="A73" s="180"/>
      <c r="B73" s="180" t="s">
        <v>1097</v>
      </c>
      <c r="C73" s="180">
        <v>0</v>
      </c>
      <c r="D73" s="180">
        <f>Pop!D11/D$61</f>
        <v>0</v>
      </c>
      <c r="E73" s="180">
        <f>Pop!E11/E$61</f>
        <v>0</v>
      </c>
      <c r="F73" s="180">
        <f>Pop!F11/F$61</f>
        <v>0</v>
      </c>
      <c r="G73" s="180">
        <f>Pop!G11/G$61</f>
        <v>0</v>
      </c>
      <c r="H73" s="180">
        <f>Pop!H11/H$61</f>
        <v>0</v>
      </c>
      <c r="I73" s="180">
        <f>Pop!I11/I$61</f>
        <v>0</v>
      </c>
      <c r="J73" s="180">
        <f>Pop!J11/J$61</f>
        <v>0</v>
      </c>
      <c r="K73" s="180">
        <f>Pop!K11/K$61</f>
        <v>0</v>
      </c>
      <c r="L73" s="180">
        <f>Pop!L11/L$61</f>
        <v>0</v>
      </c>
      <c r="M73" s="180">
        <f>Pop!M11/M$61</f>
        <v>0</v>
      </c>
      <c r="N73" s="180">
        <f>Pop!N11/N$61</f>
        <v>0</v>
      </c>
    </row>
    <row r="74" spans="1:29">
      <c r="A74" s="180"/>
      <c r="B74" s="180" t="s">
        <v>1100</v>
      </c>
      <c r="C74" s="180">
        <v>0</v>
      </c>
      <c r="D74" s="180">
        <f>Pop!D12/D$61</f>
        <v>0</v>
      </c>
      <c r="E74" s="180">
        <f>Pop!E12/E$61</f>
        <v>0</v>
      </c>
      <c r="F74" s="180">
        <f>Pop!F12/F$61</f>
        <v>0</v>
      </c>
      <c r="G74" s="180">
        <f>Pop!G12/G$61</f>
        <v>0</v>
      </c>
      <c r="H74" s="180">
        <f>Pop!H12/H$61</f>
        <v>0</v>
      </c>
      <c r="I74" s="180">
        <f>Pop!I12/I$61</f>
        <v>0</v>
      </c>
      <c r="J74" s="180">
        <f>Pop!J12/J$61</f>
        <v>0</v>
      </c>
      <c r="K74" s="180">
        <f>Pop!K12/K$61</f>
        <v>0</v>
      </c>
      <c r="L74" s="180">
        <f>Pop!L12/L$61</f>
        <v>0</v>
      </c>
      <c r="M74" s="180">
        <f>Pop!M12/M$61</f>
        <v>0</v>
      </c>
      <c r="N74" s="180">
        <f>Pop!N12/N$61</f>
        <v>0</v>
      </c>
    </row>
    <row r="75" spans="1:29" ht="13">
      <c r="B75" s="29" t="s">
        <v>1101</v>
      </c>
      <c r="C75" s="31">
        <f>SUM(C67:C72)</f>
        <v>3101664.2715268191</v>
      </c>
      <c r="D75" s="31">
        <f>SUM(D67:D72)</f>
        <v>3126700.2673013937</v>
      </c>
      <c r="E75" s="31">
        <f t="shared" ref="E75:N75" si="19">SUM(E67:E72)</f>
        <v>3047783.5899968082</v>
      </c>
      <c r="F75" s="31">
        <f t="shared" si="19"/>
        <v>3150012.6483658198</v>
      </c>
      <c r="G75" s="31">
        <f t="shared" si="19"/>
        <v>3206150.9069408425</v>
      </c>
      <c r="H75" s="31">
        <f t="shared" si="19"/>
        <v>3296032.4981898507</v>
      </c>
      <c r="I75" s="31">
        <f t="shared" si="19"/>
        <v>3382327.1230963091</v>
      </c>
      <c r="J75" s="31">
        <f t="shared" si="19"/>
        <v>3447155.1258326797</v>
      </c>
      <c r="K75" s="31">
        <f t="shared" si="19"/>
        <v>3486582.4276638357</v>
      </c>
      <c r="L75" s="31">
        <f t="shared" si="19"/>
        <v>3589998.0982765006</v>
      </c>
      <c r="M75" s="31">
        <f t="shared" si="19"/>
        <v>3649271.5867731865</v>
      </c>
      <c r="N75" s="31">
        <f t="shared" si="19"/>
        <v>3708545.0752698723</v>
      </c>
    </row>
    <row r="78" spans="1:29" ht="13">
      <c r="A78" s="15" t="s">
        <v>1195</v>
      </c>
      <c r="R78" s="30"/>
      <c r="S78" s="92"/>
      <c r="T78" s="92"/>
      <c r="V78" s="30"/>
      <c r="W78" s="92"/>
    </row>
    <row r="79" spans="1:29" ht="13">
      <c r="C79" s="198"/>
      <c r="D79" s="184">
        <v>2005</v>
      </c>
      <c r="E79" s="184">
        <v>2010</v>
      </c>
      <c r="F79" s="184">
        <v>2015</v>
      </c>
      <c r="G79" s="184">
        <v>2020</v>
      </c>
      <c r="H79" s="184">
        <v>2025</v>
      </c>
      <c r="I79" s="184">
        <v>2030</v>
      </c>
      <c r="J79" s="184">
        <v>2035</v>
      </c>
      <c r="K79" s="184">
        <v>2040</v>
      </c>
      <c r="L79" s="184">
        <v>2045</v>
      </c>
      <c r="M79" s="184">
        <v>2050</v>
      </c>
      <c r="N79" s="184">
        <v>2055</v>
      </c>
      <c r="R79" s="30"/>
      <c r="S79" s="92"/>
      <c r="T79" s="92"/>
      <c r="V79" s="30"/>
      <c r="W79" s="92"/>
    </row>
    <row r="80" spans="1:29" ht="13">
      <c r="B80" s="29" t="s">
        <v>1196</v>
      </c>
      <c r="C80" s="22"/>
      <c r="D80" s="31">
        <f>(Pop!C4*$I34+Pop!C5*$I35+Pop!C6*$I36+Pop!C7*$I37+Pop!C8*$I38+Pop!C9*$I39+Pop!C10*$I40+Pop!C11*$I41+Pop!C12*$I42)/Pop!C13</f>
        <v>1112</v>
      </c>
      <c r="E80" s="31">
        <f>(Pop!D4*$I34+Pop!D5*$I35+Pop!D6*$I36+Pop!D7*$I37+Pop!D8*$I38+Pop!D9*$I39+Pop!D10*$I40+Pop!D11*$I41+Pop!D12*$I42)/Pop!D13</f>
        <v>1112</v>
      </c>
      <c r="F80" s="31">
        <f>(Pop!E4*$I34+Pop!E5*$I35+Pop!E6*$I36+Pop!E7*$I37+Pop!E8*$I38+Pop!E9*$I39+Pop!E10*$I40+Pop!E11*$I41+Pop!E12*$I42)/Pop!E13</f>
        <v>1112</v>
      </c>
      <c r="G80" s="31">
        <f>(Pop!F4*$I34+Pop!F5*$I35+Pop!F6*$I36+Pop!F7*$I37+Pop!F8*$I38+Pop!F9*$I39+Pop!F10*$I40+Pop!F11*$I41+Pop!F12*$I42)/Pop!F13</f>
        <v>1112</v>
      </c>
      <c r="H80" s="31">
        <f>(Pop!G4*$I34+Pop!G5*$I35+Pop!G6*$I36+Pop!G7*$I37+Pop!G8*$I38+Pop!G9*$I39+Pop!G10*$I40+Pop!G11*$I41+Pop!G12*$I42)/Pop!G13</f>
        <v>1112</v>
      </c>
      <c r="I80" s="31">
        <f>(Pop!H4*$I34+Pop!H5*$I35+Pop!H6*$I36+Pop!H7*$I37+Pop!H8*$I38+Pop!H9*$I39+Pop!H10*$I40+Pop!H11*$I41+Pop!H12*$I42)/Pop!H13</f>
        <v>1112</v>
      </c>
      <c r="J80" s="31">
        <f>(Pop!I4*$I34+Pop!I5*$I35+Pop!I6*$I36+Pop!I7*$I37+Pop!I8*$I38+Pop!I9*$I39+Pop!I10*$I40+Pop!I11*$I41+Pop!I12*$I42)/Pop!I13</f>
        <v>1112</v>
      </c>
      <c r="K80" s="31">
        <f>(Pop!J4*$I34+Pop!J5*$I35+Pop!J6*$I36+Pop!J7*$I37+Pop!J8*$I38+Pop!J9*$I39+Pop!J10*$I40+Pop!J11*$I41+Pop!J12*$I42)/Pop!J13</f>
        <v>1112</v>
      </c>
      <c r="L80" s="31">
        <f>(Pop!K4*$I34+Pop!K5*$I35+Pop!K6*$I36+Pop!K7*$I37+Pop!K8*$I38+Pop!K9*$I39+Pop!K10*$I40+Pop!K11*$I41+Pop!K12*$I42)/Pop!K13</f>
        <v>1112</v>
      </c>
      <c r="M80" s="31">
        <f>(Pop!L4*$I34+Pop!L5*$I35+Pop!L6*$I36+Pop!L7*$I37+Pop!L8*$I38+Pop!L9*$I39+Pop!L10*$I40+Pop!L11*$I41+Pop!L12*$I42)/Pop!L13</f>
        <v>1112</v>
      </c>
      <c r="N80" s="31">
        <f>(Pop!M4*$I34+Pop!M5*$I35+Pop!M6*$I36+Pop!M7*$I37+Pop!M8*$I38+Pop!M9*$I39+Pop!M10*$I40+Pop!M11*$I41+Pop!M12*$I42)/Pop!M13</f>
        <v>1112</v>
      </c>
    </row>
    <row r="81" spans="1:23" ht="13">
      <c r="B81" s="29" t="s">
        <v>1197</v>
      </c>
      <c r="C81" s="22"/>
      <c r="D81" s="31">
        <f>(Pop!C4*$J34+Pop!C5*$J35+Pop!C6*$J36+Pop!C7*$J37+Pop!C8*$J38+Pop!C9*$J39+Pop!C10*$J40+Pop!C11*$J41+Pop!C12*$J42)/Pop!C13</f>
        <v>4376</v>
      </c>
      <c r="E81" s="31">
        <f>(Pop!D4*$J34+Pop!D5*$J35+Pop!D6*$J36+Pop!D7*$J37+Pop!D8*$J38+Pop!D9*$J39+Pop!D10*$J40+Pop!D11*$J41+Pop!D12*$J42)/Pop!D13</f>
        <v>4376</v>
      </c>
      <c r="F81" s="31">
        <f>(Pop!E4*$J34+Pop!E5*$J35+Pop!E6*$J36+Pop!E7*$J37+Pop!E8*$J38+Pop!E9*$J39+Pop!E10*$J40+Pop!E11*$J41+Pop!E12*$J42)/Pop!E13</f>
        <v>4376</v>
      </c>
      <c r="G81" s="31">
        <f>(Pop!F4*$J34+Pop!F5*$J35+Pop!F6*$J36+Pop!F7*$J37+Pop!F8*$J38+Pop!F9*$J39+Pop!F10*$J40+Pop!F11*$J41+Pop!F12*$J42)/Pop!F13</f>
        <v>4376</v>
      </c>
      <c r="H81" s="31">
        <f>(Pop!G4*$J34+Pop!G5*$J35+Pop!G6*$J36+Pop!G7*$J37+Pop!G8*$J38+Pop!G9*$J39+Pop!G10*$J40+Pop!G11*$J41+Pop!G12*$J42)/Pop!G13</f>
        <v>4376</v>
      </c>
      <c r="I81" s="31">
        <f>(Pop!H4*$J34+Pop!H5*$J35+Pop!H6*$J36+Pop!H7*$J37+Pop!H8*$J38+Pop!H9*$J39+Pop!H10*$J40+Pop!H11*$J41+Pop!H12*$J42)/Pop!H13</f>
        <v>4376</v>
      </c>
      <c r="J81" s="31">
        <f>(Pop!I4*$J34+Pop!I5*$J35+Pop!I6*$J36+Pop!I7*$J37+Pop!I8*$J38+Pop!I9*$J39+Pop!I10*$J40+Pop!I11*$J41+Pop!I12*$J42)/Pop!I13</f>
        <v>4376</v>
      </c>
      <c r="K81" s="31">
        <f>(Pop!J4*$J34+Pop!J5*$J35+Pop!J6*$J36+Pop!J7*$J37+Pop!J8*$J38+Pop!J9*$J39+Pop!J10*$J40+Pop!J11*$J41+Pop!J12*$J42)/Pop!J13</f>
        <v>4376</v>
      </c>
      <c r="L81" s="31">
        <f>(Pop!K4*$J34+Pop!K5*$J35+Pop!K6*$J36+Pop!K7*$J37+Pop!K8*$J38+Pop!K9*$J39+Pop!K10*$J40+Pop!K11*$J41+Pop!K12*$J42)/Pop!K13</f>
        <v>4376</v>
      </c>
      <c r="M81" s="31">
        <f>(Pop!L4*$J34+Pop!L5*$J35+Pop!L6*$J36+Pop!L7*$J37+Pop!L8*$J38+Pop!L9*$J39+Pop!L10*$J40+Pop!L11*$J41+Pop!L12*$J42)/Pop!L13</f>
        <v>4376</v>
      </c>
      <c r="N81" s="31">
        <f>(Pop!M4*$J34+Pop!M5*$J35+Pop!M6*$J36+Pop!M7*$J37+Pop!M8*$J38+Pop!M9*$J39+Pop!M10*$J40+Pop!M11*$J41+Pop!M12*$J42)/Pop!M13</f>
        <v>4376</v>
      </c>
    </row>
    <row r="82" spans="1:23" ht="13">
      <c r="A82" s="15" t="s">
        <v>1198</v>
      </c>
    </row>
    <row r="83" spans="1:23" ht="13">
      <c r="C83" s="76"/>
      <c r="D83" s="184">
        <v>2005</v>
      </c>
      <c r="E83" s="184">
        <v>2010</v>
      </c>
      <c r="F83" s="184">
        <v>2015</v>
      </c>
      <c r="G83" s="184">
        <v>2020</v>
      </c>
      <c r="H83" s="184">
        <v>2025</v>
      </c>
      <c r="I83" s="184">
        <v>2030</v>
      </c>
      <c r="J83" s="184">
        <v>2035</v>
      </c>
      <c r="K83" s="184">
        <v>2040</v>
      </c>
      <c r="L83" s="184">
        <v>2045</v>
      </c>
      <c r="M83" s="184">
        <v>2050</v>
      </c>
      <c r="N83" s="184">
        <v>2055</v>
      </c>
    </row>
    <row r="84" spans="1:23">
      <c r="F84" s="95"/>
      <c r="R84" s="30"/>
      <c r="S84" s="92"/>
      <c r="T84" s="92"/>
      <c r="V84" s="30"/>
      <c r="W84" s="92"/>
    </row>
    <row r="85" spans="1:23">
      <c r="B85" s="16" t="s">
        <v>1199</v>
      </c>
      <c r="F85" s="95"/>
      <c r="S85" s="30"/>
    </row>
    <row r="86" spans="1:23">
      <c r="B86" s="16" t="s">
        <v>1200</v>
      </c>
      <c r="D86" s="23">
        <f>1</f>
        <v>1</v>
      </c>
      <c r="E86" s="23">
        <f>E80/$D80</f>
        <v>1</v>
      </c>
      <c r="F86" s="23">
        <f t="shared" ref="F86:N86" si="20">F80/$D80</f>
        <v>1</v>
      </c>
      <c r="G86" s="23">
        <f t="shared" si="20"/>
        <v>1</v>
      </c>
      <c r="H86" s="23">
        <f t="shared" si="20"/>
        <v>1</v>
      </c>
      <c r="I86" s="23">
        <f t="shared" si="20"/>
        <v>1</v>
      </c>
      <c r="J86" s="23">
        <f t="shared" si="20"/>
        <v>1</v>
      </c>
      <c r="K86" s="23">
        <f t="shared" si="20"/>
        <v>1</v>
      </c>
      <c r="L86" s="23">
        <f t="shared" si="20"/>
        <v>1</v>
      </c>
      <c r="M86" s="23">
        <f t="shared" si="20"/>
        <v>1</v>
      </c>
      <c r="N86" s="23">
        <f t="shared" si="20"/>
        <v>1</v>
      </c>
      <c r="S86" s="30"/>
      <c r="T86" s="92"/>
    </row>
    <row r="87" spans="1:23">
      <c r="B87" s="16" t="s">
        <v>1201</v>
      </c>
      <c r="D87" s="23">
        <f>1</f>
        <v>1</v>
      </c>
      <c r="E87" s="23">
        <f>E81/$D81</f>
        <v>1</v>
      </c>
      <c r="F87" s="23">
        <f t="shared" ref="F87:N87" si="21">F81/$D81</f>
        <v>1</v>
      </c>
      <c r="G87" s="23">
        <f t="shared" si="21"/>
        <v>1</v>
      </c>
      <c r="H87" s="23">
        <f t="shared" si="21"/>
        <v>1</v>
      </c>
      <c r="I87" s="23">
        <f t="shared" si="21"/>
        <v>1</v>
      </c>
      <c r="J87" s="23">
        <f t="shared" si="21"/>
        <v>1</v>
      </c>
      <c r="K87" s="23">
        <f t="shared" si="21"/>
        <v>1</v>
      </c>
      <c r="L87" s="23">
        <f t="shared" si="21"/>
        <v>1</v>
      </c>
      <c r="M87" s="23">
        <f t="shared" si="21"/>
        <v>1</v>
      </c>
      <c r="N87" s="23">
        <f t="shared" si="21"/>
        <v>1</v>
      </c>
      <c r="S87" s="30"/>
      <c r="T87" s="92"/>
    </row>
    <row r="88" spans="1:23">
      <c r="F88" s="95"/>
    </row>
    <row r="89" spans="1:23" ht="13">
      <c r="A89" s="15" t="s">
        <v>1202</v>
      </c>
      <c r="B89" s="15"/>
      <c r="C89" s="82"/>
      <c r="D89" s="266" t="e">
        <f>DmdCalc!C4*'Conv Factors'!$B$17/(D$62*D86*((1-D$110)*D66*$C34+(1-D$111)*D67*$C35+(1-D$112)*D68*$C36+(1-D$113)*D69*$C37+(1-D$114)*D70*$C38+(1-D$115)*D71*$C39+(1-D$116)*D72*$C40+(1-D$117)*D73*$C41+(1-D$118)*D74*$C42))</f>
        <v>#REF!</v>
      </c>
      <c r="E89" s="266" t="e">
        <f>DmdCalc!D4*'Conv Factors'!$B$17/(E$62*E86*((1-E$110)*E66*$C34+(1-E$111)*E67*$C35+(1-E$112)*E68*$C36+(1-E$113)*E69*$C37+(1-E$114)*E70*$C38+(1-E$115)*E71*$C39+(1-E$116)*E72*$C40+(1-E$117)*E73*$C41+(1-E$118)*E74*$C42))</f>
        <v>#REF!</v>
      </c>
      <c r="F89" s="266" t="e">
        <f>DmdCalc!E4*'Conv Factors'!$B$17/(F$62*F86*((1-F$110)*F66*$C34+(1-F$111)*F67*$C35+(1-F$112)*F68*$C36+(1-F$113)*F69*$C37+(1-F$114)*F70*$C38+(1-F$115)*F71*$C39+(1-F$116)*F72*$C40+(1-F$117)*F73*$C41+(1-F$118)*F74*$C42))</f>
        <v>#REF!</v>
      </c>
      <c r="G89" s="266" t="e">
        <f>DmdCalc!F4*'Conv Factors'!$B$17/(G$62*G86*((1-G$110)*G66*$C34+(1-G$111)*G67*$C35+(1-G$112)*G68*$C36+(1-G$113)*G69*$C37+(1-G$114)*G70*$C38+(1-G$115)*G71*$C39+(1-G$116)*G72*$C40+(1-G$117)*G73*$C41+(1-G$118)*G74*$C42))</f>
        <v>#REF!</v>
      </c>
      <c r="H89" s="266" t="e">
        <f>DmdCalc!G4*'Conv Factors'!$B$17/(H$62*H86*((1-H$110)*H66*$C34+(1-H$111)*H67*$C35+(1-H$112)*H68*$C36+(1-H$113)*H69*$C37+(1-H$114)*H70*$C38+(1-H$115)*H71*$C39+(1-H$116)*H72*$C40+(1-H$117)*H73*$C41+(1-H$118)*H74*$C42))</f>
        <v>#REF!</v>
      </c>
      <c r="I89" s="266" t="e">
        <f>DmdCalc!H4*'Conv Factors'!$B$17/(I$62*I86*((1-I$110)*I66*$C34+(1-I$111)*I67*$C35+(1-I$112)*I68*$C36+(1-I$113)*I69*$C37+(1-I$114)*I70*$C38+(1-I$115)*I71*$C39+(1-I$116)*I72*$C40+(1-I$117)*I73*$C41+(1-I$118)*I74*$C42))</f>
        <v>#REF!</v>
      </c>
      <c r="J89" s="266" t="e">
        <f>DmdCalc!I4*'Conv Factors'!$B$17/(J$62*J86*((1-J$110)*J66*$C34+(1-J$111)*J67*$C35+(1-J$112)*J68*$C36+(1-J$113)*J69*$C37+(1-J$114)*J70*$C38+(1-J$115)*J71*$C39+(1-J$116)*J72*$C40+(1-J$117)*J73*$C41+(1-J$118)*J74*$C42))</f>
        <v>#REF!</v>
      </c>
      <c r="K89" s="266" t="e">
        <f>DmdCalc!J4*'Conv Factors'!$B$17/(K$62*K86*((1-K$110)*K66*$C34+(1-K$111)*K67*$C35+(1-K$112)*K68*$C36+(1-K$113)*K69*$C37+(1-K$114)*K70*$C38+(1-K$115)*K71*$C39+(1-K$116)*K72*$C40+(1-K$117)*K73*$C41+(1-K$118)*K74*$C42))</f>
        <v>#REF!</v>
      </c>
      <c r="L89" s="266" t="e">
        <f>DmdCalc!K4*'Conv Factors'!$B$17/(L$62*L86*((1-L$110)*L66*$C34+(1-L$111)*L67*$C35+(1-L$112)*L68*$C36+(1-L$113)*L69*$C37+(1-L$114)*L70*$C38+(1-L$115)*L71*$C39+(1-L$116)*L72*$C40+(1-L$117)*L73*$C41+(1-L$118)*L74*$C42))</f>
        <v>#REF!</v>
      </c>
      <c r="M89" s="266" t="e">
        <f>DmdCalc!L4*'Conv Factors'!$B$17/(M$62*M86*((1-M$110)*M66*$C34+(1-M$111)*M67*$C35+(1-M$112)*M68*$C36+(1-M$113)*M69*$C37+(1-M$114)*M70*$C38+(1-M$115)*M71*$C39+(1-M$116)*M72*$C40+(1-M$117)*M73*$C41+(1-M$118)*M74*$C42))</f>
        <v>#REF!</v>
      </c>
      <c r="N89" s="266" t="e">
        <f>DmdCalc!M4*'Conv Factors'!$B$17/(N$62*N86*((1-N$110)*N66*$C34+(1-N$111)*N67*$C35+(1-N$112)*N68*$C36+(1-N$113)*N69*$C37+(1-N$114)*N70*$C38+(1-N$115)*N71*$C39+(1-N$116)*N72*$C40+(1-N$117)*N73*$C41+(1-N$118)*N74*$C42))</f>
        <v>#REF!</v>
      </c>
      <c r="S89" s="30"/>
      <c r="T89" s="96"/>
    </row>
    <row r="90" spans="1:23" ht="13">
      <c r="A90" s="15" t="s">
        <v>1203</v>
      </c>
      <c r="B90" s="15"/>
      <c r="C90" s="82"/>
      <c r="D90" s="266" t="e">
        <f>DmdCalc!C6*'Conv Factors'!$B$17/(D62*D87*(D66*$D34+D67*$D35+D68*$D36+D69*$D37+D70*$D38+D71*$D39+D72*$D40+D73*$D41+D74*$D42))</f>
        <v>#REF!</v>
      </c>
      <c r="E90" s="266" t="e">
        <f>DmdCalc!D6*'Conv Factors'!$B$17/(E62*E87*(E66*$D34+E67*$D35+E68*$D36+E69*$D37+E70*$D38+E71*$D39+E72*$D40+E73*$D41+E74*$D42))</f>
        <v>#REF!</v>
      </c>
      <c r="F90" s="266" t="e">
        <f>DmdCalc!E6*'Conv Factors'!$B$17/(F62*F87*(F66*$D34+F67*$D35+F68*$D36+F69*$D37+F70*$D38+F71*$D39+F72*$D40+F73*$D41+F74*$D42))</f>
        <v>#REF!</v>
      </c>
      <c r="G90" s="266" t="e">
        <f>DmdCalc!F6*'Conv Factors'!$B$17/(G62*G87*(G66*$D34+G67*$D35+G68*$D36+G69*$D37+G70*$D38+G71*$D39+G72*$D40+G73*$D41+G74*$D42))</f>
        <v>#REF!</v>
      </c>
      <c r="H90" s="266" t="e">
        <f>DmdCalc!G6*'Conv Factors'!$B$17/(H62*H87*(H66*$D34+H67*$D35+H68*$D36+H69*$D37+H70*$D38+H71*$D39+H72*$D40+H73*$D41+H74*$D42))</f>
        <v>#REF!</v>
      </c>
      <c r="I90" s="266" t="e">
        <f>DmdCalc!H6*'Conv Factors'!$B$17/(I62*I87*(I66*$D34+I67*$D35+I68*$D36+I69*$D37+I70*$D38+I71*$D39+I72*$D40+I73*$D41+I74*$D42))</f>
        <v>#REF!</v>
      </c>
      <c r="J90" s="266" t="e">
        <f>DmdCalc!I6*'Conv Factors'!$B$17/(J62*J87*(J66*$D34+J67*$D35+J68*$D36+J69*$D37+J70*$D38+J71*$D39+J72*$D40+J73*$D41+J74*$D42))</f>
        <v>#REF!</v>
      </c>
      <c r="K90" s="266" t="e">
        <f>DmdCalc!J6*'Conv Factors'!$B$17/(K62*K87*(K66*$D34+K67*$D35+K68*$D36+K69*$D37+K70*$D38+K71*$D39+K72*$D40+K73*$D41+K74*$D42))</f>
        <v>#REF!</v>
      </c>
      <c r="L90" s="266" t="e">
        <f>DmdCalc!K6*'Conv Factors'!$B$17/(L62*L87*(L66*$D34+L67*$D35+L68*$D36+L69*$D37+L70*$D38+L71*$D39+L72*$D40+L73*$D41+L74*$D42))</f>
        <v>#REF!</v>
      </c>
      <c r="M90" s="266" t="e">
        <f>DmdCalc!L6*'Conv Factors'!$B$17/(M62*M87*(M66*$D34+M67*$D35+M68*$D36+M69*$D37+M70*$D38+M71*$D39+M72*$D40+M73*$D41+M74*$D42))</f>
        <v>#REF!</v>
      </c>
      <c r="N90" s="266" t="e">
        <f>DmdCalc!M6*'Conv Factors'!$B$17/(N62*N87*(N66*$D34+N67*$D35+N68*$D36+N69*$D37+N70*$D38+N71*$D39+N72*$D40+N73*$D41+N74*$D42))</f>
        <v>#REF!</v>
      </c>
    </row>
    <row r="91" spans="1:23">
      <c r="C91" s="180"/>
      <c r="D91" s="180"/>
      <c r="E91" s="180"/>
      <c r="F91" s="180"/>
      <c r="G91" s="180"/>
      <c r="H91" s="180"/>
      <c r="I91" s="180"/>
      <c r="J91" s="180"/>
      <c r="K91" s="180"/>
      <c r="L91" s="180"/>
      <c r="M91" s="180"/>
      <c r="N91" s="180"/>
    </row>
    <row r="92" spans="1:23">
      <c r="C92" s="180"/>
      <c r="D92" s="267">
        <v>10.714579922038814</v>
      </c>
      <c r="E92" s="267">
        <v>11.713195000062818</v>
      </c>
      <c r="F92" s="267">
        <v>11.226149317228909</v>
      </c>
      <c r="G92" s="267">
        <v>11.628265108308451</v>
      </c>
      <c r="H92" s="267">
        <v>12.117100043691091</v>
      </c>
      <c r="I92" s="267">
        <v>12.392472503072154</v>
      </c>
      <c r="J92" s="267">
        <v>12.602886081400609</v>
      </c>
      <c r="K92" s="267">
        <v>12.737315718153061</v>
      </c>
      <c r="L92" s="267">
        <v>12.852163937448205</v>
      </c>
      <c r="M92" s="267">
        <v>12.992282702941836</v>
      </c>
      <c r="N92" s="267">
        <v>13.157970187315607</v>
      </c>
    </row>
    <row r="93" spans="1:23">
      <c r="C93" s="180"/>
      <c r="D93" s="267">
        <v>5.8843538662654113</v>
      </c>
      <c r="E93" s="267">
        <v>5.6675973015404857</v>
      </c>
      <c r="F93" s="267">
        <v>5.3277315327098096</v>
      </c>
      <c r="G93" s="267">
        <v>5.0826142251521444</v>
      </c>
      <c r="H93" s="267">
        <v>4.84339662907544</v>
      </c>
      <c r="I93" s="267">
        <v>4.5808362381540366</v>
      </c>
      <c r="J93" s="267">
        <v>4.3164025497622349</v>
      </c>
      <c r="K93" s="267">
        <v>4.0521981509494109</v>
      </c>
      <c r="L93" s="267">
        <v>3.7517606083143886</v>
      </c>
      <c r="M93" s="267">
        <v>3.47541774184455</v>
      </c>
      <c r="N93" s="267">
        <v>3.2210554673937235</v>
      </c>
    </row>
    <row r="94" spans="1:23" ht="13">
      <c r="A94" s="15" t="s">
        <v>1204</v>
      </c>
    </row>
    <row r="95" spans="1:23">
      <c r="B95" s="16" t="s">
        <v>1205</v>
      </c>
      <c r="C95" s="16">
        <v>1980</v>
      </c>
      <c r="D95" s="16">
        <v>1981</v>
      </c>
      <c r="E95" s="16">
        <v>1982</v>
      </c>
      <c r="F95" s="16">
        <v>1984</v>
      </c>
      <c r="G95" s="16">
        <v>1987</v>
      </c>
      <c r="H95" s="16">
        <v>1990</v>
      </c>
      <c r="I95" s="16">
        <v>1993</v>
      </c>
      <c r="J95" s="16">
        <v>1997</v>
      </c>
      <c r="K95" s="16">
        <v>2001</v>
      </c>
      <c r="L95" s="16">
        <v>2005</v>
      </c>
      <c r="M95" s="16" t="s">
        <v>1206</v>
      </c>
      <c r="N95" s="16" t="s">
        <v>1207</v>
      </c>
      <c r="O95" s="16" t="s">
        <v>1208</v>
      </c>
      <c r="P95" s="51" t="s">
        <v>1209</v>
      </c>
    </row>
    <row r="96" spans="1:23">
      <c r="A96" s="16" t="s">
        <v>1092</v>
      </c>
      <c r="B96" s="16" t="s">
        <v>1093</v>
      </c>
      <c r="C96" s="16">
        <v>48</v>
      </c>
      <c r="D96" s="16">
        <v>48</v>
      </c>
      <c r="E96" s="16">
        <v>46</v>
      </c>
      <c r="F96" s="16">
        <v>46</v>
      </c>
      <c r="G96" s="16">
        <v>42</v>
      </c>
      <c r="H96" s="16">
        <v>42</v>
      </c>
      <c r="I96" s="16">
        <v>37</v>
      </c>
      <c r="J96" s="16">
        <v>31</v>
      </c>
      <c r="K96" s="16">
        <v>24</v>
      </c>
      <c r="L96" s="31">
        <v>15.9</v>
      </c>
      <c r="M96" s="31">
        <f t="shared" ref="M96" si="22">L96-C96</f>
        <v>-32.1</v>
      </c>
      <c r="N96" s="22">
        <f t="shared" ref="N96:N105" si="23">M96/25</f>
        <v>-1.284</v>
      </c>
      <c r="O96" s="84">
        <f t="shared" ref="O96:O105" si="24">N96*0.5/100</f>
        <v>-6.4200000000000004E-3</v>
      </c>
      <c r="P96" s="51">
        <v>4.4999999999999998E-2</v>
      </c>
    </row>
    <row r="97" spans="1:16">
      <c r="A97" s="16" t="s">
        <v>1108</v>
      </c>
      <c r="B97" s="16" t="s">
        <v>1109</v>
      </c>
      <c r="C97" s="16">
        <v>48</v>
      </c>
      <c r="D97" s="16">
        <v>48</v>
      </c>
      <c r="E97" s="16">
        <v>46</v>
      </c>
      <c r="F97" s="16">
        <v>46</v>
      </c>
      <c r="G97" s="16">
        <v>42</v>
      </c>
      <c r="H97" s="16">
        <v>42</v>
      </c>
      <c r="I97" s="16">
        <v>37</v>
      </c>
      <c r="J97" s="16">
        <v>31</v>
      </c>
      <c r="K97" s="16">
        <v>24</v>
      </c>
      <c r="L97" s="31">
        <v>15.9</v>
      </c>
      <c r="M97" s="31">
        <f t="shared" ref="M97:M105" si="25">L97-C97</f>
        <v>-32.1</v>
      </c>
      <c r="N97" s="22">
        <f t="shared" si="23"/>
        <v>-1.284</v>
      </c>
      <c r="O97" s="84">
        <f t="shared" si="24"/>
        <v>-6.4200000000000004E-3</v>
      </c>
      <c r="P97" s="51">
        <v>9.6000000000000002E-2</v>
      </c>
    </row>
    <row r="98" spans="1:16">
      <c r="A98" s="16" t="s">
        <v>1110</v>
      </c>
      <c r="B98" s="16" t="s">
        <v>1111</v>
      </c>
      <c r="C98" s="16">
        <v>48</v>
      </c>
      <c r="D98" s="16">
        <v>48</v>
      </c>
      <c r="E98" s="16">
        <v>46</v>
      </c>
      <c r="F98" s="16">
        <v>46</v>
      </c>
      <c r="G98" s="16">
        <v>42</v>
      </c>
      <c r="H98" s="16">
        <v>42</v>
      </c>
      <c r="I98" s="16">
        <v>37</v>
      </c>
      <c r="J98" s="16">
        <v>31</v>
      </c>
      <c r="K98" s="16">
        <v>24</v>
      </c>
      <c r="L98" s="31">
        <v>15.9</v>
      </c>
      <c r="M98" s="31">
        <f t="shared" si="25"/>
        <v>-32.1</v>
      </c>
      <c r="N98" s="22">
        <f t="shared" si="23"/>
        <v>-1.284</v>
      </c>
      <c r="O98" s="84">
        <f t="shared" si="24"/>
        <v>-6.4200000000000004E-3</v>
      </c>
      <c r="P98" s="51">
        <v>0</v>
      </c>
    </row>
    <row r="99" spans="1:16">
      <c r="A99" s="16" t="s">
        <v>1112</v>
      </c>
      <c r="B99" s="16" t="s">
        <v>1113</v>
      </c>
      <c r="C99" s="16">
        <v>48</v>
      </c>
      <c r="D99" s="16">
        <v>48</v>
      </c>
      <c r="E99" s="16">
        <v>46</v>
      </c>
      <c r="F99" s="16">
        <v>46</v>
      </c>
      <c r="G99" s="16">
        <v>42</v>
      </c>
      <c r="H99" s="16">
        <v>42</v>
      </c>
      <c r="I99" s="16">
        <v>37</v>
      </c>
      <c r="J99" s="16">
        <v>31</v>
      </c>
      <c r="K99" s="16">
        <v>24</v>
      </c>
      <c r="L99" s="31">
        <v>15.9</v>
      </c>
      <c r="M99" s="31">
        <f t="shared" si="25"/>
        <v>-32.1</v>
      </c>
      <c r="N99" s="22">
        <f t="shared" si="23"/>
        <v>-1.284</v>
      </c>
      <c r="O99" s="84">
        <f t="shared" si="24"/>
        <v>-6.4200000000000004E-3</v>
      </c>
      <c r="P99" s="51">
        <v>0</v>
      </c>
    </row>
    <row r="100" spans="1:16">
      <c r="A100" s="16" t="s">
        <v>1114</v>
      </c>
      <c r="B100" s="16" t="s">
        <v>1115</v>
      </c>
      <c r="C100" s="16">
        <v>48</v>
      </c>
      <c r="D100" s="16">
        <v>48</v>
      </c>
      <c r="E100" s="16">
        <v>46</v>
      </c>
      <c r="F100" s="16">
        <v>46</v>
      </c>
      <c r="G100" s="16">
        <v>42</v>
      </c>
      <c r="H100" s="16">
        <v>42</v>
      </c>
      <c r="I100" s="16">
        <v>37</v>
      </c>
      <c r="J100" s="16">
        <v>31</v>
      </c>
      <c r="K100" s="16">
        <v>24</v>
      </c>
      <c r="L100" s="31">
        <v>15.9</v>
      </c>
      <c r="M100" s="31">
        <f t="shared" si="25"/>
        <v>-32.1</v>
      </c>
      <c r="N100" s="22">
        <f t="shared" si="23"/>
        <v>-1.284</v>
      </c>
      <c r="O100" s="84">
        <f t="shared" si="24"/>
        <v>-6.4200000000000004E-3</v>
      </c>
      <c r="P100" s="51">
        <v>6.8000000000000005E-2</v>
      </c>
    </row>
    <row r="101" spans="1:16">
      <c r="A101" s="16" t="s">
        <v>1116</v>
      </c>
      <c r="B101" s="16" t="s">
        <v>1117</v>
      </c>
      <c r="C101" s="16">
        <v>48</v>
      </c>
      <c r="D101" s="16">
        <v>48</v>
      </c>
      <c r="E101" s="16">
        <v>46</v>
      </c>
      <c r="F101" s="16">
        <v>46</v>
      </c>
      <c r="G101" s="16">
        <v>42</v>
      </c>
      <c r="H101" s="16">
        <v>42</v>
      </c>
      <c r="I101" s="16">
        <v>37</v>
      </c>
      <c r="J101" s="16">
        <v>31</v>
      </c>
      <c r="K101" s="16">
        <v>24</v>
      </c>
      <c r="L101" s="31">
        <v>15.9</v>
      </c>
      <c r="M101" s="31">
        <f t="shared" si="25"/>
        <v>-32.1</v>
      </c>
      <c r="N101" s="22">
        <f t="shared" si="23"/>
        <v>-1.284</v>
      </c>
      <c r="O101" s="84">
        <f t="shared" si="24"/>
        <v>-6.4200000000000004E-3</v>
      </c>
      <c r="P101" s="51">
        <v>0</v>
      </c>
    </row>
    <row r="102" spans="1:16">
      <c r="A102" s="16" t="s">
        <v>1118</v>
      </c>
      <c r="B102" s="16" t="s">
        <v>1094</v>
      </c>
      <c r="C102" s="16">
        <v>48</v>
      </c>
      <c r="D102" s="16">
        <v>48</v>
      </c>
      <c r="E102" s="16">
        <v>46</v>
      </c>
      <c r="F102" s="16">
        <v>46</v>
      </c>
      <c r="G102" s="16">
        <v>42</v>
      </c>
      <c r="H102" s="16">
        <v>42</v>
      </c>
      <c r="I102" s="16">
        <v>37</v>
      </c>
      <c r="J102" s="16">
        <v>31</v>
      </c>
      <c r="K102" s="16">
        <v>24</v>
      </c>
      <c r="L102" s="31">
        <v>15.9</v>
      </c>
      <c r="M102" s="31">
        <f t="shared" si="25"/>
        <v>-32.1</v>
      </c>
      <c r="N102" s="22">
        <f t="shared" si="23"/>
        <v>-1.284</v>
      </c>
      <c r="O102" s="84">
        <f t="shared" si="24"/>
        <v>-6.4200000000000004E-3</v>
      </c>
      <c r="P102" s="51">
        <v>5.8000000000000003E-2</v>
      </c>
    </row>
    <row r="103" spans="1:16">
      <c r="A103" s="16" t="s">
        <v>1096</v>
      </c>
      <c r="B103" s="16" t="s">
        <v>1097</v>
      </c>
      <c r="C103" s="16">
        <v>48</v>
      </c>
      <c r="D103" s="16">
        <v>48</v>
      </c>
      <c r="E103" s="16">
        <v>46</v>
      </c>
      <c r="F103" s="16">
        <v>46</v>
      </c>
      <c r="G103" s="16">
        <v>42</v>
      </c>
      <c r="H103" s="16">
        <v>42</v>
      </c>
      <c r="I103" s="16">
        <v>37</v>
      </c>
      <c r="J103" s="16">
        <v>31</v>
      </c>
      <c r="K103" s="16">
        <v>24</v>
      </c>
      <c r="L103" s="31">
        <v>15.9</v>
      </c>
      <c r="M103" s="31">
        <f t="shared" si="25"/>
        <v>-32.1</v>
      </c>
      <c r="N103" s="22">
        <f t="shared" si="23"/>
        <v>-1.284</v>
      </c>
      <c r="O103" s="84">
        <f t="shared" si="24"/>
        <v>-6.4200000000000004E-3</v>
      </c>
      <c r="P103" s="51">
        <v>7.6999999999999999E-2</v>
      </c>
    </row>
    <row r="104" spans="1:16">
      <c r="A104" s="16" t="s">
        <v>1099</v>
      </c>
      <c r="B104" s="16" t="s">
        <v>1100</v>
      </c>
      <c r="C104" s="16">
        <v>48</v>
      </c>
      <c r="D104" s="16">
        <v>48</v>
      </c>
      <c r="E104" s="16">
        <v>46</v>
      </c>
      <c r="F104" s="16">
        <v>46</v>
      </c>
      <c r="G104" s="16">
        <v>42</v>
      </c>
      <c r="H104" s="16">
        <v>42</v>
      </c>
      <c r="I104" s="16">
        <v>37</v>
      </c>
      <c r="J104" s="16">
        <v>31</v>
      </c>
      <c r="K104" s="16">
        <v>24</v>
      </c>
      <c r="L104" s="31">
        <v>15.9</v>
      </c>
      <c r="M104" s="31">
        <f t="shared" si="25"/>
        <v>-32.1</v>
      </c>
      <c r="N104" s="22">
        <f t="shared" si="23"/>
        <v>-1.284</v>
      </c>
      <c r="O104" s="84">
        <f t="shared" si="24"/>
        <v>-6.4200000000000004E-3</v>
      </c>
      <c r="P104" s="51">
        <v>4.1000000000000002E-2</v>
      </c>
    </row>
    <row r="105" spans="1:16">
      <c r="A105" s="16" t="s">
        <v>1210</v>
      </c>
      <c r="B105" s="651" t="s">
        <v>1119</v>
      </c>
      <c r="C105" s="16">
        <v>48</v>
      </c>
      <c r="D105" s="16">
        <v>48</v>
      </c>
      <c r="E105" s="16">
        <v>46</v>
      </c>
      <c r="F105" s="16">
        <v>46</v>
      </c>
      <c r="G105" s="16">
        <v>42</v>
      </c>
      <c r="H105" s="16">
        <v>42</v>
      </c>
      <c r="I105" s="16">
        <v>37</v>
      </c>
      <c r="J105" s="16">
        <v>31</v>
      </c>
      <c r="K105" s="16">
        <v>24</v>
      </c>
      <c r="L105" s="31">
        <v>15.9</v>
      </c>
      <c r="M105" s="31">
        <f t="shared" si="25"/>
        <v>-32.1</v>
      </c>
      <c r="N105" s="22">
        <f t="shared" si="23"/>
        <v>-1.284</v>
      </c>
      <c r="O105" s="84">
        <f t="shared" si="24"/>
        <v>-6.4200000000000004E-3</v>
      </c>
      <c r="P105" s="51"/>
    </row>
    <row r="106" spans="1:16" ht="13">
      <c r="B106" s="15" t="s">
        <v>1211</v>
      </c>
      <c r="L106" s="31"/>
      <c r="M106" s="31"/>
      <c r="N106" s="22"/>
      <c r="O106" s="84"/>
    </row>
    <row r="108" spans="1:16" ht="13">
      <c r="A108" s="15" t="s">
        <v>1212</v>
      </c>
    </row>
    <row r="109" spans="1:16" ht="13">
      <c r="B109" s="645" t="s">
        <v>14</v>
      </c>
      <c r="C109" s="76">
        <v>2000</v>
      </c>
      <c r="D109" s="76">
        <v>2005</v>
      </c>
      <c r="E109" s="76">
        <v>2010</v>
      </c>
      <c r="F109" s="76">
        <v>2015</v>
      </c>
      <c r="G109" s="76">
        <v>2020</v>
      </c>
      <c r="H109" s="76">
        <v>2025</v>
      </c>
      <c r="I109" s="76">
        <v>2030</v>
      </c>
      <c r="J109" s="76">
        <v>2035</v>
      </c>
      <c r="K109" s="76">
        <v>2040</v>
      </c>
      <c r="L109" s="76">
        <v>2045</v>
      </c>
      <c r="M109" s="76">
        <v>2050</v>
      </c>
      <c r="N109" s="76">
        <v>2055</v>
      </c>
    </row>
    <row r="110" spans="1:16">
      <c r="A110" s="16" t="s">
        <v>1092</v>
      </c>
      <c r="B110" s="16" t="s">
        <v>1093</v>
      </c>
      <c r="C110" s="23">
        <f t="shared" ref="C110:C119" si="26">(L96-5*N96)/100</f>
        <v>0.22320000000000001</v>
      </c>
      <c r="D110" s="23">
        <f t="shared" ref="D110:D119" si="27">L96/100</f>
        <v>0.159</v>
      </c>
      <c r="E110" s="23">
        <f t="shared" ref="E110:N110" si="28">IF((D110+5*$O96)&lt;$P96,$P96,(D110+5*$O96))</f>
        <v>0.12690000000000001</v>
      </c>
      <c r="F110" s="23">
        <f t="shared" si="28"/>
        <v>9.4800000000000009E-2</v>
      </c>
      <c r="G110" s="23">
        <f t="shared" si="28"/>
        <v>6.2700000000000006E-2</v>
      </c>
      <c r="H110" s="23">
        <f t="shared" si="28"/>
        <v>4.4999999999999998E-2</v>
      </c>
      <c r="I110" s="23">
        <f t="shared" si="28"/>
        <v>4.4999999999999998E-2</v>
      </c>
      <c r="J110" s="23">
        <f t="shared" si="28"/>
        <v>4.4999999999999998E-2</v>
      </c>
      <c r="K110" s="23">
        <f t="shared" si="28"/>
        <v>4.4999999999999998E-2</v>
      </c>
      <c r="L110" s="23">
        <f t="shared" si="28"/>
        <v>4.4999999999999998E-2</v>
      </c>
      <c r="M110" s="23">
        <f t="shared" si="28"/>
        <v>4.4999999999999998E-2</v>
      </c>
      <c r="N110" s="23">
        <f t="shared" si="28"/>
        <v>4.4999999999999998E-2</v>
      </c>
    </row>
    <row r="111" spans="1:16">
      <c r="A111" s="16" t="s">
        <v>1108</v>
      </c>
      <c r="B111" s="16" t="s">
        <v>1109</v>
      </c>
      <c r="C111" s="23">
        <f t="shared" si="26"/>
        <v>0.22320000000000001</v>
      </c>
      <c r="D111" s="23">
        <f t="shared" si="27"/>
        <v>0.159</v>
      </c>
      <c r="E111" s="23">
        <f t="shared" ref="E111:N111" si="29">IF((D111+5*$O97)&lt;$P97,$P97,(D111+5*$O97))</f>
        <v>0.12690000000000001</v>
      </c>
      <c r="F111" s="23">
        <f t="shared" si="29"/>
        <v>9.6000000000000002E-2</v>
      </c>
      <c r="G111" s="23">
        <f t="shared" si="29"/>
        <v>9.6000000000000002E-2</v>
      </c>
      <c r="H111" s="23">
        <f t="shared" si="29"/>
        <v>9.6000000000000002E-2</v>
      </c>
      <c r="I111" s="23">
        <f t="shared" si="29"/>
        <v>9.6000000000000002E-2</v>
      </c>
      <c r="J111" s="23">
        <f t="shared" si="29"/>
        <v>9.6000000000000002E-2</v>
      </c>
      <c r="K111" s="23">
        <f t="shared" si="29"/>
        <v>9.6000000000000002E-2</v>
      </c>
      <c r="L111" s="23">
        <f t="shared" si="29"/>
        <v>9.6000000000000002E-2</v>
      </c>
      <c r="M111" s="23">
        <f t="shared" si="29"/>
        <v>9.6000000000000002E-2</v>
      </c>
      <c r="N111" s="23">
        <f t="shared" si="29"/>
        <v>9.6000000000000002E-2</v>
      </c>
    </row>
    <row r="112" spans="1:16">
      <c r="A112" s="16" t="s">
        <v>1110</v>
      </c>
      <c r="B112" s="16" t="s">
        <v>1111</v>
      </c>
      <c r="C112" s="23">
        <f t="shared" si="26"/>
        <v>0.22320000000000001</v>
      </c>
      <c r="D112" s="23">
        <f t="shared" si="27"/>
        <v>0.159</v>
      </c>
      <c r="E112" s="23">
        <f t="shared" ref="E112:N112" si="30">IF((D112+5*$O98)&lt;$P98,$P98,(D112+5*$O98))</f>
        <v>0.12690000000000001</v>
      </c>
      <c r="F112" s="23">
        <f t="shared" si="30"/>
        <v>9.4800000000000009E-2</v>
      </c>
      <c r="G112" s="23">
        <f t="shared" si="30"/>
        <v>6.2700000000000006E-2</v>
      </c>
      <c r="H112" s="23">
        <f t="shared" si="30"/>
        <v>3.0600000000000002E-2</v>
      </c>
      <c r="I112" s="23">
        <f t="shared" si="30"/>
        <v>0</v>
      </c>
      <c r="J112" s="23">
        <f t="shared" si="30"/>
        <v>0</v>
      </c>
      <c r="K112" s="23">
        <f t="shared" si="30"/>
        <v>0</v>
      </c>
      <c r="L112" s="23">
        <f t="shared" si="30"/>
        <v>0</v>
      </c>
      <c r="M112" s="23">
        <f t="shared" si="30"/>
        <v>0</v>
      </c>
      <c r="N112" s="23">
        <f t="shared" si="30"/>
        <v>0</v>
      </c>
    </row>
    <row r="113" spans="1:14">
      <c r="A113" s="16" t="s">
        <v>1112</v>
      </c>
      <c r="B113" s="16" t="s">
        <v>1113</v>
      </c>
      <c r="C113" s="23">
        <f t="shared" si="26"/>
        <v>0.22320000000000001</v>
      </c>
      <c r="D113" s="23">
        <f t="shared" si="27"/>
        <v>0.159</v>
      </c>
      <c r="E113" s="23">
        <f t="shared" ref="E113:N113" si="31">IF((D113+5*$O99)&lt;$P99,$P99,(D113+5*$O99))</f>
        <v>0.12690000000000001</v>
      </c>
      <c r="F113" s="23">
        <f t="shared" si="31"/>
        <v>9.4800000000000009E-2</v>
      </c>
      <c r="G113" s="23">
        <f t="shared" si="31"/>
        <v>6.2700000000000006E-2</v>
      </c>
      <c r="H113" s="23">
        <f t="shared" si="31"/>
        <v>3.0600000000000002E-2</v>
      </c>
      <c r="I113" s="23">
        <f t="shared" si="31"/>
        <v>0</v>
      </c>
      <c r="J113" s="23">
        <f t="shared" si="31"/>
        <v>0</v>
      </c>
      <c r="K113" s="23">
        <f t="shared" si="31"/>
        <v>0</v>
      </c>
      <c r="L113" s="23">
        <f t="shared" si="31"/>
        <v>0</v>
      </c>
      <c r="M113" s="23">
        <f t="shared" si="31"/>
        <v>0</v>
      </c>
      <c r="N113" s="23">
        <f t="shared" si="31"/>
        <v>0</v>
      </c>
    </row>
    <row r="114" spans="1:14">
      <c r="A114" s="16" t="s">
        <v>1114</v>
      </c>
      <c r="B114" s="16" t="s">
        <v>1115</v>
      </c>
      <c r="C114" s="23">
        <f t="shared" si="26"/>
        <v>0.22320000000000001</v>
      </c>
      <c r="D114" s="23">
        <f t="shared" si="27"/>
        <v>0.159</v>
      </c>
      <c r="E114" s="23">
        <f t="shared" ref="E114:N114" si="32">IF((D114+5*$O100)&lt;$P100,$P100,(D114+5*$O100))</f>
        <v>0.12690000000000001</v>
      </c>
      <c r="F114" s="23">
        <f t="shared" si="32"/>
        <v>9.4800000000000009E-2</v>
      </c>
      <c r="G114" s="23">
        <f t="shared" si="32"/>
        <v>6.8000000000000005E-2</v>
      </c>
      <c r="H114" s="23">
        <f t="shared" si="32"/>
        <v>6.8000000000000005E-2</v>
      </c>
      <c r="I114" s="23">
        <f t="shared" si="32"/>
        <v>6.8000000000000005E-2</v>
      </c>
      <c r="J114" s="23">
        <f t="shared" si="32"/>
        <v>6.8000000000000005E-2</v>
      </c>
      <c r="K114" s="23">
        <f t="shared" si="32"/>
        <v>6.8000000000000005E-2</v>
      </c>
      <c r="L114" s="23">
        <f t="shared" si="32"/>
        <v>6.8000000000000005E-2</v>
      </c>
      <c r="M114" s="23">
        <f t="shared" si="32"/>
        <v>6.8000000000000005E-2</v>
      </c>
      <c r="N114" s="23">
        <f t="shared" si="32"/>
        <v>6.8000000000000005E-2</v>
      </c>
    </row>
    <row r="115" spans="1:14">
      <c r="A115" s="16" t="s">
        <v>1116</v>
      </c>
      <c r="B115" s="16" t="s">
        <v>1117</v>
      </c>
      <c r="C115" s="23">
        <f t="shared" si="26"/>
        <v>0.22320000000000001</v>
      </c>
      <c r="D115" s="23">
        <f t="shared" si="27"/>
        <v>0.159</v>
      </c>
      <c r="E115" s="23">
        <f t="shared" ref="E115:N115" si="33">IF((D115+5*$O101)&lt;$P101,$P101,(D115+5*$O101))</f>
        <v>0.12690000000000001</v>
      </c>
      <c r="F115" s="23">
        <f t="shared" si="33"/>
        <v>9.4800000000000009E-2</v>
      </c>
      <c r="G115" s="23">
        <f t="shared" si="33"/>
        <v>6.2700000000000006E-2</v>
      </c>
      <c r="H115" s="23">
        <f t="shared" si="33"/>
        <v>3.0600000000000002E-2</v>
      </c>
      <c r="I115" s="23">
        <f t="shared" si="33"/>
        <v>0</v>
      </c>
      <c r="J115" s="23">
        <f t="shared" si="33"/>
        <v>0</v>
      </c>
      <c r="K115" s="23">
        <f t="shared" si="33"/>
        <v>0</v>
      </c>
      <c r="L115" s="23">
        <f t="shared" si="33"/>
        <v>0</v>
      </c>
      <c r="M115" s="23">
        <f t="shared" si="33"/>
        <v>0</v>
      </c>
      <c r="N115" s="23">
        <f t="shared" si="33"/>
        <v>0</v>
      </c>
    </row>
    <row r="116" spans="1:14">
      <c r="A116" s="16" t="s">
        <v>1118</v>
      </c>
      <c r="B116" s="16" t="s">
        <v>1094</v>
      </c>
      <c r="C116" s="23">
        <f t="shared" si="26"/>
        <v>0.22320000000000001</v>
      </c>
      <c r="D116" s="23">
        <f t="shared" si="27"/>
        <v>0.159</v>
      </c>
      <c r="E116" s="23">
        <f t="shared" ref="E116:N116" si="34">IF((D116+5*$O102)&lt;$P102,$P102,(D116+5*$O102))</f>
        <v>0.12690000000000001</v>
      </c>
      <c r="F116" s="23">
        <f t="shared" si="34"/>
        <v>9.4800000000000009E-2</v>
      </c>
      <c r="G116" s="23">
        <f t="shared" si="34"/>
        <v>6.2700000000000006E-2</v>
      </c>
      <c r="H116" s="23">
        <f t="shared" si="34"/>
        <v>5.8000000000000003E-2</v>
      </c>
      <c r="I116" s="23">
        <f t="shared" si="34"/>
        <v>5.8000000000000003E-2</v>
      </c>
      <c r="J116" s="23">
        <f t="shared" si="34"/>
        <v>5.8000000000000003E-2</v>
      </c>
      <c r="K116" s="23">
        <f t="shared" si="34"/>
        <v>5.8000000000000003E-2</v>
      </c>
      <c r="L116" s="23">
        <f t="shared" si="34"/>
        <v>5.8000000000000003E-2</v>
      </c>
      <c r="M116" s="23">
        <f t="shared" si="34"/>
        <v>5.8000000000000003E-2</v>
      </c>
      <c r="N116" s="23">
        <f t="shared" si="34"/>
        <v>5.8000000000000003E-2</v>
      </c>
    </row>
    <row r="117" spans="1:14">
      <c r="A117" s="16" t="s">
        <v>1096</v>
      </c>
      <c r="B117" s="16" t="s">
        <v>1097</v>
      </c>
      <c r="C117" s="23">
        <f t="shared" si="26"/>
        <v>0.22320000000000001</v>
      </c>
      <c r="D117" s="23">
        <f t="shared" si="27"/>
        <v>0.159</v>
      </c>
      <c r="E117" s="23">
        <f t="shared" ref="E117:N117" si="35">IF((D117+5*$O103)&lt;$P103,$P103,(D117+5*$O103))</f>
        <v>0.12690000000000001</v>
      </c>
      <c r="F117" s="23">
        <f t="shared" si="35"/>
        <v>9.4800000000000009E-2</v>
      </c>
      <c r="G117" s="23">
        <f t="shared" si="35"/>
        <v>7.6999999999999999E-2</v>
      </c>
      <c r="H117" s="23">
        <f t="shared" si="35"/>
        <v>7.6999999999999999E-2</v>
      </c>
      <c r="I117" s="23">
        <f t="shared" si="35"/>
        <v>7.6999999999999999E-2</v>
      </c>
      <c r="J117" s="23">
        <f t="shared" si="35"/>
        <v>7.6999999999999999E-2</v>
      </c>
      <c r="K117" s="23">
        <f t="shared" si="35"/>
        <v>7.6999999999999999E-2</v>
      </c>
      <c r="L117" s="23">
        <f t="shared" si="35"/>
        <v>7.6999999999999999E-2</v>
      </c>
      <c r="M117" s="23">
        <f t="shared" si="35"/>
        <v>7.6999999999999999E-2</v>
      </c>
      <c r="N117" s="23">
        <f t="shared" si="35"/>
        <v>7.6999999999999999E-2</v>
      </c>
    </row>
    <row r="118" spans="1:14">
      <c r="A118" s="16" t="s">
        <v>1099</v>
      </c>
      <c r="B118" s="16" t="s">
        <v>1100</v>
      </c>
      <c r="C118" s="23">
        <f t="shared" si="26"/>
        <v>0.22320000000000001</v>
      </c>
      <c r="D118" s="23">
        <f t="shared" si="27"/>
        <v>0.159</v>
      </c>
      <c r="E118" s="23">
        <f t="shared" ref="E118:N118" si="36">IF((D118+5*$O104)&lt;$P104,$P104,(D118+5*$O104))</f>
        <v>0.12690000000000001</v>
      </c>
      <c r="F118" s="23">
        <f t="shared" si="36"/>
        <v>9.4800000000000009E-2</v>
      </c>
      <c r="G118" s="23">
        <f t="shared" si="36"/>
        <v>6.2700000000000006E-2</v>
      </c>
      <c r="H118" s="23">
        <f t="shared" si="36"/>
        <v>4.1000000000000002E-2</v>
      </c>
      <c r="I118" s="23">
        <f t="shared" si="36"/>
        <v>4.1000000000000002E-2</v>
      </c>
      <c r="J118" s="23">
        <f t="shared" si="36"/>
        <v>4.1000000000000002E-2</v>
      </c>
      <c r="K118" s="23">
        <f t="shared" si="36"/>
        <v>4.1000000000000002E-2</v>
      </c>
      <c r="L118" s="23">
        <f t="shared" si="36"/>
        <v>4.1000000000000002E-2</v>
      </c>
      <c r="M118" s="23">
        <f t="shared" si="36"/>
        <v>4.1000000000000002E-2</v>
      </c>
      <c r="N118" s="23">
        <f t="shared" si="36"/>
        <v>4.1000000000000002E-2</v>
      </c>
    </row>
    <row r="119" spans="1:14">
      <c r="A119" s="16" t="s">
        <v>1210</v>
      </c>
      <c r="B119" s="651" t="s">
        <v>1119</v>
      </c>
      <c r="C119" s="23">
        <f t="shared" si="26"/>
        <v>0.22320000000000001</v>
      </c>
      <c r="D119" s="23">
        <f t="shared" si="27"/>
        <v>0.159</v>
      </c>
      <c r="E119" s="23">
        <f t="shared" ref="E119:N119" si="37">D119+5*$O105</f>
        <v>0.12690000000000001</v>
      </c>
      <c r="F119" s="23">
        <f t="shared" si="37"/>
        <v>9.4800000000000009E-2</v>
      </c>
      <c r="G119" s="23">
        <f t="shared" si="37"/>
        <v>6.2700000000000006E-2</v>
      </c>
      <c r="H119" s="23">
        <f t="shared" si="37"/>
        <v>3.0600000000000002E-2</v>
      </c>
      <c r="I119" s="23">
        <f t="shared" si="37"/>
        <v>-1.5000000000000013E-3</v>
      </c>
      <c r="J119" s="23">
        <f t="shared" si="37"/>
        <v>-3.3600000000000005E-2</v>
      </c>
      <c r="K119" s="23">
        <f t="shared" si="37"/>
        <v>-6.5700000000000008E-2</v>
      </c>
      <c r="L119" s="23">
        <f t="shared" si="37"/>
        <v>-9.7800000000000012E-2</v>
      </c>
      <c r="M119" s="23">
        <f t="shared" si="37"/>
        <v>-0.12990000000000002</v>
      </c>
      <c r="N119" s="23">
        <f t="shared" si="37"/>
        <v>-0.16200000000000003</v>
      </c>
    </row>
    <row r="122" spans="1:14" ht="13">
      <c r="A122" s="15" t="s">
        <v>1213</v>
      </c>
      <c r="C122" s="23"/>
      <c r="D122" s="23"/>
      <c r="E122" s="23"/>
      <c r="F122" s="23"/>
      <c r="G122" s="23"/>
      <c r="H122" s="23"/>
      <c r="I122" s="23"/>
      <c r="J122" s="23"/>
      <c r="K122" s="23"/>
      <c r="L122" s="23"/>
      <c r="M122" s="23"/>
      <c r="N122" s="23"/>
    </row>
    <row r="123" spans="1:14">
      <c r="C123" s="23"/>
      <c r="D123" s="23"/>
      <c r="E123" s="23"/>
      <c r="F123" s="23"/>
      <c r="G123" s="23"/>
      <c r="H123" s="23"/>
      <c r="I123" s="23"/>
      <c r="J123" s="23"/>
      <c r="K123" s="23"/>
      <c r="L123" s="23"/>
      <c r="M123" s="23"/>
      <c r="N123" s="23"/>
    </row>
    <row r="124" spans="1:14" ht="13">
      <c r="A124" s="15" t="s">
        <v>1214</v>
      </c>
      <c r="C124" s="23"/>
      <c r="D124" s="23"/>
      <c r="E124" s="23"/>
      <c r="F124" s="23"/>
      <c r="G124" s="23"/>
      <c r="H124" s="23"/>
      <c r="I124" s="23"/>
      <c r="J124" s="23"/>
      <c r="K124" s="23"/>
      <c r="L124" s="23"/>
      <c r="M124" s="23"/>
      <c r="N124" s="23"/>
    </row>
    <row r="125" spans="1:14">
      <c r="B125" s="16" t="s">
        <v>1215</v>
      </c>
    </row>
    <row r="126" spans="1:14" ht="13">
      <c r="B126" s="16" t="s">
        <v>1216</v>
      </c>
      <c r="C126" s="265">
        <v>2000</v>
      </c>
      <c r="D126" s="265">
        <v>2005</v>
      </c>
      <c r="E126" s="265">
        <v>2010</v>
      </c>
      <c r="F126" s="265">
        <v>2015</v>
      </c>
      <c r="G126" s="265">
        <v>2020</v>
      </c>
      <c r="H126" s="265">
        <v>2025</v>
      </c>
      <c r="I126" s="265">
        <v>2030</v>
      </c>
      <c r="J126" s="265">
        <v>2035</v>
      </c>
      <c r="K126" s="265">
        <v>2040</v>
      </c>
      <c r="L126" s="265">
        <v>2045</v>
      </c>
      <c r="M126" s="265">
        <v>2050</v>
      </c>
      <c r="N126" s="265">
        <v>2055</v>
      </c>
    </row>
    <row r="127" spans="1:14">
      <c r="B127" s="16" t="s">
        <v>1217</v>
      </c>
      <c r="C127" s="23">
        <f t="shared" ref="C127:N127" si="38">1-C128</f>
        <v>0.82000000000000006</v>
      </c>
      <c r="D127" s="23">
        <f t="shared" si="38"/>
        <v>0.76600000000000001</v>
      </c>
      <c r="E127" s="23">
        <f t="shared" si="38"/>
        <v>0.71920000000000006</v>
      </c>
      <c r="F127" s="23">
        <f t="shared" si="38"/>
        <v>0.69112000000000007</v>
      </c>
      <c r="G127" s="23">
        <f t="shared" si="38"/>
        <v>0.66023200000000004</v>
      </c>
      <c r="H127" s="23">
        <f t="shared" si="38"/>
        <v>0.62625520000000001</v>
      </c>
      <c r="I127" s="23">
        <f t="shared" si="38"/>
        <v>0.58888071999999991</v>
      </c>
      <c r="J127" s="23">
        <f t="shared" si="38"/>
        <v>0.54776879199999995</v>
      </c>
      <c r="K127" s="23">
        <f t="shared" si="38"/>
        <v>0.50254567119999982</v>
      </c>
      <c r="L127" s="23">
        <f t="shared" si="38"/>
        <v>0.45280023831999983</v>
      </c>
      <c r="M127" s="23">
        <f t="shared" si="38"/>
        <v>0.39808026215199976</v>
      </c>
      <c r="N127" s="23">
        <f t="shared" si="38"/>
        <v>0.33788828836719964</v>
      </c>
    </row>
    <row r="128" spans="1:14">
      <c r="B128" s="16" t="s">
        <v>1218</v>
      </c>
      <c r="C128" s="23">
        <f>N151/100</f>
        <v>0.17999999999999997</v>
      </c>
      <c r="D128" s="23">
        <f>C128*1.3</f>
        <v>0.23399999999999996</v>
      </c>
      <c r="E128" s="23">
        <f>D128*1.2</f>
        <v>0.28079999999999994</v>
      </c>
      <c r="F128" s="23">
        <f>E128*1.1</f>
        <v>0.30887999999999993</v>
      </c>
      <c r="G128" s="23">
        <f t="shared" ref="G128:N128" si="39">F128*1.1</f>
        <v>0.33976799999999996</v>
      </c>
      <c r="H128" s="23">
        <f t="shared" si="39"/>
        <v>0.37374479999999999</v>
      </c>
      <c r="I128" s="23">
        <f t="shared" si="39"/>
        <v>0.41111928000000003</v>
      </c>
      <c r="J128" s="23">
        <f t="shared" si="39"/>
        <v>0.45223120800000005</v>
      </c>
      <c r="K128" s="23">
        <f t="shared" si="39"/>
        <v>0.49745432880000012</v>
      </c>
      <c r="L128" s="23">
        <f t="shared" si="39"/>
        <v>0.54719976168000017</v>
      </c>
      <c r="M128" s="23">
        <f t="shared" si="39"/>
        <v>0.60191973784800024</v>
      </c>
      <c r="N128" s="23">
        <f t="shared" si="39"/>
        <v>0.66211171163280036</v>
      </c>
    </row>
    <row r="129" spans="1:27">
      <c r="B129" s="16" t="s">
        <v>1219</v>
      </c>
      <c r="C129" s="23">
        <f>O163/100</f>
        <v>0.3265398079337406</v>
      </c>
      <c r="D129" s="23">
        <f>C129*1.3</f>
        <v>0.42450175031386278</v>
      </c>
      <c r="E129" s="23">
        <f>D129*1.1</f>
        <v>0.4669519253452491</v>
      </c>
      <c r="F129" s="23">
        <f>E129*1.1</f>
        <v>0.51364711787977402</v>
      </c>
      <c r="G129" s="23">
        <f>F129*1.05</f>
        <v>0.53932947377376272</v>
      </c>
      <c r="H129" s="23">
        <f>G129</f>
        <v>0.53932947377376272</v>
      </c>
      <c r="I129" s="23">
        <f t="shared" ref="I129:N129" si="40">H129</f>
        <v>0.53932947377376272</v>
      </c>
      <c r="J129" s="23">
        <f t="shared" si="40"/>
        <v>0.53932947377376272</v>
      </c>
      <c r="K129" s="23">
        <f t="shared" si="40"/>
        <v>0.53932947377376272</v>
      </c>
      <c r="L129" s="23">
        <f t="shared" si="40"/>
        <v>0.53932947377376272</v>
      </c>
      <c r="M129" s="23">
        <f t="shared" si="40"/>
        <v>0.53932947377376272</v>
      </c>
      <c r="N129" s="23">
        <f t="shared" si="40"/>
        <v>0.53932947377376272</v>
      </c>
      <c r="S129" s="97"/>
      <c r="T129" s="97"/>
      <c r="U129" s="97"/>
      <c r="V129" s="97"/>
      <c r="W129" s="97"/>
      <c r="X129" s="97"/>
      <c r="Y129" s="97"/>
      <c r="Z129" s="97"/>
      <c r="AA129" s="97"/>
    </row>
    <row r="130" spans="1:27">
      <c r="C130" s="23"/>
      <c r="D130" s="23"/>
      <c r="E130" s="23"/>
      <c r="F130" s="23"/>
      <c r="G130" s="23"/>
      <c r="H130" s="23"/>
      <c r="I130" s="23"/>
      <c r="J130" s="23"/>
      <c r="K130" s="23"/>
      <c r="L130" s="23"/>
      <c r="M130" s="23"/>
      <c r="N130" s="23"/>
    </row>
    <row r="131" spans="1:27">
      <c r="C131" s="16" t="s">
        <v>1220</v>
      </c>
      <c r="E131" s="16" t="s">
        <v>1221</v>
      </c>
      <c r="F131" s="16" t="s">
        <v>1222</v>
      </c>
      <c r="G131" s="23"/>
      <c r="H131" s="23"/>
      <c r="I131" s="23"/>
      <c r="J131" s="23"/>
      <c r="K131" s="23"/>
      <c r="L131" s="23"/>
      <c r="M131" s="23"/>
      <c r="N131" s="23"/>
    </row>
    <row r="132" spans="1:27">
      <c r="B132" s="16" t="s">
        <v>1217</v>
      </c>
      <c r="C132" s="16">
        <v>-0.03</v>
      </c>
      <c r="E132" s="16">
        <v>-0.03</v>
      </c>
      <c r="F132" s="16">
        <f>C132/21</f>
        <v>-1.4285714285714286E-3</v>
      </c>
      <c r="G132" s="23"/>
      <c r="H132" s="23"/>
      <c r="I132" s="23"/>
      <c r="J132" s="23"/>
      <c r="K132" s="23"/>
      <c r="L132" s="23"/>
      <c r="M132" s="23"/>
      <c r="N132" s="23"/>
    </row>
    <row r="133" spans="1:27">
      <c r="B133" s="16" t="s">
        <v>1218</v>
      </c>
      <c r="C133" s="16">
        <v>0.03</v>
      </c>
      <c r="F133" s="16">
        <f>C133/21</f>
        <v>1.4285714285714286E-3</v>
      </c>
      <c r="G133" s="23"/>
      <c r="H133" s="23"/>
      <c r="I133" s="23"/>
      <c r="J133" s="23"/>
      <c r="K133" s="23"/>
      <c r="L133" s="23"/>
      <c r="M133" s="23"/>
      <c r="N133" s="23"/>
    </row>
    <row r="136" spans="1:27">
      <c r="A136" s="16" t="s">
        <v>1223</v>
      </c>
      <c r="D136" s="651" t="e">
        <f>DmdCalc!C8/D75</f>
        <v>#REF!</v>
      </c>
      <c r="E136" s="651" t="e">
        <f>DmdCalc!D8/E75</f>
        <v>#REF!</v>
      </c>
      <c r="F136" s="651" t="e">
        <f>DmdCalc!E8/F75</f>
        <v>#REF!</v>
      </c>
      <c r="G136" s="651" t="e">
        <f>DmdCalc!F8/G75</f>
        <v>#REF!</v>
      </c>
      <c r="H136" s="651" t="e">
        <f>DmdCalc!G8/H75</f>
        <v>#REF!</v>
      </c>
      <c r="I136" s="651" t="e">
        <f>DmdCalc!H8/I75</f>
        <v>#REF!</v>
      </c>
      <c r="J136" s="651" t="e">
        <f>DmdCalc!I8/J75</f>
        <v>#REF!</v>
      </c>
      <c r="K136" s="651" t="e">
        <f>DmdCalc!J8/K75</f>
        <v>#REF!</v>
      </c>
      <c r="L136" s="651" t="e">
        <f>DmdCalc!K8/L75</f>
        <v>#REF!</v>
      </c>
      <c r="M136" s="651" t="e">
        <f>DmdCalc!L8/M75</f>
        <v>#REF!</v>
      </c>
      <c r="N136" s="651" t="e">
        <f>DmdCalc!M8/N75</f>
        <v>#REF!</v>
      </c>
    </row>
    <row r="137" spans="1:27">
      <c r="A137" s="16" t="s">
        <v>1224</v>
      </c>
      <c r="D137" s="651" t="e">
        <f>DmdCalc!C9/D75</f>
        <v>#REF!</v>
      </c>
      <c r="E137" s="651" t="e">
        <f>DmdCalc!D9/E75</f>
        <v>#REF!</v>
      </c>
      <c r="F137" s="651" t="e">
        <f>DmdCalc!E9/F75</f>
        <v>#REF!</v>
      </c>
      <c r="G137" s="651" t="e">
        <f>DmdCalc!F9/G75</f>
        <v>#REF!</v>
      </c>
      <c r="H137" s="651" t="e">
        <f>DmdCalc!G9/H75</f>
        <v>#REF!</v>
      </c>
      <c r="I137" s="651" t="e">
        <f>DmdCalc!H9/I75</f>
        <v>#REF!</v>
      </c>
      <c r="J137" s="651" t="e">
        <f>DmdCalc!I9/J75</f>
        <v>#REF!</v>
      </c>
      <c r="K137" s="651" t="e">
        <f>DmdCalc!J9/K75</f>
        <v>#REF!</v>
      </c>
      <c r="L137" s="651" t="e">
        <f>DmdCalc!K9/L75</f>
        <v>#REF!</v>
      </c>
      <c r="M137" s="651" t="e">
        <f>DmdCalc!L9/M75</f>
        <v>#REF!</v>
      </c>
      <c r="N137" s="651" t="e">
        <f>DmdCalc!M9/N75</f>
        <v>#REF!</v>
      </c>
    </row>
    <row r="138" spans="1:27">
      <c r="A138" s="16" t="s">
        <v>1225</v>
      </c>
      <c r="D138" s="651">
        <f>DmdCalc!C10/D75</f>
        <v>1.3496656664318568E-5</v>
      </c>
      <c r="E138" s="651">
        <f>DmdCalc!D10/E75</f>
        <v>1.3738127647062977E-5</v>
      </c>
      <c r="F138" s="651">
        <f>DmdCalc!E10/F75</f>
        <v>1.4335885293485224E-5</v>
      </c>
      <c r="G138" s="651">
        <f>DmdCalc!F10/G75</f>
        <v>1.5335608468571445E-5</v>
      </c>
      <c r="H138" s="651">
        <f>DmdCalc!G10/H75</f>
        <v>1.6105235621661158E-5</v>
      </c>
      <c r="I138" s="651">
        <f>DmdCalc!H10/I75</f>
        <v>1.6886789160627753E-5</v>
      </c>
      <c r="J138" s="651">
        <f>DmdCalc!I10/J75</f>
        <v>1.7708022346471831E-5</v>
      </c>
      <c r="K138" s="651">
        <f>DmdCalc!J10/K75</f>
        <v>1.8711092752099422E-5</v>
      </c>
      <c r="L138" s="651">
        <f>DmdCalc!K10/L75</f>
        <v>1.9421066248812218E-5</v>
      </c>
      <c r="M138" s="651">
        <f>DmdCalc!L10/M75</f>
        <v>2.0418757068771036E-5</v>
      </c>
      <c r="N138" s="651">
        <f>DmdCalc!M10/N75</f>
        <v>2.1473365955522436E-5</v>
      </c>
    </row>
    <row r="139" spans="1:27">
      <c r="A139" s="16" t="s">
        <v>1226</v>
      </c>
      <c r="C139" s="482"/>
      <c r="D139" s="483" t="e">
        <f>DmdCalc!C12/D75</f>
        <v>#REF!</v>
      </c>
      <c r="E139" s="483" t="e">
        <f>DmdCalc!D12/E75</f>
        <v>#REF!</v>
      </c>
      <c r="F139" s="483" t="e">
        <f>DmdCalc!E12/F75</f>
        <v>#REF!</v>
      </c>
      <c r="G139" s="483" t="e">
        <f>DmdCalc!F12/G75</f>
        <v>#REF!</v>
      </c>
      <c r="H139" s="483" t="e">
        <f>DmdCalc!G12/H75</f>
        <v>#REF!</v>
      </c>
      <c r="I139" s="483" t="e">
        <f>DmdCalc!H12/I75</f>
        <v>#REF!</v>
      </c>
      <c r="J139" s="483" t="e">
        <f>DmdCalc!I12/J75</f>
        <v>#REF!</v>
      </c>
      <c r="K139" s="483" t="e">
        <f>DmdCalc!J12/K75</f>
        <v>#REF!</v>
      </c>
      <c r="L139" s="483" t="e">
        <f>DmdCalc!K12/L75</f>
        <v>#REF!</v>
      </c>
      <c r="M139" s="483" t="e">
        <f>DmdCalc!L12/M75</f>
        <v>#REF!</v>
      </c>
      <c r="N139" s="483" t="e">
        <f>DmdCalc!M12/N75</f>
        <v>#REF!</v>
      </c>
    </row>
    <row r="141" spans="1:27">
      <c r="A141" s="16" t="s">
        <v>1227</v>
      </c>
      <c r="C141" s="13">
        <v>1980</v>
      </c>
      <c r="D141" s="13">
        <v>1981</v>
      </c>
      <c r="E141" s="13">
        <v>1982</v>
      </c>
      <c r="F141" s="13">
        <v>1984</v>
      </c>
      <c r="G141" s="13">
        <v>1987</v>
      </c>
      <c r="H141" s="13">
        <v>1990</v>
      </c>
      <c r="I141" s="13">
        <v>1993</v>
      </c>
      <c r="J141" s="13">
        <v>1997</v>
      </c>
      <c r="K141" s="13">
        <v>2001</v>
      </c>
      <c r="L141" s="16" t="s">
        <v>1206</v>
      </c>
      <c r="M141" s="16" t="s">
        <v>1228</v>
      </c>
      <c r="N141" s="645" t="s">
        <v>1229</v>
      </c>
    </row>
    <row r="142" spans="1:27">
      <c r="A142" s="16" t="s">
        <v>1092</v>
      </c>
      <c r="B142" s="16" t="s">
        <v>1093</v>
      </c>
      <c r="C142" s="651">
        <v>14</v>
      </c>
      <c r="D142" s="651">
        <v>15</v>
      </c>
      <c r="E142" s="651">
        <v>15</v>
      </c>
      <c r="F142" s="651">
        <v>14</v>
      </c>
      <c r="G142" s="651">
        <v>13</v>
      </c>
      <c r="H142" s="651">
        <v>18</v>
      </c>
      <c r="I142" s="651">
        <v>14</v>
      </c>
      <c r="J142" s="651">
        <v>15</v>
      </c>
      <c r="K142" s="651">
        <v>18</v>
      </c>
      <c r="L142" s="651">
        <f t="shared" ref="L142:L151" si="41">K142-C142</f>
        <v>4</v>
      </c>
      <c r="M142" s="16">
        <v>5</v>
      </c>
      <c r="N142" s="16">
        <f t="shared" ref="N142:N150" si="42">K142*C66</f>
        <v>0</v>
      </c>
    </row>
    <row r="143" spans="1:27">
      <c r="A143" s="16" t="s">
        <v>1108</v>
      </c>
      <c r="B143" s="16" t="s">
        <v>1109</v>
      </c>
      <c r="C143" s="651">
        <v>14</v>
      </c>
      <c r="D143" s="651">
        <v>15</v>
      </c>
      <c r="E143" s="651">
        <v>15</v>
      </c>
      <c r="F143" s="651">
        <v>14</v>
      </c>
      <c r="G143" s="651">
        <v>13</v>
      </c>
      <c r="H143" s="651">
        <v>18</v>
      </c>
      <c r="I143" s="651">
        <v>14</v>
      </c>
      <c r="J143" s="651">
        <v>15</v>
      </c>
      <c r="K143" s="651">
        <v>18</v>
      </c>
      <c r="L143" s="651">
        <f t="shared" si="41"/>
        <v>4</v>
      </c>
      <c r="M143" s="16">
        <v>15</v>
      </c>
      <c r="N143" s="16">
        <f t="shared" si="42"/>
        <v>17187096.188917302</v>
      </c>
    </row>
    <row r="144" spans="1:27">
      <c r="A144" s="16" t="s">
        <v>1110</v>
      </c>
      <c r="B144" s="16" t="s">
        <v>1111</v>
      </c>
      <c r="C144" s="651">
        <v>14</v>
      </c>
      <c r="D144" s="651">
        <v>15</v>
      </c>
      <c r="E144" s="651">
        <v>15</v>
      </c>
      <c r="F144" s="651">
        <v>14</v>
      </c>
      <c r="G144" s="651">
        <v>13</v>
      </c>
      <c r="H144" s="651">
        <v>18</v>
      </c>
      <c r="I144" s="651">
        <v>14</v>
      </c>
      <c r="J144" s="651">
        <v>15</v>
      </c>
      <c r="K144" s="651">
        <v>18</v>
      </c>
      <c r="L144" s="651">
        <f t="shared" si="41"/>
        <v>4</v>
      </c>
      <c r="M144" s="16">
        <v>20</v>
      </c>
      <c r="N144" s="16">
        <f t="shared" si="42"/>
        <v>9290610.5464999918</v>
      </c>
    </row>
    <row r="145" spans="1:15">
      <c r="A145" s="16" t="s">
        <v>1112</v>
      </c>
      <c r="B145" s="16" t="s">
        <v>1113</v>
      </c>
      <c r="C145" s="651">
        <v>14</v>
      </c>
      <c r="D145" s="651">
        <v>15</v>
      </c>
      <c r="E145" s="651">
        <v>15</v>
      </c>
      <c r="F145" s="651">
        <v>14</v>
      </c>
      <c r="G145" s="651">
        <v>13</v>
      </c>
      <c r="H145" s="651">
        <v>18</v>
      </c>
      <c r="I145" s="651">
        <v>14</v>
      </c>
      <c r="J145" s="651">
        <v>15</v>
      </c>
      <c r="K145" s="651">
        <v>18</v>
      </c>
      <c r="L145" s="651">
        <f t="shared" si="41"/>
        <v>4</v>
      </c>
      <c r="M145" s="16">
        <v>7</v>
      </c>
      <c r="N145" s="16">
        <f t="shared" si="42"/>
        <v>10716602.317958245</v>
      </c>
    </row>
    <row r="146" spans="1:15">
      <c r="A146" s="16" t="s">
        <v>1114</v>
      </c>
      <c r="B146" s="16" t="s">
        <v>1115</v>
      </c>
      <c r="C146" s="651">
        <v>14</v>
      </c>
      <c r="D146" s="651">
        <v>15</v>
      </c>
      <c r="E146" s="651">
        <v>15</v>
      </c>
      <c r="F146" s="651">
        <v>14</v>
      </c>
      <c r="G146" s="651">
        <v>13</v>
      </c>
      <c r="H146" s="651">
        <v>18</v>
      </c>
      <c r="I146" s="651">
        <v>14</v>
      </c>
      <c r="J146" s="651">
        <v>15</v>
      </c>
      <c r="K146" s="651">
        <v>18</v>
      </c>
      <c r="L146" s="651">
        <f t="shared" si="41"/>
        <v>4</v>
      </c>
      <c r="M146" s="16">
        <v>17</v>
      </c>
      <c r="N146" s="16">
        <f t="shared" si="42"/>
        <v>3093463.4274395742</v>
      </c>
    </row>
    <row r="147" spans="1:15">
      <c r="A147" s="16" t="s">
        <v>1116</v>
      </c>
      <c r="B147" s="16" t="s">
        <v>1117</v>
      </c>
      <c r="C147" s="651">
        <v>14</v>
      </c>
      <c r="D147" s="651">
        <v>15</v>
      </c>
      <c r="E147" s="651">
        <v>15</v>
      </c>
      <c r="F147" s="651">
        <v>14</v>
      </c>
      <c r="G147" s="651">
        <v>13</v>
      </c>
      <c r="H147" s="651">
        <v>18</v>
      </c>
      <c r="I147" s="651">
        <v>14</v>
      </c>
      <c r="J147" s="651">
        <v>15</v>
      </c>
      <c r="K147" s="651">
        <v>18</v>
      </c>
      <c r="L147" s="651">
        <f t="shared" si="41"/>
        <v>4</v>
      </c>
      <c r="M147" s="16">
        <v>12</v>
      </c>
      <c r="N147" s="16">
        <f t="shared" si="42"/>
        <v>15542184.406667622</v>
      </c>
    </row>
    <row r="148" spans="1:15">
      <c r="A148" s="16" t="s">
        <v>1118</v>
      </c>
      <c r="B148" s="16" t="s">
        <v>1094</v>
      </c>
      <c r="C148" s="651">
        <v>14</v>
      </c>
      <c r="D148" s="651">
        <v>15</v>
      </c>
      <c r="E148" s="651">
        <v>15</v>
      </c>
      <c r="F148" s="651">
        <v>14</v>
      </c>
      <c r="G148" s="651">
        <v>13</v>
      </c>
      <c r="H148" s="651">
        <v>18</v>
      </c>
      <c r="I148" s="651">
        <v>14</v>
      </c>
      <c r="J148" s="651">
        <v>15</v>
      </c>
      <c r="K148" s="651">
        <v>18</v>
      </c>
      <c r="L148" s="651">
        <f t="shared" si="41"/>
        <v>4</v>
      </c>
      <c r="M148" s="16">
        <v>7</v>
      </c>
      <c r="N148" s="16">
        <f t="shared" si="42"/>
        <v>0</v>
      </c>
    </row>
    <row r="149" spans="1:15">
      <c r="A149" s="16" t="s">
        <v>1096</v>
      </c>
      <c r="B149" s="16" t="s">
        <v>1097</v>
      </c>
      <c r="C149" s="651">
        <v>14</v>
      </c>
      <c r="D149" s="651">
        <v>15</v>
      </c>
      <c r="E149" s="651">
        <v>15</v>
      </c>
      <c r="F149" s="651">
        <v>14</v>
      </c>
      <c r="G149" s="651">
        <v>13</v>
      </c>
      <c r="H149" s="651">
        <v>18</v>
      </c>
      <c r="I149" s="651">
        <v>14</v>
      </c>
      <c r="J149" s="651">
        <v>15</v>
      </c>
      <c r="K149" s="651">
        <v>18</v>
      </c>
      <c r="L149" s="651">
        <f t="shared" si="41"/>
        <v>4</v>
      </c>
      <c r="M149" s="16">
        <v>7</v>
      </c>
      <c r="N149" s="16">
        <f t="shared" si="42"/>
        <v>0</v>
      </c>
    </row>
    <row r="150" spans="1:15">
      <c r="A150" s="16" t="s">
        <v>1099</v>
      </c>
      <c r="B150" s="16" t="s">
        <v>1100</v>
      </c>
      <c r="C150" s="651">
        <v>14</v>
      </c>
      <c r="D150" s="651">
        <v>15</v>
      </c>
      <c r="E150" s="651">
        <v>15</v>
      </c>
      <c r="F150" s="651">
        <v>14</v>
      </c>
      <c r="G150" s="651">
        <v>13</v>
      </c>
      <c r="H150" s="651">
        <v>18</v>
      </c>
      <c r="I150" s="651">
        <v>14</v>
      </c>
      <c r="J150" s="651">
        <v>15</v>
      </c>
      <c r="K150" s="651">
        <v>18</v>
      </c>
      <c r="L150" s="651">
        <f t="shared" si="41"/>
        <v>4</v>
      </c>
      <c r="M150" s="16">
        <v>17</v>
      </c>
      <c r="N150" s="16">
        <f t="shared" si="42"/>
        <v>0</v>
      </c>
    </row>
    <row r="151" spans="1:15" ht="13">
      <c r="A151" s="16" t="s">
        <v>1210</v>
      </c>
      <c r="B151" s="651" t="s">
        <v>1119</v>
      </c>
      <c r="C151" s="651">
        <v>14</v>
      </c>
      <c r="D151" s="651">
        <v>15</v>
      </c>
      <c r="E151" s="651">
        <v>15</v>
      </c>
      <c r="F151" s="651">
        <v>14</v>
      </c>
      <c r="G151" s="651">
        <v>13</v>
      </c>
      <c r="H151" s="651">
        <v>18</v>
      </c>
      <c r="I151" s="651">
        <v>14</v>
      </c>
      <c r="J151" s="651">
        <v>15</v>
      </c>
      <c r="K151" s="651">
        <v>18</v>
      </c>
      <c r="L151" s="651">
        <f t="shared" si="41"/>
        <v>4</v>
      </c>
      <c r="M151" s="16">
        <v>107</v>
      </c>
      <c r="N151" s="98">
        <f>SUM(N142:N150)/C75</f>
        <v>17.999999999999996</v>
      </c>
    </row>
    <row r="153" spans="1:15">
      <c r="A153" s="16" t="s">
        <v>1230</v>
      </c>
      <c r="C153" s="16">
        <v>1980</v>
      </c>
      <c r="D153" s="16">
        <v>1981</v>
      </c>
      <c r="E153" s="16">
        <v>1982</v>
      </c>
      <c r="F153" s="16">
        <v>1984</v>
      </c>
      <c r="G153" s="16">
        <v>1987</v>
      </c>
      <c r="H153" s="16">
        <v>1990</v>
      </c>
      <c r="I153" s="16">
        <v>1993</v>
      </c>
      <c r="J153" s="16">
        <v>1997</v>
      </c>
      <c r="K153" s="16">
        <v>2001</v>
      </c>
      <c r="L153" s="16" t="s">
        <v>1206</v>
      </c>
      <c r="M153" s="16" t="s">
        <v>1231</v>
      </c>
      <c r="O153" s="645" t="s">
        <v>1229</v>
      </c>
    </row>
    <row r="154" spans="1:15">
      <c r="A154" s="16" t="s">
        <v>1092</v>
      </c>
      <c r="B154" s="16" t="s">
        <v>1093</v>
      </c>
      <c r="C154" s="16">
        <v>30</v>
      </c>
      <c r="D154" s="16">
        <v>29</v>
      </c>
      <c r="E154" s="16">
        <v>30</v>
      </c>
      <c r="F154" s="16">
        <v>27</v>
      </c>
      <c r="G154" s="16">
        <v>26</v>
      </c>
      <c r="H154" s="16">
        <v>25</v>
      </c>
      <c r="I154" s="16">
        <v>22</v>
      </c>
      <c r="J154" s="16">
        <v>22</v>
      </c>
      <c r="K154" s="16">
        <v>23</v>
      </c>
      <c r="L154" s="16">
        <f t="shared" ref="L154:L163" si="43">K154-C154</f>
        <v>-7</v>
      </c>
      <c r="M154" s="16">
        <f t="shared" ref="M154:M163" si="44">K154*M142/100</f>
        <v>1.1499999999999999</v>
      </c>
      <c r="N154" s="22"/>
      <c r="O154" s="16">
        <f t="shared" ref="O154:O162" si="45">K154*C66</f>
        <v>0</v>
      </c>
    </row>
    <row r="155" spans="1:15">
      <c r="A155" s="16" t="s">
        <v>1108</v>
      </c>
      <c r="B155" s="16" t="s">
        <v>1109</v>
      </c>
      <c r="C155" s="16">
        <v>28</v>
      </c>
      <c r="D155" s="16">
        <v>27</v>
      </c>
      <c r="E155" s="16">
        <v>27</v>
      </c>
      <c r="F155" s="16">
        <v>30</v>
      </c>
      <c r="G155" s="16">
        <v>25</v>
      </c>
      <c r="H155" s="16">
        <v>27</v>
      </c>
      <c r="I155" s="16">
        <v>27</v>
      </c>
      <c r="J155" s="16">
        <v>27</v>
      </c>
      <c r="K155" s="16">
        <v>25</v>
      </c>
      <c r="L155" s="16">
        <f t="shared" si="43"/>
        <v>-3</v>
      </c>
      <c r="M155" s="16">
        <f t="shared" si="44"/>
        <v>3.75</v>
      </c>
      <c r="N155" s="22"/>
      <c r="O155" s="16">
        <f t="shared" si="45"/>
        <v>23870966.929051805</v>
      </c>
    </row>
    <row r="156" spans="1:15">
      <c r="A156" s="16" t="s">
        <v>1110</v>
      </c>
      <c r="B156" s="16" t="s">
        <v>1111</v>
      </c>
      <c r="C156" s="16">
        <v>42</v>
      </c>
      <c r="D156" s="16">
        <v>39</v>
      </c>
      <c r="E156" s="16">
        <v>41</v>
      </c>
      <c r="F156" s="16">
        <v>36</v>
      </c>
      <c r="G156" s="16">
        <v>31</v>
      </c>
      <c r="H156" s="16">
        <v>32</v>
      </c>
      <c r="I156" s="16">
        <v>34</v>
      </c>
      <c r="J156" s="16">
        <v>35</v>
      </c>
      <c r="K156" s="16">
        <v>33</v>
      </c>
      <c r="L156" s="16">
        <f t="shared" si="43"/>
        <v>-9</v>
      </c>
      <c r="M156" s="16">
        <f t="shared" si="44"/>
        <v>6.6</v>
      </c>
      <c r="N156" s="22"/>
      <c r="O156" s="16">
        <f t="shared" si="45"/>
        <v>17032786.001916654</v>
      </c>
    </row>
    <row r="157" spans="1:15">
      <c r="A157" s="16" t="s">
        <v>1112</v>
      </c>
      <c r="B157" s="16" t="s">
        <v>1113</v>
      </c>
      <c r="C157" s="16">
        <v>54</v>
      </c>
      <c r="D157" s="16">
        <v>57</v>
      </c>
      <c r="E157" s="16">
        <v>49</v>
      </c>
      <c r="F157" s="16">
        <v>45</v>
      </c>
      <c r="G157" s="16">
        <v>45</v>
      </c>
      <c r="H157" s="16">
        <v>44</v>
      </c>
      <c r="I157" s="16">
        <v>45</v>
      </c>
      <c r="J157" s="16">
        <v>41</v>
      </c>
      <c r="K157" s="16">
        <v>42</v>
      </c>
      <c r="L157" s="16">
        <f t="shared" si="43"/>
        <v>-12</v>
      </c>
      <c r="M157" s="16">
        <f t="shared" si="44"/>
        <v>2.94</v>
      </c>
      <c r="N157" s="22"/>
      <c r="O157" s="16">
        <f t="shared" si="45"/>
        <v>25005405.408569239</v>
      </c>
    </row>
    <row r="158" spans="1:15">
      <c r="A158" s="16" t="s">
        <v>1114</v>
      </c>
      <c r="B158" s="16" t="s">
        <v>1115</v>
      </c>
      <c r="C158" s="16">
        <v>42</v>
      </c>
      <c r="D158" s="16">
        <v>45</v>
      </c>
      <c r="E158" s="16">
        <v>41</v>
      </c>
      <c r="F158" s="16">
        <v>40</v>
      </c>
      <c r="G158" s="16">
        <v>40</v>
      </c>
      <c r="H158" s="16">
        <v>37</v>
      </c>
      <c r="I158" s="16">
        <v>41</v>
      </c>
      <c r="J158" s="16">
        <v>37</v>
      </c>
      <c r="K158" s="16">
        <v>35</v>
      </c>
      <c r="L158" s="16">
        <f t="shared" si="43"/>
        <v>-7</v>
      </c>
      <c r="M158" s="16">
        <f t="shared" si="44"/>
        <v>5.95</v>
      </c>
      <c r="N158" s="22"/>
      <c r="O158" s="16">
        <f t="shared" si="45"/>
        <v>6015067.7755769501</v>
      </c>
    </row>
    <row r="159" spans="1:15">
      <c r="A159" s="16" t="s">
        <v>1116</v>
      </c>
      <c r="B159" s="16" t="s">
        <v>1117</v>
      </c>
      <c r="C159" s="16">
        <v>40</v>
      </c>
      <c r="D159" s="16">
        <v>39</v>
      </c>
      <c r="E159" s="16">
        <v>42</v>
      </c>
      <c r="F159" s="16">
        <v>44</v>
      </c>
      <c r="G159" s="16">
        <v>40</v>
      </c>
      <c r="H159" s="16">
        <v>45</v>
      </c>
      <c r="I159" s="16">
        <v>38</v>
      </c>
      <c r="J159" s="16">
        <v>37</v>
      </c>
      <c r="K159" s="16">
        <v>34</v>
      </c>
      <c r="L159" s="16">
        <f t="shared" si="43"/>
        <v>-6</v>
      </c>
      <c r="M159" s="16">
        <f t="shared" si="44"/>
        <v>4.08</v>
      </c>
      <c r="N159" s="22"/>
      <c r="O159" s="16">
        <f t="shared" si="45"/>
        <v>29357459.434816621</v>
      </c>
    </row>
    <row r="160" spans="1:15">
      <c r="A160" s="16" t="s">
        <v>1118</v>
      </c>
      <c r="B160" s="16" t="s">
        <v>1094</v>
      </c>
      <c r="C160" s="16">
        <v>53</v>
      </c>
      <c r="D160" s="16">
        <v>49</v>
      </c>
      <c r="E160" s="16">
        <v>47</v>
      </c>
      <c r="F160" s="16">
        <v>48</v>
      </c>
      <c r="G160" s="16">
        <v>46</v>
      </c>
      <c r="H160" s="16">
        <v>45</v>
      </c>
      <c r="I160" s="16">
        <v>50</v>
      </c>
      <c r="J160" s="16">
        <v>54</v>
      </c>
      <c r="K160" s="16">
        <v>48</v>
      </c>
      <c r="L160" s="16">
        <f t="shared" si="43"/>
        <v>-5</v>
      </c>
      <c r="M160" s="16">
        <f t="shared" si="44"/>
        <v>3.36</v>
      </c>
      <c r="N160" s="22"/>
      <c r="O160" s="16">
        <f t="shared" si="45"/>
        <v>0</v>
      </c>
    </row>
    <row r="161" spans="1:15">
      <c r="A161" s="16" t="s">
        <v>1096</v>
      </c>
      <c r="B161" s="16" t="s">
        <v>1097</v>
      </c>
      <c r="C161" s="16">
        <v>36</v>
      </c>
      <c r="D161" s="16">
        <v>37</v>
      </c>
      <c r="E161" s="16">
        <v>43</v>
      </c>
      <c r="F161" s="16">
        <v>40</v>
      </c>
      <c r="G161" s="16">
        <v>37</v>
      </c>
      <c r="H161" s="16">
        <v>37</v>
      </c>
      <c r="I161" s="16">
        <v>43</v>
      </c>
      <c r="J161" s="16">
        <v>34</v>
      </c>
      <c r="K161" s="16">
        <v>35</v>
      </c>
      <c r="L161" s="16">
        <f t="shared" si="43"/>
        <v>-1</v>
      </c>
      <c r="M161" s="16">
        <f t="shared" si="44"/>
        <v>2.4500000000000002</v>
      </c>
      <c r="N161" s="22"/>
      <c r="O161" s="16">
        <f t="shared" si="45"/>
        <v>0</v>
      </c>
    </row>
    <row r="162" spans="1:15">
      <c r="A162" s="16" t="s">
        <v>1099</v>
      </c>
      <c r="B162" s="16" t="s">
        <v>1100</v>
      </c>
      <c r="C162" s="16">
        <v>28</v>
      </c>
      <c r="D162" s="16">
        <v>30</v>
      </c>
      <c r="E162" s="16">
        <v>25</v>
      </c>
      <c r="F162" s="16">
        <v>30</v>
      </c>
      <c r="G162" s="16">
        <v>27</v>
      </c>
      <c r="H162" s="16">
        <v>28</v>
      </c>
      <c r="I162" s="16">
        <v>23</v>
      </c>
      <c r="J162" s="16">
        <v>20</v>
      </c>
      <c r="K162" s="16">
        <v>23</v>
      </c>
      <c r="L162" s="16">
        <f t="shared" si="43"/>
        <v>-5</v>
      </c>
      <c r="M162" s="16">
        <f t="shared" si="44"/>
        <v>3.91</v>
      </c>
      <c r="N162" s="22"/>
      <c r="O162" s="16">
        <f t="shared" si="45"/>
        <v>0</v>
      </c>
    </row>
    <row r="163" spans="1:15" ht="13">
      <c r="A163" s="16" t="s">
        <v>1210</v>
      </c>
      <c r="B163" s="651" t="s">
        <v>1119</v>
      </c>
      <c r="C163" s="16">
        <v>38</v>
      </c>
      <c r="D163" s="16">
        <v>38</v>
      </c>
      <c r="E163" s="16">
        <v>37</v>
      </c>
      <c r="F163" s="16">
        <v>37</v>
      </c>
      <c r="G163" s="16">
        <v>34</v>
      </c>
      <c r="H163" s="16">
        <v>34</v>
      </c>
      <c r="I163" s="16">
        <v>35</v>
      </c>
      <c r="J163" s="16">
        <v>33</v>
      </c>
      <c r="K163" s="16">
        <v>32</v>
      </c>
      <c r="L163" s="16">
        <f t="shared" si="43"/>
        <v>-6</v>
      </c>
      <c r="M163" s="16">
        <f t="shared" si="44"/>
        <v>34.24</v>
      </c>
      <c r="N163" s="22"/>
      <c r="O163" s="98">
        <f>SUM(O154:O162)/C75</f>
        <v>32.65398079337406</v>
      </c>
    </row>
    <row r="164" spans="1:15">
      <c r="B164" s="651"/>
      <c r="N164" s="22"/>
    </row>
    <row r="165" spans="1:15">
      <c r="N165" s="16" t="s">
        <v>1232</v>
      </c>
    </row>
    <row r="170" spans="1:15">
      <c r="B170" s="99"/>
      <c r="C170" s="99"/>
      <c r="D170" s="99"/>
      <c r="E170" s="99"/>
      <c r="F170" s="99"/>
      <c r="G170" s="99"/>
    </row>
    <row r="171" spans="1:15">
      <c r="E171" s="22"/>
      <c r="F171" s="22"/>
      <c r="G171" s="22"/>
    </row>
  </sheetData>
  <mergeCells count="1">
    <mergeCell ref="I32:J32"/>
  </mergeCells>
  <phoneticPr fontId="14" type="noConversion"/>
  <pageMargins left="0.25" right="0.25" top="0.5" bottom="0.5" header="0.5" footer="0.5"/>
  <pageSetup scale="30" fitToHeight="0" orientation="landscape" r:id="rId1"/>
  <headerFooter alignWithMargins="0"/>
  <rowBreaks count="2" manualBreakCount="2">
    <brk id="47" max="16383" man="1"/>
    <brk id="125" max="16383" man="1"/>
  </rowBreaks>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R444"/>
  <sheetViews>
    <sheetView zoomScale="80" zoomScaleNormal="80" workbookViewId="0">
      <selection activeCell="C33" sqref="C33"/>
    </sheetView>
  </sheetViews>
  <sheetFormatPr defaultColWidth="11.54296875" defaultRowHeight="12.5"/>
  <cols>
    <col min="1" max="1" width="8" style="201" customWidth="1"/>
    <col min="2" max="2" width="40" style="201" customWidth="1"/>
    <col min="3" max="3" width="11.7265625" style="201" customWidth="1"/>
    <col min="4" max="4" width="13.26953125" style="201" customWidth="1"/>
    <col min="5" max="9" width="11.7265625" style="201" customWidth="1"/>
    <col min="10" max="10" width="8.54296875" style="201" customWidth="1"/>
    <col min="11" max="11" width="11.7265625" style="201" customWidth="1"/>
    <col min="12" max="12" width="14.26953125" style="201" customWidth="1"/>
    <col min="13" max="13" width="11.26953125" style="201" customWidth="1"/>
    <col min="14" max="14" width="13.54296875" style="201" customWidth="1"/>
    <col min="15" max="15" width="12.54296875" style="201" customWidth="1"/>
    <col min="16" max="16" width="13.7265625" style="201" customWidth="1"/>
    <col min="17" max="28" width="11.54296875" style="201"/>
    <col min="29" max="29" width="11.7265625" style="201" customWidth="1"/>
    <col min="30" max="30" width="14.26953125" style="201" customWidth="1"/>
    <col min="31" max="16384" width="11.54296875" style="201"/>
  </cols>
  <sheetData>
    <row r="1" spans="1:31" ht="17.25" customHeight="1">
      <c r="A1" s="673" t="s">
        <v>1233</v>
      </c>
      <c r="B1" s="673"/>
      <c r="C1" s="673"/>
      <c r="D1" s="673"/>
      <c r="E1" s="673"/>
      <c r="F1" s="673"/>
      <c r="G1" s="673"/>
      <c r="H1" s="673"/>
      <c r="I1" s="673"/>
      <c r="J1" s="673"/>
      <c r="K1" s="673"/>
      <c r="L1" s="673"/>
      <c r="M1" s="673"/>
      <c r="N1" s="199"/>
      <c r="O1" s="649"/>
      <c r="P1" s="646"/>
      <c r="Q1" s="646"/>
      <c r="R1" s="646"/>
      <c r="S1" s="646"/>
      <c r="T1" s="646"/>
      <c r="U1" s="646"/>
      <c r="V1" s="646"/>
      <c r="W1" s="646"/>
      <c r="X1" s="646"/>
      <c r="Y1" s="646"/>
      <c r="Z1" s="646"/>
      <c r="AA1" s="646"/>
      <c r="AB1" s="646"/>
      <c r="AC1" s="646"/>
      <c r="AD1" s="646"/>
      <c r="AE1" s="646"/>
    </row>
    <row r="2" spans="1:31" s="200" customFormat="1" ht="23.25" customHeight="1">
      <c r="A2" s="673" t="s">
        <v>1234</v>
      </c>
      <c r="B2" s="673"/>
      <c r="C2" s="649"/>
      <c r="D2" s="649"/>
      <c r="E2" s="649"/>
      <c r="F2" s="649"/>
      <c r="G2" s="649"/>
      <c r="H2" s="649"/>
      <c r="I2" s="649"/>
      <c r="J2" s="649"/>
      <c r="K2" s="649"/>
      <c r="L2" s="649"/>
      <c r="M2" s="649"/>
      <c r="N2" s="649"/>
      <c r="O2" s="649"/>
      <c r="P2" s="649"/>
      <c r="Q2" s="649"/>
      <c r="R2" s="649"/>
      <c r="S2" s="649"/>
      <c r="T2" s="649"/>
      <c r="U2" s="649"/>
      <c r="V2" s="649"/>
      <c r="W2" s="649"/>
      <c r="X2" s="649"/>
      <c r="Y2" s="649"/>
      <c r="Z2" s="649"/>
      <c r="AA2" s="649"/>
      <c r="AB2" s="649"/>
      <c r="AC2" s="649"/>
      <c r="AD2" s="649"/>
      <c r="AE2" s="649"/>
    </row>
    <row r="3" spans="1:31" s="200" customFormat="1" ht="15.75" customHeight="1">
      <c r="A3" s="202" t="s">
        <v>596</v>
      </c>
      <c r="B3" s="202" t="s">
        <v>1235</v>
      </c>
      <c r="C3" s="202">
        <v>2005</v>
      </c>
      <c r="D3" s="202">
        <v>2010</v>
      </c>
      <c r="E3" s="202">
        <v>2015</v>
      </c>
      <c r="F3" s="202">
        <v>2020</v>
      </c>
      <c r="G3" s="202">
        <v>2025</v>
      </c>
      <c r="H3" s="202">
        <v>2030</v>
      </c>
      <c r="I3" s="202">
        <v>2035</v>
      </c>
      <c r="J3" s="202">
        <v>2040</v>
      </c>
      <c r="K3" s="202">
        <v>2045</v>
      </c>
      <c r="L3" s="202">
        <v>2050</v>
      </c>
      <c r="M3" s="202">
        <v>2055</v>
      </c>
      <c r="N3" s="649"/>
      <c r="O3" s="649"/>
      <c r="P3" s="649"/>
      <c r="Q3" s="649"/>
      <c r="R3" s="649"/>
      <c r="S3" s="649"/>
      <c r="T3" s="649"/>
      <c r="U3" s="649"/>
      <c r="V3" s="649"/>
      <c r="W3" s="649"/>
      <c r="X3" s="649"/>
      <c r="Y3" s="649"/>
      <c r="Z3" s="649"/>
      <c r="AA3" s="649"/>
      <c r="AB3" s="649"/>
      <c r="AC3" s="649"/>
      <c r="AD3" s="649"/>
      <c r="AE3" s="649"/>
    </row>
    <row r="4" spans="1:31" s="200" customFormat="1" ht="15.75" customHeight="1">
      <c r="A4" s="203" t="s">
        <v>1236</v>
      </c>
      <c r="B4" s="203" t="s">
        <v>1237</v>
      </c>
      <c r="C4" s="204" t="e">
        <f>C18</f>
        <v>#REF!</v>
      </c>
      <c r="D4" s="204" t="e">
        <f t="shared" ref="D4:M4" si="0">D18</f>
        <v>#REF!</v>
      </c>
      <c r="E4" s="204" t="e">
        <f t="shared" si="0"/>
        <v>#REF!</v>
      </c>
      <c r="F4" s="204" t="e">
        <f t="shared" si="0"/>
        <v>#REF!</v>
      </c>
      <c r="G4" s="204" t="e">
        <f t="shared" si="0"/>
        <v>#REF!</v>
      </c>
      <c r="H4" s="204" t="e">
        <f t="shared" si="0"/>
        <v>#REF!</v>
      </c>
      <c r="I4" s="204" t="e">
        <f t="shared" si="0"/>
        <v>#REF!</v>
      </c>
      <c r="J4" s="204" t="e">
        <f t="shared" si="0"/>
        <v>#REF!</v>
      </c>
      <c r="K4" s="204" t="e">
        <f t="shared" si="0"/>
        <v>#REF!</v>
      </c>
      <c r="L4" s="204" t="e">
        <f t="shared" si="0"/>
        <v>#REF!</v>
      </c>
      <c r="M4" s="204" t="e">
        <f t="shared" si="0"/>
        <v>#REF!</v>
      </c>
      <c r="N4" s="649"/>
      <c r="O4" s="646" t="s">
        <v>1238</v>
      </c>
      <c r="P4" s="205">
        <v>1055</v>
      </c>
      <c r="Q4" s="646" t="s">
        <v>32</v>
      </c>
      <c r="R4" s="649"/>
      <c r="S4" s="649"/>
      <c r="T4" s="649"/>
      <c r="U4" s="649"/>
      <c r="V4" s="649"/>
      <c r="W4" s="649"/>
      <c r="X4" s="649"/>
      <c r="Y4" s="649"/>
      <c r="Z4" s="649"/>
      <c r="AA4" s="649"/>
      <c r="AB4" s="649"/>
      <c r="AC4" s="649"/>
      <c r="AD4" s="649"/>
      <c r="AE4" s="649"/>
    </row>
    <row r="5" spans="1:31" s="200" customFormat="1" ht="15.75" hidden="1" customHeight="1">
      <c r="A5" s="206" t="s">
        <v>1239</v>
      </c>
      <c r="B5" s="206" t="s">
        <v>1240</v>
      </c>
      <c r="C5" s="207">
        <f>C54</f>
        <v>38.425449371337898</v>
      </c>
      <c r="D5" s="207">
        <f t="shared" ref="D5:M5" si="1">D54</f>
        <v>38.009281000000001</v>
      </c>
      <c r="E5" s="207">
        <f t="shared" si="1"/>
        <v>38.799267</v>
      </c>
      <c r="F5" s="207">
        <f t="shared" si="1"/>
        <v>40.689968</v>
      </c>
      <c r="G5" s="207">
        <f t="shared" si="1"/>
        <v>47.29</v>
      </c>
      <c r="H5" s="207">
        <f t="shared" si="1"/>
        <v>49.95</v>
      </c>
      <c r="I5" s="207">
        <f t="shared" si="1"/>
        <v>52.43</v>
      </c>
      <c r="J5" s="207">
        <f t="shared" si="1"/>
        <v>52.43</v>
      </c>
      <c r="K5" s="207">
        <f t="shared" si="1"/>
        <v>52.43</v>
      </c>
      <c r="L5" s="207">
        <f t="shared" si="1"/>
        <v>52.43</v>
      </c>
      <c r="M5" s="207">
        <f t="shared" si="1"/>
        <v>52.43</v>
      </c>
      <c r="N5" s="649"/>
      <c r="O5" s="205"/>
      <c r="P5" s="208"/>
      <c r="Q5" s="646"/>
      <c r="R5" s="649"/>
      <c r="S5" s="649"/>
      <c r="T5" s="649"/>
      <c r="U5" s="649"/>
      <c r="V5" s="649"/>
      <c r="W5" s="649"/>
      <c r="X5" s="649"/>
      <c r="Y5" s="649"/>
      <c r="Z5" s="649"/>
      <c r="AA5" s="649"/>
      <c r="AB5" s="649"/>
      <c r="AC5" s="649"/>
      <c r="AD5" s="649"/>
      <c r="AE5" s="649"/>
    </row>
    <row r="6" spans="1:31" s="200" customFormat="1" ht="15.75" customHeight="1">
      <c r="A6" s="203" t="s">
        <v>1241</v>
      </c>
      <c r="B6" s="203" t="s">
        <v>1242</v>
      </c>
      <c r="C6" s="204" t="e">
        <f>D6*C26/D26</f>
        <v>#REF!</v>
      </c>
      <c r="D6" s="204" t="e">
        <f>D19</f>
        <v>#REF!</v>
      </c>
      <c r="E6" s="204" t="e">
        <f>E19</f>
        <v>#REF!</v>
      </c>
      <c r="F6" s="204" t="e">
        <f t="shared" ref="F6:M6" si="2">F19</f>
        <v>#REF!</v>
      </c>
      <c r="G6" s="204" t="e">
        <f t="shared" si="2"/>
        <v>#REF!</v>
      </c>
      <c r="H6" s="204" t="e">
        <f t="shared" si="2"/>
        <v>#REF!</v>
      </c>
      <c r="I6" s="204" t="e">
        <f t="shared" si="2"/>
        <v>#REF!</v>
      </c>
      <c r="J6" s="204" t="e">
        <f t="shared" si="2"/>
        <v>#REF!</v>
      </c>
      <c r="K6" s="204" t="e">
        <f t="shared" si="2"/>
        <v>#REF!</v>
      </c>
      <c r="L6" s="204" t="e">
        <f t="shared" si="2"/>
        <v>#REF!</v>
      </c>
      <c r="M6" s="204" t="e">
        <f t="shared" si="2"/>
        <v>#REF!</v>
      </c>
      <c r="N6" s="649"/>
      <c r="O6" s="649"/>
      <c r="P6" s="649"/>
      <c r="Q6" s="649"/>
      <c r="R6" s="649"/>
      <c r="S6" s="649"/>
      <c r="T6" s="649"/>
      <c r="U6" s="649"/>
      <c r="V6" s="649"/>
      <c r="W6" s="649"/>
      <c r="X6" s="649"/>
      <c r="Y6" s="649"/>
      <c r="Z6" s="649"/>
      <c r="AA6" s="649"/>
      <c r="AB6" s="649"/>
      <c r="AC6" s="649"/>
      <c r="AD6" s="649"/>
      <c r="AE6" s="649"/>
    </row>
    <row r="7" spans="1:31" s="200" customFormat="1" ht="15.75" customHeight="1">
      <c r="A7" s="203" t="s">
        <v>1243</v>
      </c>
      <c r="B7" s="203" t="s">
        <v>1244</v>
      </c>
      <c r="C7" s="94" t="e">
        <f>C21</f>
        <v>#REF!</v>
      </c>
      <c r="D7" s="94" t="e">
        <f t="shared" ref="D7:M8" si="3">D21</f>
        <v>#REF!</v>
      </c>
      <c r="E7" s="94" t="e">
        <f t="shared" si="3"/>
        <v>#REF!</v>
      </c>
      <c r="F7" s="94" t="e">
        <f t="shared" si="3"/>
        <v>#REF!</v>
      </c>
      <c r="G7" s="94" t="e">
        <f>G21</f>
        <v>#REF!</v>
      </c>
      <c r="H7" s="94" t="e">
        <f t="shared" si="3"/>
        <v>#REF!</v>
      </c>
      <c r="I7" s="94" t="e">
        <f t="shared" si="3"/>
        <v>#REF!</v>
      </c>
      <c r="J7" s="94" t="e">
        <f t="shared" si="3"/>
        <v>#REF!</v>
      </c>
      <c r="K7" s="94" t="e">
        <f t="shared" si="3"/>
        <v>#REF!</v>
      </c>
      <c r="L7" s="94" t="e">
        <f t="shared" si="3"/>
        <v>#REF!</v>
      </c>
      <c r="M7" s="94" t="e">
        <f t="shared" si="3"/>
        <v>#REF!</v>
      </c>
      <c r="N7" s="649"/>
      <c r="O7" s="649"/>
      <c r="P7" s="649"/>
      <c r="Q7" s="209"/>
      <c r="R7" s="210"/>
      <c r="S7" s="210"/>
      <c r="T7" s="210"/>
      <c r="U7" s="210"/>
      <c r="V7" s="210"/>
      <c r="W7" s="210"/>
      <c r="X7" s="210"/>
      <c r="Y7" s="210"/>
      <c r="Z7" s="210"/>
      <c r="AA7" s="210"/>
      <c r="AB7" s="210"/>
      <c r="AC7" s="210"/>
      <c r="AD7" s="210"/>
      <c r="AE7" s="649"/>
    </row>
    <row r="8" spans="1:31" s="200" customFormat="1" ht="15.75" customHeight="1">
      <c r="A8" s="203" t="s">
        <v>1245</v>
      </c>
      <c r="B8" s="203" t="s">
        <v>1246</v>
      </c>
      <c r="C8" s="204" t="e">
        <f>C22</f>
        <v>#REF!</v>
      </c>
      <c r="D8" s="204" t="e">
        <f t="shared" si="3"/>
        <v>#REF!</v>
      </c>
      <c r="E8" s="204" t="e">
        <f t="shared" si="3"/>
        <v>#REF!</v>
      </c>
      <c r="F8" s="204" t="e">
        <f t="shared" si="3"/>
        <v>#REF!</v>
      </c>
      <c r="G8" s="204" t="e">
        <f t="shared" si="3"/>
        <v>#REF!</v>
      </c>
      <c r="H8" s="204" t="e">
        <f t="shared" si="3"/>
        <v>#REF!</v>
      </c>
      <c r="I8" s="204" t="e">
        <f t="shared" si="3"/>
        <v>#REF!</v>
      </c>
      <c r="J8" s="204" t="e">
        <f t="shared" si="3"/>
        <v>#REF!</v>
      </c>
      <c r="K8" s="204" t="e">
        <f t="shared" si="3"/>
        <v>#REF!</v>
      </c>
      <c r="L8" s="204" t="e">
        <f t="shared" si="3"/>
        <v>#REF!</v>
      </c>
      <c r="M8" s="204" t="e">
        <f t="shared" si="3"/>
        <v>#REF!</v>
      </c>
      <c r="N8" s="649"/>
      <c r="O8" s="649"/>
      <c r="P8" s="649"/>
      <c r="Q8" s="210"/>
      <c r="R8" s="210"/>
      <c r="S8" s="210"/>
      <c r="T8" s="210"/>
      <c r="U8" s="210"/>
      <c r="V8" s="210"/>
      <c r="W8" s="210"/>
      <c r="X8" s="210"/>
      <c r="Y8" s="210"/>
      <c r="Z8" s="210"/>
      <c r="AA8" s="210"/>
      <c r="AB8" s="210"/>
      <c r="AC8" s="210"/>
      <c r="AD8" s="210"/>
      <c r="AE8" s="649"/>
    </row>
    <row r="9" spans="1:31" s="200" customFormat="1" ht="15.75" customHeight="1">
      <c r="A9" s="203" t="s">
        <v>1247</v>
      </c>
      <c r="B9" s="203" t="s">
        <v>1248</v>
      </c>
      <c r="C9" s="204" t="e">
        <f>D9</f>
        <v>#REF!</v>
      </c>
      <c r="D9" s="204" t="e">
        <f>D23</f>
        <v>#REF!</v>
      </c>
      <c r="E9" s="204" t="e">
        <f>D9*E32/D32</f>
        <v>#REF!</v>
      </c>
      <c r="F9" s="204" t="e">
        <f t="shared" ref="F9:M9" si="4">E9*F32/E32</f>
        <v>#REF!</v>
      </c>
      <c r="G9" s="204" t="e">
        <f t="shared" si="4"/>
        <v>#REF!</v>
      </c>
      <c r="H9" s="204" t="e">
        <f t="shared" si="4"/>
        <v>#REF!</v>
      </c>
      <c r="I9" s="204" t="e">
        <f t="shared" si="4"/>
        <v>#REF!</v>
      </c>
      <c r="J9" s="204" t="e">
        <f t="shared" si="4"/>
        <v>#REF!</v>
      </c>
      <c r="K9" s="204" t="e">
        <f t="shared" si="4"/>
        <v>#REF!</v>
      </c>
      <c r="L9" s="204" t="e">
        <f t="shared" si="4"/>
        <v>#REF!</v>
      </c>
      <c r="M9" s="204" t="e">
        <f t="shared" si="4"/>
        <v>#REF!</v>
      </c>
      <c r="N9" s="649"/>
      <c r="O9" s="649"/>
      <c r="P9" s="649"/>
      <c r="Q9" s="211"/>
      <c r="R9" s="210"/>
      <c r="S9" s="210"/>
      <c r="T9" s="210"/>
      <c r="U9" s="210"/>
      <c r="V9" s="210"/>
      <c r="W9" s="210"/>
      <c r="X9" s="210"/>
      <c r="Y9" s="210"/>
      <c r="Z9" s="210"/>
      <c r="AA9" s="210"/>
      <c r="AB9" s="210"/>
      <c r="AC9" s="210"/>
      <c r="AD9" s="210"/>
      <c r="AE9" s="649"/>
    </row>
    <row r="10" spans="1:31" s="200" customFormat="1" ht="15.75" hidden="1" customHeight="1">
      <c r="A10" s="203" t="s">
        <v>1249</v>
      </c>
      <c r="B10" s="203" t="s">
        <v>1250</v>
      </c>
      <c r="C10" s="212">
        <f t="shared" ref="C10:M10" si="5">C60*$P4</f>
        <v>42.2</v>
      </c>
      <c r="D10" s="212">
        <f t="shared" si="5"/>
        <v>41.870840000000001</v>
      </c>
      <c r="E10" s="212">
        <f t="shared" si="5"/>
        <v>45.15822</v>
      </c>
      <c r="F10" s="212">
        <f t="shared" si="5"/>
        <v>49.168275000000001</v>
      </c>
      <c r="G10" s="212">
        <f t="shared" si="5"/>
        <v>53.083379999999998</v>
      </c>
      <c r="H10" s="212">
        <f t="shared" si="5"/>
        <v>57.116644999999998</v>
      </c>
      <c r="I10" s="212">
        <f t="shared" si="5"/>
        <v>61.042300000000004</v>
      </c>
      <c r="J10" s="212">
        <f t="shared" si="5"/>
        <v>65.237767191857998</v>
      </c>
      <c r="K10" s="212">
        <f t="shared" si="5"/>
        <v>69.721590899737791</v>
      </c>
      <c r="L10" s="212">
        <f t="shared" si="5"/>
        <v>74.513590008290294</v>
      </c>
      <c r="M10" s="212">
        <f t="shared" si="5"/>
        <v>79.634945563820466</v>
      </c>
      <c r="N10" s="649"/>
      <c r="O10" s="649"/>
      <c r="P10" s="649"/>
      <c r="Q10" s="211"/>
      <c r="R10" s="210"/>
      <c r="S10" s="210"/>
      <c r="T10" s="210"/>
      <c r="U10" s="210"/>
      <c r="V10" s="210"/>
      <c r="W10" s="210"/>
      <c r="X10" s="210"/>
      <c r="Y10" s="210"/>
      <c r="Z10" s="210"/>
      <c r="AA10" s="210"/>
      <c r="AB10" s="210"/>
      <c r="AC10" s="210"/>
      <c r="AD10" s="210"/>
      <c r="AE10" s="649"/>
    </row>
    <row r="11" spans="1:31" s="200" customFormat="1" ht="15.75" hidden="1" customHeight="1">
      <c r="A11" s="203" t="s">
        <v>1251</v>
      </c>
      <c r="B11" s="203" t="s">
        <v>1252</v>
      </c>
      <c r="C11" s="213">
        <v>3.8583481298499205</v>
      </c>
      <c r="D11" s="213">
        <v>3.9036012220679113</v>
      </c>
      <c r="E11" s="213">
        <v>4.1229885551930536</v>
      </c>
      <c r="F11" s="213">
        <v>4.2954983882903184</v>
      </c>
      <c r="G11" s="213">
        <v>4.527907505019316</v>
      </c>
      <c r="H11" s="213">
        <v>4.7728670146681358</v>
      </c>
      <c r="I11" s="213">
        <v>5.0060662525513848</v>
      </c>
      <c r="J11" s="213">
        <v>5.2209979490232232</v>
      </c>
      <c r="K11" s="213">
        <v>5.5544442020850546</v>
      </c>
      <c r="L11" s="213">
        <v>5.8458401836198579</v>
      </c>
      <c r="M11" s="213">
        <v>6.1640162027242003</v>
      </c>
      <c r="N11" s="649"/>
      <c r="O11" s="649"/>
      <c r="P11" s="649"/>
      <c r="Q11" s="30"/>
      <c r="R11" s="209"/>
      <c r="S11" s="209"/>
      <c r="T11" s="209"/>
      <c r="U11" s="209"/>
      <c r="V11" s="209"/>
      <c r="W11" s="209"/>
      <c r="X11" s="210"/>
      <c r="Y11" s="210"/>
      <c r="Z11" s="210"/>
      <c r="AA11" s="210"/>
      <c r="AB11" s="210"/>
      <c r="AC11" s="210"/>
      <c r="AD11" s="210"/>
      <c r="AE11" s="649"/>
    </row>
    <row r="12" spans="1:31" s="200" customFormat="1" ht="15.75" customHeight="1">
      <c r="A12" s="203" t="s">
        <v>1253</v>
      </c>
      <c r="B12" s="203" t="s">
        <v>1254</v>
      </c>
      <c r="C12" s="204" t="e">
        <f>C20</f>
        <v>#REF!</v>
      </c>
      <c r="D12" s="204" t="e">
        <f t="shared" ref="D12:M12" si="6">D20</f>
        <v>#REF!</v>
      </c>
      <c r="E12" s="204" t="e">
        <f t="shared" si="6"/>
        <v>#REF!</v>
      </c>
      <c r="F12" s="204" t="e">
        <f t="shared" si="6"/>
        <v>#REF!</v>
      </c>
      <c r="G12" s="204" t="e">
        <f t="shared" si="6"/>
        <v>#REF!</v>
      </c>
      <c r="H12" s="204" t="e">
        <f t="shared" si="6"/>
        <v>#REF!</v>
      </c>
      <c r="I12" s="204" t="e">
        <f t="shared" si="6"/>
        <v>#REF!</v>
      </c>
      <c r="J12" s="204" t="e">
        <f t="shared" si="6"/>
        <v>#REF!</v>
      </c>
      <c r="K12" s="204" t="e">
        <f t="shared" si="6"/>
        <v>#REF!</v>
      </c>
      <c r="L12" s="204" t="e">
        <f t="shared" si="6"/>
        <v>#REF!</v>
      </c>
      <c r="M12" s="204" t="e">
        <f t="shared" si="6"/>
        <v>#REF!</v>
      </c>
      <c r="N12" s="649"/>
      <c r="O12" s="649"/>
      <c r="P12" s="649"/>
      <c r="Q12" s="209"/>
      <c r="R12" s="210"/>
      <c r="S12" s="210"/>
      <c r="T12" s="210"/>
      <c r="U12" s="210"/>
      <c r="V12" s="210"/>
      <c r="W12" s="210"/>
      <c r="X12" s="210"/>
      <c r="Y12" s="210"/>
      <c r="Z12" s="210"/>
      <c r="AA12" s="210"/>
      <c r="AB12" s="210"/>
      <c r="AC12" s="210"/>
      <c r="AD12" s="210"/>
      <c r="AE12" s="649"/>
    </row>
    <row r="13" spans="1:31" s="200" customFormat="1" ht="15.75" customHeight="1">
      <c r="A13" s="203"/>
      <c r="B13" s="203" t="s">
        <v>1178</v>
      </c>
      <c r="C13" s="204" t="e">
        <f>C4+C6+C7+C8+C9+C12</f>
        <v>#REF!</v>
      </c>
      <c r="D13" s="204" t="e">
        <f t="shared" ref="D13:M13" si="7">D4+D6+D7+D8+D9+D12</f>
        <v>#REF!</v>
      </c>
      <c r="E13" s="204" t="e">
        <f t="shared" si="7"/>
        <v>#REF!</v>
      </c>
      <c r="F13" s="204" t="e">
        <f t="shared" si="7"/>
        <v>#REF!</v>
      </c>
      <c r="G13" s="204" t="e">
        <f t="shared" si="7"/>
        <v>#REF!</v>
      </c>
      <c r="H13" s="204" t="e">
        <f t="shared" si="7"/>
        <v>#REF!</v>
      </c>
      <c r="I13" s="204" t="e">
        <f t="shared" si="7"/>
        <v>#REF!</v>
      </c>
      <c r="J13" s="204" t="e">
        <f t="shared" si="7"/>
        <v>#REF!</v>
      </c>
      <c r="K13" s="204" t="e">
        <f t="shared" si="7"/>
        <v>#REF!</v>
      </c>
      <c r="L13" s="204" t="e">
        <f t="shared" si="7"/>
        <v>#REF!</v>
      </c>
      <c r="M13" s="204" t="e">
        <f t="shared" si="7"/>
        <v>#REF!</v>
      </c>
      <c r="N13" s="649"/>
      <c r="O13" s="649"/>
      <c r="P13" s="649"/>
      <c r="Q13" s="214"/>
      <c r="R13" s="215"/>
      <c r="S13" s="215"/>
      <c r="T13" s="215"/>
      <c r="U13" s="215"/>
      <c r="V13" s="215"/>
      <c r="W13" s="215"/>
      <c r="X13" s="210"/>
      <c r="Y13" s="210"/>
      <c r="Z13" s="210"/>
      <c r="AA13" s="210"/>
      <c r="AB13" s="210"/>
      <c r="AC13" s="210"/>
      <c r="AD13" s="210"/>
      <c r="AE13" s="649"/>
    </row>
    <row r="14" spans="1:31" s="200" customFormat="1" ht="15.75" customHeight="1">
      <c r="A14" s="649"/>
      <c r="B14" s="216"/>
      <c r="C14" s="217"/>
      <c r="D14" s="217"/>
      <c r="E14" s="217"/>
      <c r="F14" s="217"/>
      <c r="G14" s="217"/>
      <c r="H14" s="217"/>
      <c r="I14" s="217"/>
      <c r="J14" s="217"/>
      <c r="K14" s="217"/>
      <c r="L14" s="217"/>
      <c r="M14" s="217"/>
      <c r="N14" s="649"/>
      <c r="O14" s="649"/>
      <c r="P14" s="649"/>
      <c r="Q14" s="649"/>
      <c r="R14" s="649"/>
      <c r="S14" s="649"/>
      <c r="T14" s="649"/>
      <c r="U14" s="649"/>
      <c r="V14" s="649"/>
      <c r="W14" s="649"/>
      <c r="X14" s="649"/>
      <c r="Y14" s="649"/>
      <c r="Z14" s="649"/>
      <c r="AA14" s="649"/>
      <c r="AB14" s="649"/>
      <c r="AC14" s="649"/>
      <c r="AD14" s="649"/>
      <c r="AE14" s="649"/>
    </row>
    <row r="15" spans="1:31" s="200" customFormat="1" ht="15.75" customHeight="1">
      <c r="A15" s="646"/>
      <c r="B15" s="646"/>
      <c r="C15" s="30">
        <v>185.76625223812778</v>
      </c>
      <c r="D15" s="646">
        <v>176.02460772507345</v>
      </c>
      <c r="E15" s="646">
        <v>163.72538622817473</v>
      </c>
      <c r="F15" s="646">
        <v>158.28598386451509</v>
      </c>
      <c r="G15" s="646">
        <v>153.4899563609581</v>
      </c>
      <c r="H15" s="646">
        <v>148.48330969860194</v>
      </c>
      <c r="I15" s="646">
        <v>143.34764653928261</v>
      </c>
      <c r="J15" s="646">
        <v>138.273276207442</v>
      </c>
      <c r="K15" s="646">
        <v>133.37853375848823</v>
      </c>
      <c r="L15" s="646">
        <v>128.65706053623339</v>
      </c>
      <c r="M15" s="646">
        <v>124.10272297487008</v>
      </c>
      <c r="N15" s="646"/>
      <c r="O15" s="646"/>
      <c r="P15" s="649"/>
      <c r="Q15" s="649"/>
      <c r="R15" s="218"/>
      <c r="S15" s="219"/>
      <c r="T15" s="219"/>
      <c r="U15" s="219"/>
      <c r="V15" s="219"/>
      <c r="W15" s="219"/>
      <c r="X15" s="219"/>
      <c r="Y15" s="210"/>
      <c r="Z15" s="210"/>
      <c r="AA15" s="210"/>
      <c r="AB15" s="210"/>
      <c r="AC15" s="210"/>
      <c r="AD15" s="210"/>
      <c r="AE15" s="210"/>
    </row>
    <row r="16" spans="1:31" s="200" customFormat="1" ht="15.75" customHeight="1">
      <c r="A16" s="673" t="s">
        <v>1255</v>
      </c>
      <c r="B16" s="673"/>
      <c r="C16" s="673"/>
      <c r="D16" s="673"/>
      <c r="E16" s="673"/>
      <c r="F16" s="673"/>
      <c r="G16" s="673"/>
      <c r="H16" s="673"/>
      <c r="I16" s="673"/>
      <c r="J16" s="673"/>
      <c r="K16" s="673"/>
      <c r="L16" s="673"/>
      <c r="M16" s="649"/>
      <c r="N16" s="646"/>
      <c r="O16" s="646"/>
      <c r="P16" s="649"/>
      <c r="Q16" s="649"/>
      <c r="R16" s="210"/>
      <c r="S16" s="210"/>
      <c r="T16" s="210"/>
      <c r="U16" s="210"/>
      <c r="V16" s="210"/>
      <c r="W16" s="210"/>
      <c r="X16" s="210"/>
      <c r="Y16" s="210"/>
      <c r="Z16" s="210"/>
      <c r="AA16" s="210"/>
      <c r="AB16" s="210"/>
      <c r="AC16" s="210"/>
      <c r="AD16" s="210"/>
      <c r="AE16" s="210"/>
    </row>
    <row r="17" spans="1:42" s="200" customFormat="1" ht="15.75" customHeight="1">
      <c r="A17" s="220"/>
      <c r="B17" s="220"/>
      <c r="C17" s="202">
        <v>2005</v>
      </c>
      <c r="D17" s="202">
        <v>2010</v>
      </c>
      <c r="E17" s="202">
        <v>2015</v>
      </c>
      <c r="F17" s="202">
        <v>2020</v>
      </c>
      <c r="G17" s="202">
        <v>2025</v>
      </c>
      <c r="H17" s="202">
        <v>2030</v>
      </c>
      <c r="I17" s="202">
        <v>2035</v>
      </c>
      <c r="J17" s="202">
        <v>2040</v>
      </c>
      <c r="K17" s="202">
        <v>2045</v>
      </c>
      <c r="L17" s="202">
        <v>2050</v>
      </c>
      <c r="M17" s="202">
        <v>2055</v>
      </c>
      <c r="N17" s="221"/>
      <c r="O17" s="221"/>
      <c r="P17" s="649"/>
      <c r="Q17" s="649"/>
      <c r="R17" s="210"/>
      <c r="S17" s="210"/>
      <c r="T17" s="210"/>
      <c r="U17" s="210"/>
      <c r="V17" s="210"/>
      <c r="W17" s="210"/>
      <c r="X17" s="210"/>
      <c r="Y17" s="210"/>
      <c r="Z17" s="210"/>
      <c r="AA17" s="210"/>
      <c r="AB17" s="210"/>
      <c r="AC17" s="210"/>
      <c r="AD17" s="210"/>
      <c r="AE17" s="210"/>
      <c r="AF17" s="649"/>
      <c r="AG17" s="649"/>
      <c r="AH17" s="649"/>
      <c r="AI17" s="649"/>
      <c r="AJ17" s="649"/>
      <c r="AK17" s="649"/>
      <c r="AL17" s="649"/>
      <c r="AM17" s="649"/>
      <c r="AN17" s="649"/>
      <c r="AO17" s="649"/>
      <c r="AP17" s="649"/>
    </row>
    <row r="18" spans="1:42" s="200" customFormat="1" ht="15.75" customHeight="1">
      <c r="A18" s="203" t="s">
        <v>1236</v>
      </c>
      <c r="B18" s="203" t="s">
        <v>1237</v>
      </c>
      <c r="C18" s="515" t="e">
        <f>D18*C34/D34</f>
        <v>#REF!</v>
      </c>
      <c r="D18" s="515" t="e">
        <f>Resid!U53</f>
        <v>#REF!</v>
      </c>
      <c r="E18" s="515" t="e">
        <f>D18</f>
        <v>#REF!</v>
      </c>
      <c r="F18" s="222" t="e">
        <f t="shared" ref="F18:M18" si="8">E18*F34/E34</f>
        <v>#REF!</v>
      </c>
      <c r="G18" s="222" t="e">
        <f t="shared" si="8"/>
        <v>#REF!</v>
      </c>
      <c r="H18" s="222" t="e">
        <f t="shared" si="8"/>
        <v>#REF!</v>
      </c>
      <c r="I18" s="222" t="e">
        <f t="shared" si="8"/>
        <v>#REF!</v>
      </c>
      <c r="J18" s="222" t="e">
        <f t="shared" si="8"/>
        <v>#REF!</v>
      </c>
      <c r="K18" s="222" t="e">
        <f t="shared" si="8"/>
        <v>#REF!</v>
      </c>
      <c r="L18" s="222" t="e">
        <f t="shared" si="8"/>
        <v>#REF!</v>
      </c>
      <c r="M18" s="222" t="e">
        <f t="shared" si="8"/>
        <v>#REF!</v>
      </c>
      <c r="N18" s="221"/>
      <c r="O18" s="221"/>
      <c r="P18" s="649"/>
      <c r="Q18" s="649"/>
      <c r="R18" s="210"/>
      <c r="S18" s="210"/>
      <c r="T18" s="210"/>
      <c r="U18" s="210"/>
      <c r="V18" s="210"/>
      <c r="W18" s="210"/>
      <c r="X18" s="210"/>
      <c r="Y18" s="210"/>
      <c r="Z18" s="210"/>
      <c r="AA18" s="210"/>
      <c r="AB18" s="210"/>
      <c r="AC18" s="210"/>
      <c r="AD18" s="210"/>
      <c r="AE18" s="210"/>
      <c r="AF18" s="649"/>
      <c r="AG18" s="649"/>
      <c r="AH18" s="649"/>
      <c r="AI18" s="649"/>
      <c r="AJ18" s="649"/>
      <c r="AK18" s="649"/>
      <c r="AL18" s="649"/>
      <c r="AM18" s="649"/>
      <c r="AN18" s="649"/>
      <c r="AO18" s="649"/>
      <c r="AP18" s="649"/>
    </row>
    <row r="19" spans="1:42" s="200" customFormat="1" ht="15.75" customHeight="1">
      <c r="A19" s="203" t="s">
        <v>1241</v>
      </c>
      <c r="B19" s="203" t="s">
        <v>1242</v>
      </c>
      <c r="C19" s="515" t="e">
        <f>D19*C26/D26</f>
        <v>#REF!</v>
      </c>
      <c r="D19" s="515" t="e">
        <f>Resid!U3</f>
        <v>#REF!</v>
      </c>
      <c r="E19" s="515" t="e">
        <f t="shared" ref="E19:E22" si="9">D19</f>
        <v>#REF!</v>
      </c>
      <c r="F19" s="222" t="e">
        <f>E19*F26/E26</f>
        <v>#REF!</v>
      </c>
      <c r="G19" s="222" t="e">
        <f t="shared" ref="G19:M19" si="10">F19*G26/F26</f>
        <v>#REF!</v>
      </c>
      <c r="H19" s="222" t="e">
        <f t="shared" si="10"/>
        <v>#REF!</v>
      </c>
      <c r="I19" s="222" t="e">
        <f t="shared" si="10"/>
        <v>#REF!</v>
      </c>
      <c r="J19" s="222" t="e">
        <f t="shared" si="10"/>
        <v>#REF!</v>
      </c>
      <c r="K19" s="222" t="e">
        <f t="shared" si="10"/>
        <v>#REF!</v>
      </c>
      <c r="L19" s="222" t="e">
        <f t="shared" si="10"/>
        <v>#REF!</v>
      </c>
      <c r="M19" s="222" t="e">
        <f t="shared" si="10"/>
        <v>#REF!</v>
      </c>
      <c r="N19" s="221"/>
      <c r="O19" s="221"/>
      <c r="P19" s="30"/>
      <c r="Q19" s="223"/>
      <c r="R19" s="223"/>
      <c r="S19" s="223"/>
      <c r="T19" s="223"/>
      <c r="U19" s="223"/>
      <c r="V19" s="223"/>
      <c r="W19" s="223"/>
      <c r="X19" s="223"/>
      <c r="Y19" s="223"/>
      <c r="Z19" s="223"/>
      <c r="AA19" s="223"/>
      <c r="AB19" s="224"/>
      <c r="AC19" s="649"/>
      <c r="AD19" s="30"/>
      <c r="AE19" s="223"/>
      <c r="AF19" s="223"/>
      <c r="AG19" s="223"/>
      <c r="AH19" s="223"/>
      <c r="AI19" s="223"/>
      <c r="AJ19" s="223"/>
      <c r="AK19" s="223"/>
      <c r="AL19" s="223"/>
      <c r="AM19" s="223"/>
      <c r="AN19" s="223"/>
      <c r="AO19" s="223"/>
      <c r="AP19" s="224"/>
    </row>
    <row r="20" spans="1:42" s="200" customFormat="1" ht="15.75" customHeight="1">
      <c r="A20" s="203" t="s">
        <v>1256</v>
      </c>
      <c r="B20" s="203" t="s">
        <v>1254</v>
      </c>
      <c r="C20" s="515" t="e">
        <f>D20*C41/D41</f>
        <v>#REF!</v>
      </c>
      <c r="D20" s="515" t="e">
        <f>Resid!U92</f>
        <v>#REF!</v>
      </c>
      <c r="E20" s="515" t="e">
        <f t="shared" si="9"/>
        <v>#REF!</v>
      </c>
      <c r="F20" s="222" t="e">
        <f t="shared" ref="F20:M20" si="11">E20*F42/E42</f>
        <v>#REF!</v>
      </c>
      <c r="G20" s="222" t="e">
        <f t="shared" si="11"/>
        <v>#REF!</v>
      </c>
      <c r="H20" s="222" t="e">
        <f t="shared" si="11"/>
        <v>#REF!</v>
      </c>
      <c r="I20" s="222" t="e">
        <f t="shared" si="11"/>
        <v>#REF!</v>
      </c>
      <c r="J20" s="222" t="e">
        <f t="shared" si="11"/>
        <v>#REF!</v>
      </c>
      <c r="K20" s="222" t="e">
        <f t="shared" si="11"/>
        <v>#REF!</v>
      </c>
      <c r="L20" s="222" t="e">
        <f t="shared" si="11"/>
        <v>#REF!</v>
      </c>
      <c r="M20" s="222" t="e">
        <f t="shared" si="11"/>
        <v>#REF!</v>
      </c>
      <c r="N20" s="221"/>
      <c r="O20" s="221"/>
      <c r="P20" s="30"/>
      <c r="Q20" s="223"/>
      <c r="R20" s="223"/>
      <c r="S20" s="223"/>
      <c r="T20" s="223"/>
      <c r="U20" s="223"/>
      <c r="V20" s="223"/>
      <c r="W20" s="223"/>
      <c r="X20" s="223"/>
      <c r="Y20" s="223"/>
      <c r="Z20" s="223"/>
      <c r="AA20" s="223"/>
      <c r="AB20" s="224"/>
      <c r="AC20" s="649"/>
      <c r="AD20" s="30"/>
      <c r="AE20" s="223"/>
      <c r="AF20" s="223"/>
      <c r="AG20" s="223"/>
      <c r="AH20" s="223"/>
      <c r="AI20" s="223"/>
      <c r="AJ20" s="223"/>
      <c r="AK20" s="223"/>
      <c r="AL20" s="223"/>
      <c r="AM20" s="223"/>
      <c r="AN20" s="223"/>
      <c r="AO20" s="223"/>
      <c r="AP20" s="224"/>
    </row>
    <row r="21" spans="1:42" s="200" customFormat="1" ht="15.75" customHeight="1">
      <c r="A21" s="203" t="s">
        <v>1243</v>
      </c>
      <c r="B21" s="203" t="s">
        <v>1244</v>
      </c>
      <c r="C21" s="515" t="e">
        <f>D21</f>
        <v>#REF!</v>
      </c>
      <c r="D21" s="515" t="e">
        <f>I73</f>
        <v>#REF!</v>
      </c>
      <c r="E21" s="515" t="e">
        <f t="shared" si="9"/>
        <v>#REF!</v>
      </c>
      <c r="F21" s="222" t="e">
        <f>$L$73*ResCalc!G62*ResCalc!G75/10^12</f>
        <v>#REF!</v>
      </c>
      <c r="G21" s="222" t="e">
        <f>$L$73*ResCalc!H62*ResCalc!H75/10^12</f>
        <v>#REF!</v>
      </c>
      <c r="H21" s="222" t="e">
        <f>$L$73*ResCalc!I62*ResCalc!I75/10^12</f>
        <v>#REF!</v>
      </c>
      <c r="I21" s="222" t="e">
        <f>$L$73*ResCalc!J62*ResCalc!J75/10^12</f>
        <v>#REF!</v>
      </c>
      <c r="J21" s="222" t="e">
        <f>$L$73*ResCalc!K62*ResCalc!K75/10^12</f>
        <v>#REF!</v>
      </c>
      <c r="K21" s="222" t="e">
        <f>$L$73*ResCalc!L62*ResCalc!L75/10^12</f>
        <v>#REF!</v>
      </c>
      <c r="L21" s="222" t="e">
        <f>$L$73*ResCalc!M62*ResCalc!M75/10^12</f>
        <v>#REF!</v>
      </c>
      <c r="M21" s="222" t="e">
        <f>$L$73*ResCalc!N62*ResCalc!N75/10^12</f>
        <v>#REF!</v>
      </c>
      <c r="N21" s="221"/>
      <c r="O21" s="221"/>
      <c r="P21" s="30"/>
      <c r="Q21" s="223"/>
      <c r="R21" s="223"/>
      <c r="S21" s="223"/>
      <c r="T21" s="223"/>
      <c r="U21" s="223"/>
      <c r="V21" s="223"/>
      <c r="W21" s="223"/>
      <c r="X21" s="223"/>
      <c r="Y21" s="223"/>
      <c r="Z21" s="223"/>
      <c r="AA21" s="223"/>
      <c r="AB21" s="224"/>
      <c r="AC21" s="649"/>
      <c r="AD21" s="30"/>
      <c r="AE21" s="223"/>
      <c r="AF21" s="223"/>
      <c r="AG21" s="223"/>
      <c r="AH21" s="223"/>
      <c r="AI21" s="223"/>
      <c r="AJ21" s="223"/>
      <c r="AK21" s="223"/>
      <c r="AL21" s="223"/>
      <c r="AM21" s="223"/>
      <c r="AN21" s="223"/>
      <c r="AO21" s="223"/>
      <c r="AP21" s="224"/>
    </row>
    <row r="22" spans="1:42" s="200" customFormat="1" ht="15.75" customHeight="1">
      <c r="A22" s="203" t="s">
        <v>1245</v>
      </c>
      <c r="B22" s="203" t="s">
        <v>1246</v>
      </c>
      <c r="C22" s="515" t="e">
        <f>D22*C30/D30</f>
        <v>#REF!</v>
      </c>
      <c r="D22" s="515" t="e">
        <f>'2010 Fuel Share'!G72</f>
        <v>#REF!</v>
      </c>
      <c r="E22" s="515" t="e">
        <f t="shared" si="9"/>
        <v>#REF!</v>
      </c>
      <c r="F22" s="222" t="e">
        <f t="shared" ref="F22:M22" si="12">E22*F30/E30</f>
        <v>#REF!</v>
      </c>
      <c r="G22" s="222" t="e">
        <f t="shared" si="12"/>
        <v>#REF!</v>
      </c>
      <c r="H22" s="222" t="e">
        <f t="shared" si="12"/>
        <v>#REF!</v>
      </c>
      <c r="I22" s="222" t="e">
        <f t="shared" si="12"/>
        <v>#REF!</v>
      </c>
      <c r="J22" s="222" t="e">
        <f t="shared" si="12"/>
        <v>#REF!</v>
      </c>
      <c r="K22" s="222" t="e">
        <f t="shared" si="12"/>
        <v>#REF!</v>
      </c>
      <c r="L22" s="222" t="e">
        <f t="shared" si="12"/>
        <v>#REF!</v>
      </c>
      <c r="M22" s="222" t="e">
        <f t="shared" si="12"/>
        <v>#REF!</v>
      </c>
      <c r="N22" s="221" t="e">
        <f>D22*E30/D30</f>
        <v>#REF!</v>
      </c>
      <c r="O22" s="221"/>
      <c r="P22" s="30"/>
      <c r="Q22" s="223"/>
      <c r="R22" s="223"/>
      <c r="S22" s="223"/>
      <c r="T22" s="223"/>
      <c r="U22" s="223"/>
      <c r="V22" s="223"/>
      <c r="W22" s="223"/>
      <c r="X22" s="223"/>
      <c r="Y22" s="223"/>
      <c r="Z22" s="223"/>
      <c r="AA22" s="223"/>
      <c r="AB22" s="224"/>
      <c r="AC22" s="649"/>
      <c r="AD22" s="30"/>
      <c r="AE22" s="223"/>
      <c r="AF22" s="223"/>
      <c r="AG22" s="223"/>
      <c r="AH22" s="223"/>
      <c r="AI22" s="223"/>
      <c r="AJ22" s="223"/>
      <c r="AK22" s="223"/>
      <c r="AL22" s="223"/>
      <c r="AM22" s="223"/>
      <c r="AN22" s="223"/>
      <c r="AO22" s="223"/>
      <c r="AP22" s="224"/>
    </row>
    <row r="23" spans="1:42" s="200" customFormat="1" ht="15.75" customHeight="1">
      <c r="A23" s="203" t="s">
        <v>1247</v>
      </c>
      <c r="B23" s="203" t="s">
        <v>1248</v>
      </c>
      <c r="C23" s="515">
        <v>0</v>
      </c>
      <c r="D23" s="515" t="e">
        <f>'2010 Fuel Share'!I73</f>
        <v>#REF!</v>
      </c>
      <c r="E23" s="515">
        <v>0</v>
      </c>
      <c r="F23" s="222">
        <v>0</v>
      </c>
      <c r="G23" s="222">
        <v>0</v>
      </c>
      <c r="H23" s="222">
        <v>0</v>
      </c>
      <c r="I23" s="222">
        <v>0</v>
      </c>
      <c r="J23" s="222">
        <v>0</v>
      </c>
      <c r="K23" s="222">
        <v>0</v>
      </c>
      <c r="L23" s="222">
        <v>0</v>
      </c>
      <c r="M23" s="222">
        <v>0</v>
      </c>
      <c r="N23" s="221"/>
      <c r="O23" s="221"/>
      <c r="P23" s="30"/>
      <c r="Q23" s="223"/>
      <c r="R23" s="223"/>
      <c r="S23" s="223"/>
      <c r="T23" s="223"/>
      <c r="U23" s="223"/>
      <c r="V23" s="223"/>
      <c r="W23" s="223"/>
      <c r="X23" s="223"/>
      <c r="Y23" s="223"/>
      <c r="Z23" s="223"/>
      <c r="AA23" s="223"/>
      <c r="AB23" s="224"/>
      <c r="AC23" s="649"/>
      <c r="AD23" s="30"/>
      <c r="AE23" s="223"/>
      <c r="AF23" s="223"/>
      <c r="AG23" s="223"/>
      <c r="AH23" s="223"/>
      <c r="AI23" s="223"/>
      <c r="AJ23" s="223"/>
      <c r="AK23" s="223"/>
      <c r="AL23" s="223"/>
      <c r="AM23" s="223"/>
      <c r="AN23" s="223"/>
      <c r="AO23" s="223"/>
      <c r="AP23" s="224"/>
    </row>
    <row r="24" spans="1:42" s="200" customFormat="1" ht="22.5" customHeight="1">
      <c r="A24" s="673" t="s">
        <v>1257</v>
      </c>
      <c r="B24" s="673"/>
      <c r="C24" s="673"/>
      <c r="D24" s="673"/>
      <c r="E24" s="673"/>
      <c r="F24" s="673"/>
      <c r="G24" s="673"/>
      <c r="H24" s="673"/>
      <c r="I24" s="673"/>
      <c r="J24" s="673"/>
      <c r="K24" s="673"/>
      <c r="L24" s="673"/>
      <c r="M24" s="649"/>
      <c r="N24" s="649"/>
      <c r="O24" s="649"/>
      <c r="P24" s="649"/>
      <c r="Q24" s="649"/>
      <c r="R24" s="649"/>
      <c r="S24" s="649"/>
      <c r="T24" s="649"/>
      <c r="U24" s="649"/>
      <c r="V24" s="649"/>
      <c r="W24" s="649"/>
      <c r="X24" s="649"/>
      <c r="Y24" s="649"/>
      <c r="Z24" s="649"/>
      <c r="AA24" s="649"/>
      <c r="AB24" s="649"/>
      <c r="AC24" s="649"/>
      <c r="AD24" s="649"/>
      <c r="AE24" s="649"/>
      <c r="AF24" s="649"/>
      <c r="AG24" s="649"/>
      <c r="AH24" s="649"/>
      <c r="AI24" s="649"/>
      <c r="AJ24" s="649"/>
      <c r="AK24" s="649"/>
      <c r="AL24" s="649"/>
      <c r="AM24" s="649"/>
      <c r="AN24" s="649"/>
      <c r="AO24" s="649"/>
      <c r="AP24" s="649"/>
    </row>
    <row r="25" spans="1:42" s="200" customFormat="1" ht="15.75" customHeight="1">
      <c r="A25" s="220" t="s">
        <v>596</v>
      </c>
      <c r="B25" s="220" t="s">
        <v>1235</v>
      </c>
      <c r="C25" s="202">
        <v>2005</v>
      </c>
      <c r="D25" s="202">
        <v>2010</v>
      </c>
      <c r="E25" s="202">
        <v>2015</v>
      </c>
      <c r="F25" s="202">
        <v>2020</v>
      </c>
      <c r="G25" s="202">
        <v>2025</v>
      </c>
      <c r="H25" s="202">
        <v>2030</v>
      </c>
      <c r="I25" s="202">
        <v>2035</v>
      </c>
      <c r="J25" s="202">
        <v>2040</v>
      </c>
      <c r="K25" s="202">
        <v>2045</v>
      </c>
      <c r="L25" s="202">
        <v>2050</v>
      </c>
      <c r="M25" s="202">
        <v>2055</v>
      </c>
      <c r="N25" s="649"/>
      <c r="O25" s="649"/>
      <c r="P25" s="649"/>
      <c r="Q25" s="649"/>
      <c r="R25" s="649"/>
      <c r="S25" s="649"/>
      <c r="T25" s="649"/>
      <c r="U25" s="649"/>
      <c r="V25" s="649"/>
      <c r="W25" s="649"/>
      <c r="X25" s="649"/>
      <c r="Y25" s="649"/>
      <c r="Z25" s="649"/>
      <c r="AA25" s="649"/>
      <c r="AB25" s="649"/>
      <c r="AC25" s="649"/>
      <c r="AD25" s="649"/>
      <c r="AE25" s="649"/>
      <c r="AF25" s="649"/>
      <c r="AG25" s="649"/>
      <c r="AH25" s="649"/>
      <c r="AI25" s="649"/>
      <c r="AJ25" s="649"/>
      <c r="AK25" s="649"/>
      <c r="AL25" s="649"/>
      <c r="AM25" s="649"/>
      <c r="AN25" s="649"/>
      <c r="AO25" s="649"/>
      <c r="AP25" s="649"/>
    </row>
    <row r="26" spans="1:42" s="200" customFormat="1" ht="13">
      <c r="A26" s="203" t="s">
        <v>1241</v>
      </c>
      <c r="B26" s="203" t="s">
        <v>1242</v>
      </c>
      <c r="C26" s="477">
        <v>5.1129582435161192</v>
      </c>
      <c r="D26" s="477">
        <v>4.8448330000000004</v>
      </c>
      <c r="E26" s="477">
        <f>D26</f>
        <v>4.8448330000000004</v>
      </c>
      <c r="F26" s="477">
        <v>4.3566019999999996</v>
      </c>
      <c r="G26" s="477">
        <v>4.2245980000000003</v>
      </c>
      <c r="H26" s="477">
        <v>4.0867969999999998</v>
      </c>
      <c r="I26" s="477">
        <v>3.9454449999999999</v>
      </c>
      <c r="J26" s="477">
        <v>3.8057799999999999</v>
      </c>
      <c r="K26" s="477">
        <v>3.67105900814737</v>
      </c>
      <c r="L26" s="477">
        <v>3.5411070112565497</v>
      </c>
      <c r="M26" s="477">
        <v>3.4157551914422712</v>
      </c>
      <c r="N26" s="649"/>
      <c r="O26" s="649"/>
      <c r="P26" s="649"/>
      <c r="Q26" s="649"/>
      <c r="R26" s="649"/>
      <c r="S26" s="649"/>
      <c r="T26" s="649"/>
      <c r="U26" s="649"/>
      <c r="V26" s="649"/>
      <c r="W26" s="649"/>
      <c r="X26" s="649"/>
      <c r="Y26" s="649"/>
      <c r="Z26" s="649"/>
      <c r="AA26" s="649"/>
      <c r="AB26" s="649"/>
      <c r="AC26" s="649"/>
      <c r="AD26" s="649"/>
      <c r="AE26" s="649"/>
      <c r="AF26" s="649"/>
      <c r="AG26" s="649"/>
      <c r="AH26" s="649"/>
      <c r="AI26" s="649"/>
      <c r="AJ26" s="649"/>
      <c r="AK26" s="649"/>
      <c r="AL26" s="649"/>
      <c r="AM26" s="649"/>
      <c r="AN26" s="649"/>
      <c r="AO26" s="649"/>
      <c r="AP26" s="649"/>
    </row>
    <row r="27" spans="1:42" s="200" customFormat="1" ht="15.75" customHeight="1">
      <c r="A27" s="203" t="s">
        <v>1253</v>
      </c>
      <c r="B27" s="203" t="s">
        <v>1254</v>
      </c>
      <c r="C27" s="477">
        <v>1.6372220516204801</v>
      </c>
      <c r="D27" s="477">
        <v>1.7677210000000001</v>
      </c>
      <c r="E27" s="477">
        <v>1.771803</v>
      </c>
      <c r="F27" s="477">
        <v>1.7663850000000001</v>
      </c>
      <c r="G27" s="477">
        <v>1.7802089999999999</v>
      </c>
      <c r="H27" s="477">
        <v>1.777379</v>
      </c>
      <c r="I27" s="477">
        <v>1.74109</v>
      </c>
      <c r="J27" s="477">
        <v>1.70512</v>
      </c>
      <c r="K27" s="477">
        <v>1.6698931212056813</v>
      </c>
      <c r="L27" s="477">
        <v>1.6353940111253473</v>
      </c>
      <c r="M27" s="477">
        <v>1.6016076344416728</v>
      </c>
      <c r="N27" s="649"/>
      <c r="O27" s="649"/>
      <c r="P27" s="649"/>
      <c r="Q27" s="649"/>
      <c r="R27" s="649"/>
      <c r="S27" s="649"/>
      <c r="T27" s="649"/>
      <c r="U27" s="649"/>
      <c r="V27" s="649"/>
      <c r="W27" s="649"/>
      <c r="X27" s="649"/>
      <c r="Y27" s="649"/>
      <c r="Z27" s="649"/>
      <c r="AA27" s="649"/>
      <c r="AB27" s="649"/>
      <c r="AC27" s="649"/>
      <c r="AD27" s="649"/>
      <c r="AE27" s="649"/>
      <c r="AF27" s="649"/>
      <c r="AG27" s="649"/>
      <c r="AH27" s="649"/>
      <c r="AI27" s="649"/>
      <c r="AJ27" s="649"/>
      <c r="AK27" s="649"/>
      <c r="AL27" s="649"/>
      <c r="AM27" s="649"/>
      <c r="AN27" s="649"/>
      <c r="AO27" s="649"/>
      <c r="AP27" s="649"/>
    </row>
    <row r="28" spans="1:42" s="200" customFormat="1" ht="15.75" customHeight="1">
      <c r="A28" s="203" t="s">
        <v>1251</v>
      </c>
      <c r="B28" s="203" t="s">
        <v>1252</v>
      </c>
      <c r="C28" s="477">
        <v>0.39436101913452098</v>
      </c>
      <c r="D28" s="477">
        <v>0.37790699999999999</v>
      </c>
      <c r="E28" s="477">
        <v>0.37693700000000002</v>
      </c>
      <c r="F28" s="477">
        <v>0.37551299999999999</v>
      </c>
      <c r="G28" s="477">
        <v>0.37684800000000002</v>
      </c>
      <c r="H28" s="477">
        <v>0.38406200000000001</v>
      </c>
      <c r="I28" s="477">
        <v>0.39679799999999998</v>
      </c>
      <c r="J28" s="477">
        <v>0.41375600000000001</v>
      </c>
      <c r="K28" s="477">
        <v>0.43143873592104798</v>
      </c>
      <c r="L28" s="477">
        <v>0.44987718088233591</v>
      </c>
      <c r="M28" s="477">
        <v>0.46910363170467539</v>
      </c>
      <c r="N28" s="649"/>
      <c r="O28" s="649"/>
      <c r="P28" s="649"/>
      <c r="Q28" s="649"/>
      <c r="R28" s="649"/>
      <c r="S28" s="649"/>
      <c r="T28" s="649"/>
      <c r="U28" s="649"/>
      <c r="V28" s="649"/>
      <c r="W28" s="649"/>
      <c r="X28" s="649"/>
      <c r="Y28" s="649"/>
      <c r="Z28" s="649"/>
      <c r="AA28" s="649"/>
      <c r="AB28" s="649"/>
      <c r="AC28" s="649"/>
      <c r="AD28" s="649"/>
      <c r="AE28" s="649"/>
      <c r="AF28" s="649"/>
      <c r="AG28" s="649"/>
      <c r="AH28" s="649"/>
      <c r="AI28" s="649"/>
      <c r="AJ28" s="649"/>
      <c r="AK28" s="649"/>
      <c r="AL28" s="649"/>
      <c r="AM28" s="649"/>
      <c r="AN28" s="649"/>
      <c r="AO28" s="649"/>
      <c r="AP28" s="649"/>
    </row>
    <row r="29" spans="1:42" s="200" customFormat="1" ht="15.75" customHeight="1">
      <c r="A29" s="203" t="s">
        <v>1243</v>
      </c>
      <c r="B29" s="203" t="s">
        <v>1244</v>
      </c>
      <c r="C29" s="477">
        <f t="shared" ref="C29:I29" si="13">C176</f>
        <v>0.72674226760864302</v>
      </c>
      <c r="D29" s="477">
        <f t="shared" si="13"/>
        <v>0.63835299999999995</v>
      </c>
      <c r="E29" s="477">
        <f t="shared" si="13"/>
        <v>0.498996</v>
      </c>
      <c r="F29" s="477">
        <f t="shared" si="13"/>
        <v>0.43620599999999998</v>
      </c>
      <c r="G29" s="477">
        <f t="shared" si="13"/>
        <v>0.39062000000000002</v>
      </c>
      <c r="H29" s="477">
        <f t="shared" si="13"/>
        <v>0.34983500000000001</v>
      </c>
      <c r="I29" s="477">
        <f t="shared" si="13"/>
        <v>0.29919800000000002</v>
      </c>
      <c r="J29" s="477">
        <f t="shared" ref="J29:M35" si="14">I29*(1+(I29-H29)/H29)</f>
        <v>0.25589047180527968</v>
      </c>
      <c r="K29" s="477">
        <f t="shared" si="14"/>
        <v>0.21885150823444219</v>
      </c>
      <c r="L29" s="477">
        <f t="shared" si="14"/>
        <v>0.18717376351916945</v>
      </c>
      <c r="M29" s="477">
        <f t="shared" si="14"/>
        <v>0.1600812259991381</v>
      </c>
      <c r="N29" s="649"/>
      <c r="O29" s="227"/>
      <c r="P29" s="227"/>
      <c r="Q29" s="227"/>
      <c r="R29" s="227"/>
      <c r="S29" s="227"/>
      <c r="T29" s="649"/>
      <c r="U29" s="649"/>
      <c r="V29" s="649"/>
      <c r="W29" s="649"/>
      <c r="X29" s="649"/>
      <c r="Y29" s="649"/>
      <c r="Z29" s="649"/>
      <c r="AA29" s="649"/>
      <c r="AB29" s="649"/>
      <c r="AC29" s="649"/>
      <c r="AD29" s="649"/>
      <c r="AE29" s="649"/>
      <c r="AF29" s="649"/>
      <c r="AG29" s="649"/>
      <c r="AH29" s="649"/>
      <c r="AI29" s="649"/>
      <c r="AJ29" s="649"/>
      <c r="AK29" s="649"/>
      <c r="AL29" s="649"/>
      <c r="AM29" s="649"/>
      <c r="AN29" s="649"/>
      <c r="AO29" s="649"/>
      <c r="AP29" s="649"/>
    </row>
    <row r="30" spans="1:42" s="200" customFormat="1" ht="15.75" customHeight="1">
      <c r="A30" s="203" t="s">
        <v>1245</v>
      </c>
      <c r="B30" s="203" t="s">
        <v>1246</v>
      </c>
      <c r="C30" s="477">
        <f>C132+C131+C140+C135+C136+C137+C138+C139+C130+C133</f>
        <v>2.3968616500496851</v>
      </c>
      <c r="D30" s="477">
        <f t="shared" ref="D30:I30" si="15">D132+D131+D140+D135+D136+D137+D138+D139+D130+D133</f>
        <v>2.5777130000000001</v>
      </c>
      <c r="E30" s="477">
        <f>E132+E131+E140+E135+E136+E137+E138+E139+E130+E133</f>
        <v>2.6313625531167935</v>
      </c>
      <c r="F30" s="477">
        <f t="shared" si="15"/>
        <v>2.5588392867499103</v>
      </c>
      <c r="G30" s="477">
        <f t="shared" si="15"/>
        <v>2.5088431580745181</v>
      </c>
      <c r="H30" s="477">
        <f t="shared" si="15"/>
        <v>2.4101353935867018</v>
      </c>
      <c r="I30" s="477">
        <f t="shared" si="15"/>
        <v>2.3660237857476423</v>
      </c>
      <c r="J30" s="477">
        <f t="shared" si="14"/>
        <v>2.3227195325291259</v>
      </c>
      <c r="K30" s="477">
        <f t="shared" si="14"/>
        <v>2.2802078572881048</v>
      </c>
      <c r="L30" s="477">
        <f t="shared" si="14"/>
        <v>2.2384742538316829</v>
      </c>
      <c r="M30" s="477">
        <f t="shared" si="14"/>
        <v>2.19750448146719</v>
      </c>
      <c r="N30" s="649"/>
      <c r="O30" s="227"/>
      <c r="P30" s="227"/>
      <c r="Q30" s="228"/>
      <c r="R30" s="228"/>
      <c r="S30" s="227"/>
      <c r="T30" s="649"/>
      <c r="U30" s="649"/>
      <c r="V30" s="649"/>
      <c r="W30" s="649"/>
      <c r="X30" s="649"/>
      <c r="Y30" s="649"/>
      <c r="Z30" s="649"/>
      <c r="AA30" s="649"/>
      <c r="AB30" s="649"/>
      <c r="AC30" s="649"/>
      <c r="AD30" s="649"/>
      <c r="AE30" s="649"/>
      <c r="AF30" s="649"/>
      <c r="AG30" s="649"/>
      <c r="AH30" s="649"/>
      <c r="AI30" s="649"/>
      <c r="AJ30" s="649"/>
      <c r="AK30" s="649"/>
      <c r="AL30" s="649"/>
      <c r="AM30" s="649"/>
      <c r="AN30" s="649"/>
      <c r="AO30" s="649"/>
      <c r="AP30" s="649"/>
    </row>
    <row r="31" spans="1:42" s="200" customFormat="1" ht="15.75" customHeight="1">
      <c r="A31" s="203" t="s">
        <v>1239</v>
      </c>
      <c r="B31" s="203" t="s">
        <v>1240</v>
      </c>
      <c r="C31" s="477">
        <f t="shared" ref="C31:I31" si="16">C175</f>
        <v>8.3529256284236894E-2</v>
      </c>
      <c r="D31" s="477">
        <f t="shared" si="16"/>
        <v>7.9626000000000002E-2</v>
      </c>
      <c r="E31" s="477">
        <f t="shared" si="16"/>
        <v>8.0264000000000002E-2</v>
      </c>
      <c r="F31" s="477">
        <f t="shared" si="16"/>
        <v>7.9727999999999993E-2</v>
      </c>
      <c r="G31" s="477">
        <f t="shared" si="16"/>
        <v>7.8634999999999997E-2</v>
      </c>
      <c r="H31" s="477">
        <f t="shared" si="16"/>
        <v>7.7917E-2</v>
      </c>
      <c r="I31" s="477">
        <f t="shared" si="16"/>
        <v>7.7727000000000004E-2</v>
      </c>
      <c r="J31" s="477">
        <f t="shared" si="14"/>
        <v>7.7537463313525942E-2</v>
      </c>
      <c r="K31" s="477">
        <f t="shared" si="14"/>
        <v>7.7348388810791369E-2</v>
      </c>
      <c r="L31" s="477">
        <f t="shared" si="14"/>
        <v>7.7159775364764829E-2</v>
      </c>
      <c r="M31" s="477">
        <f t="shared" si="14"/>
        <v>7.6971621851163116E-2</v>
      </c>
      <c r="N31" s="649"/>
      <c r="O31" s="649"/>
      <c r="P31" s="649"/>
      <c r="Q31" s="649"/>
      <c r="R31" s="649"/>
      <c r="S31" s="649"/>
      <c r="T31" s="649"/>
      <c r="U31" s="649"/>
      <c r="V31" s="649"/>
      <c r="W31" s="649"/>
      <c r="X31" s="649"/>
      <c r="Y31" s="649"/>
      <c r="Z31" s="649"/>
      <c r="AA31" s="649"/>
      <c r="AB31" s="649"/>
      <c r="AC31" s="649"/>
      <c r="AD31" s="649"/>
      <c r="AE31" s="649"/>
      <c r="AF31" s="649"/>
      <c r="AG31" s="649"/>
      <c r="AH31" s="649"/>
      <c r="AI31" s="649"/>
      <c r="AJ31" s="649"/>
      <c r="AK31" s="649"/>
      <c r="AL31" s="649"/>
      <c r="AM31" s="649"/>
      <c r="AN31" s="649"/>
      <c r="AO31" s="649"/>
      <c r="AP31" s="649"/>
    </row>
    <row r="32" spans="1:42" s="200" customFormat="1" ht="15.75" customHeight="1">
      <c r="A32" s="203" t="s">
        <v>1258</v>
      </c>
      <c r="B32" s="203" t="s">
        <v>1259</v>
      </c>
      <c r="C32" s="477">
        <f t="shared" ref="C32:D32" si="17">C147+C148</f>
        <v>0.28846947103738763</v>
      </c>
      <c r="D32" s="477">
        <f t="shared" si="17"/>
        <v>0.25928899999999999</v>
      </c>
      <c r="E32" s="477" t="e">
        <f>C32*'2014 GHG Inventory'!L9/('2010 Fuel Share'!K25*('2010 Fuel Share'!B25+'2010 Fuel Share'!C25))</f>
        <v>#REF!</v>
      </c>
      <c r="F32" s="477" t="e">
        <f>E32*F150/E150</f>
        <v>#REF!</v>
      </c>
      <c r="G32" s="477" t="e">
        <f t="shared" ref="G32:J32" si="18">F32*G150/F150</f>
        <v>#REF!</v>
      </c>
      <c r="H32" s="477" t="e">
        <f t="shared" si="18"/>
        <v>#REF!</v>
      </c>
      <c r="I32" s="477" t="e">
        <f t="shared" si="18"/>
        <v>#REF!</v>
      </c>
      <c r="J32" s="477" t="e">
        <f t="shared" si="18"/>
        <v>#REF!</v>
      </c>
      <c r="K32" s="477" t="e">
        <f>J32</f>
        <v>#REF!</v>
      </c>
      <c r="L32" s="477" t="e">
        <f t="shared" ref="L32:M32" si="19">K32</f>
        <v>#REF!</v>
      </c>
      <c r="M32" s="477" t="e">
        <f t="shared" si="19"/>
        <v>#REF!</v>
      </c>
      <c r="N32" s="649"/>
      <c r="O32" s="649"/>
      <c r="P32" s="649"/>
      <c r="Q32" s="649"/>
      <c r="R32" s="649"/>
      <c r="S32" s="649"/>
      <c r="T32" s="649"/>
      <c r="U32" s="649"/>
      <c r="V32" s="649"/>
      <c r="W32" s="649"/>
      <c r="X32" s="649"/>
      <c r="Y32" s="649"/>
      <c r="Z32" s="649"/>
      <c r="AA32" s="649"/>
      <c r="AB32" s="649"/>
      <c r="AC32" s="649"/>
      <c r="AD32" s="649"/>
      <c r="AE32" s="649"/>
      <c r="AF32" s="649"/>
      <c r="AG32" s="649"/>
      <c r="AH32" s="649"/>
      <c r="AI32" s="649"/>
      <c r="AJ32" s="649"/>
      <c r="AK32" s="649"/>
      <c r="AL32" s="649"/>
      <c r="AM32" s="649"/>
      <c r="AN32" s="649"/>
      <c r="AO32" s="649"/>
      <c r="AP32" s="649"/>
    </row>
    <row r="33" spans="1:26" s="200" customFormat="1" ht="15.75" customHeight="1">
      <c r="A33" s="203" t="s">
        <v>1249</v>
      </c>
      <c r="B33" s="203" t="s">
        <v>1250</v>
      </c>
      <c r="C33" s="477">
        <f t="shared" ref="C33:I33" si="20">C162</f>
        <v>0.04</v>
      </c>
      <c r="D33" s="477">
        <f t="shared" si="20"/>
        <v>3.9688000000000001E-2</v>
      </c>
      <c r="E33" s="477">
        <f t="shared" si="20"/>
        <v>4.2804000000000002E-2</v>
      </c>
      <c r="F33" s="477">
        <f t="shared" si="20"/>
        <v>4.6605000000000001E-2</v>
      </c>
      <c r="G33" s="477">
        <f t="shared" si="20"/>
        <v>5.0316E-2</v>
      </c>
      <c r="H33" s="477">
        <f t="shared" si="20"/>
        <v>5.4139E-2</v>
      </c>
      <c r="I33" s="477">
        <f t="shared" si="20"/>
        <v>5.7860000000000002E-2</v>
      </c>
      <c r="J33" s="477">
        <f t="shared" si="14"/>
        <v>6.1836746153419907E-2</v>
      </c>
      <c r="K33" s="477">
        <f t="shared" si="14"/>
        <v>6.6086816018708805E-2</v>
      </c>
      <c r="L33" s="477">
        <f t="shared" si="14"/>
        <v>7.0628995268521608E-2</v>
      </c>
      <c r="M33" s="477">
        <f t="shared" si="14"/>
        <v>7.5483360724000442E-2</v>
      </c>
      <c r="N33" s="649"/>
      <c r="O33" s="649"/>
      <c r="P33" s="649"/>
      <c r="Q33" s="649"/>
      <c r="R33" s="649"/>
      <c r="S33" s="649"/>
      <c r="T33" s="649"/>
      <c r="U33" s="649"/>
      <c r="V33" s="649"/>
      <c r="W33" s="649"/>
      <c r="X33" s="649"/>
      <c r="Y33" s="649"/>
      <c r="Z33" s="649"/>
    </row>
    <row r="34" spans="1:26" s="200" customFormat="1" ht="15.75" customHeight="1">
      <c r="A34" s="203" t="s">
        <v>1236</v>
      </c>
      <c r="B34" s="203" t="s">
        <v>1237</v>
      </c>
      <c r="C34" s="477">
        <f t="shared" ref="C34:I34" si="21">C170</f>
        <v>0.821350157260895</v>
      </c>
      <c r="D34" s="477">
        <f t="shared" si="21"/>
        <v>0.84948800000000002</v>
      </c>
      <c r="E34" s="477">
        <f>D34</f>
        <v>0.84948800000000002</v>
      </c>
      <c r="F34" s="477">
        <f t="shared" si="21"/>
        <v>0.91059400000000001</v>
      </c>
      <c r="G34" s="477">
        <f t="shared" si="21"/>
        <v>0.99750899999999998</v>
      </c>
      <c r="H34" s="477">
        <f t="shared" si="21"/>
        <v>1.088076</v>
      </c>
      <c r="I34" s="477">
        <f t="shared" si="21"/>
        <v>1.17994</v>
      </c>
      <c r="J34" s="477">
        <f t="shared" si="14"/>
        <v>1.2795598869931879</v>
      </c>
      <c r="K34" s="477">
        <f t="shared" si="14"/>
        <v>1.3875904744326151</v>
      </c>
      <c r="L34" s="477">
        <f t="shared" si="14"/>
        <v>1.5047418603130847</v>
      </c>
      <c r="M34" s="477">
        <f t="shared" si="14"/>
        <v>1.6317840947303508</v>
      </c>
      <c r="N34" s="649"/>
      <c r="O34" s="649"/>
      <c r="P34" s="649"/>
      <c r="Q34" s="649"/>
      <c r="R34" s="649"/>
      <c r="S34" s="649"/>
      <c r="T34" s="649"/>
      <c r="U34" s="649"/>
      <c r="V34" s="649"/>
      <c r="W34" s="649"/>
      <c r="X34" s="649"/>
      <c r="Y34" s="649"/>
      <c r="Z34" s="649"/>
    </row>
    <row r="35" spans="1:26" s="200" customFormat="1" ht="15.75" customHeight="1">
      <c r="A35" s="649"/>
      <c r="B35" s="203" t="s">
        <v>1260</v>
      </c>
      <c r="C35" s="477">
        <f t="shared" ref="C35:I35" si="22">C26+C27+C28+C29+C30+C31+C32+C34</f>
        <v>11.461494116511966</v>
      </c>
      <c r="D35" s="477">
        <f t="shared" si="22"/>
        <v>11.394930000000002</v>
      </c>
      <c r="E35" s="477" t="e">
        <f t="shared" si="22"/>
        <v>#REF!</v>
      </c>
      <c r="F35" s="477" t="e">
        <f t="shared" si="22"/>
        <v>#REF!</v>
      </c>
      <c r="G35" s="477" t="e">
        <f t="shared" si="22"/>
        <v>#REF!</v>
      </c>
      <c r="H35" s="477" t="e">
        <f t="shared" si="22"/>
        <v>#REF!</v>
      </c>
      <c r="I35" s="477" t="e">
        <f t="shared" si="22"/>
        <v>#REF!</v>
      </c>
      <c r="J35" s="477" t="e">
        <f t="shared" si="14"/>
        <v>#REF!</v>
      </c>
      <c r="K35" s="477" t="e">
        <f t="shared" si="14"/>
        <v>#REF!</v>
      </c>
      <c r="L35" s="477" t="e">
        <f t="shared" si="14"/>
        <v>#REF!</v>
      </c>
      <c r="M35" s="477" t="e">
        <f t="shared" si="14"/>
        <v>#REF!</v>
      </c>
      <c r="N35" s="649"/>
      <c r="O35" s="646"/>
      <c r="P35" s="649"/>
      <c r="Q35" s="649"/>
      <c r="R35" s="649"/>
      <c r="S35" s="649"/>
      <c r="T35" s="649"/>
      <c r="U35" s="649"/>
      <c r="V35" s="649"/>
      <c r="W35" s="649"/>
      <c r="X35" s="649"/>
      <c r="Y35" s="649"/>
      <c r="Z35" s="649"/>
    </row>
    <row r="36" spans="1:26" s="200" customFormat="1" ht="25.5" customHeight="1">
      <c r="A36" s="646"/>
      <c r="B36" s="646"/>
      <c r="C36" s="101"/>
      <c r="D36" s="646"/>
      <c r="E36" s="646"/>
      <c r="F36" s="646"/>
      <c r="G36" s="646"/>
      <c r="H36" s="646"/>
      <c r="I36" s="646"/>
      <c r="J36" s="646"/>
      <c r="K36" s="646"/>
      <c r="L36" s="646"/>
      <c r="M36" s="646"/>
      <c r="N36" s="646"/>
      <c r="O36" s="646"/>
      <c r="P36" s="649"/>
      <c r="Q36" s="649"/>
      <c r="R36" s="649"/>
      <c r="S36" s="649"/>
      <c r="T36" s="649"/>
      <c r="U36" s="649"/>
      <c r="V36" s="649"/>
      <c r="W36" s="649"/>
      <c r="X36" s="649"/>
      <c r="Y36" s="649"/>
      <c r="Z36" s="649"/>
    </row>
    <row r="37" spans="1:26" s="200" customFormat="1" ht="15.75" customHeight="1">
      <c r="A37" s="673" t="s">
        <v>1261</v>
      </c>
      <c r="B37" s="673"/>
      <c r="C37" s="673"/>
      <c r="D37" s="673"/>
      <c r="E37" s="673"/>
      <c r="F37" s="673"/>
      <c r="G37" s="673"/>
      <c r="H37" s="673"/>
      <c r="I37" s="673"/>
      <c r="J37" s="673"/>
      <c r="K37" s="673"/>
      <c r="L37" s="673"/>
      <c r="M37" s="649"/>
      <c r="N37" s="646"/>
      <c r="O37" s="646"/>
      <c r="P37" s="649"/>
      <c r="Q37" s="649"/>
      <c r="R37" s="649"/>
      <c r="S37" s="649"/>
      <c r="T37" s="649"/>
      <c r="U37" s="649"/>
      <c r="V37" s="649"/>
      <c r="W37" s="649"/>
      <c r="X37" s="649"/>
      <c r="Y37" s="649"/>
      <c r="Z37" s="649"/>
    </row>
    <row r="38" spans="1:26" s="200" customFormat="1" ht="15.75" customHeight="1">
      <c r="A38" s="220" t="s">
        <v>596</v>
      </c>
      <c r="B38" s="220" t="s">
        <v>1235</v>
      </c>
      <c r="C38" s="202">
        <v>2005</v>
      </c>
      <c r="D38" s="202">
        <v>2010</v>
      </c>
      <c r="E38" s="202">
        <v>2015</v>
      </c>
      <c r="F38" s="202">
        <v>2020</v>
      </c>
      <c r="G38" s="202">
        <v>2025</v>
      </c>
      <c r="H38" s="202">
        <v>2030</v>
      </c>
      <c r="I38" s="202">
        <v>2035</v>
      </c>
      <c r="J38" s="202">
        <v>2040</v>
      </c>
      <c r="K38" s="202">
        <v>2045</v>
      </c>
      <c r="L38" s="202">
        <v>2050</v>
      </c>
      <c r="M38" s="202">
        <v>2055</v>
      </c>
      <c r="N38" s="646"/>
      <c r="O38" s="646"/>
      <c r="P38" s="649"/>
      <c r="Q38" s="649"/>
      <c r="R38" s="649"/>
      <c r="S38" s="649"/>
      <c r="T38" s="649"/>
      <c r="U38" s="649"/>
      <c r="V38" s="649"/>
      <c r="W38" s="649"/>
      <c r="X38" s="649"/>
      <c r="Y38" s="649"/>
      <c r="Z38" s="649"/>
    </row>
    <row r="39" spans="1:26" s="200" customFormat="1" ht="15.75" customHeight="1">
      <c r="A39" s="203" t="s">
        <v>1241</v>
      </c>
      <c r="B39" s="203" t="s">
        <v>1242</v>
      </c>
      <c r="C39" s="226">
        <f>C26*C40</f>
        <v>4.4482736718590239</v>
      </c>
      <c r="D39" s="226">
        <f t="shared" ref="D39:M39" si="23">D26*D40</f>
        <v>4.2966677986698301</v>
      </c>
      <c r="E39" s="226">
        <f t="shared" si="23"/>
        <v>4.4624113084782353</v>
      </c>
      <c r="F39" s="226">
        <f t="shared" si="23"/>
        <v>4.1947864644066062</v>
      </c>
      <c r="G39" s="226">
        <f t="shared" si="23"/>
        <v>4.2038691537401744</v>
      </c>
      <c r="H39" s="226">
        <f t="shared" si="23"/>
        <v>4.1679185278395474</v>
      </c>
      <c r="I39" s="226">
        <f t="shared" si="23"/>
        <v>4.0953706851388407</v>
      </c>
      <c r="J39" s="226">
        <f t="shared" si="23"/>
        <v>3.9503984584977609</v>
      </c>
      <c r="K39" s="226">
        <f t="shared" si="23"/>
        <v>3.8105581107787865</v>
      </c>
      <c r="L39" s="226">
        <f t="shared" si="23"/>
        <v>3.6756679783496384</v>
      </c>
      <c r="M39" s="226">
        <f t="shared" si="23"/>
        <v>3.545552828297819</v>
      </c>
      <c r="N39" s="646"/>
      <c r="O39" s="646"/>
      <c r="P39" s="649"/>
      <c r="Q39" s="649"/>
      <c r="R39" s="649"/>
      <c r="S39" s="649"/>
      <c r="T39" s="649"/>
      <c r="U39" s="649"/>
      <c r="V39" s="649"/>
      <c r="W39" s="649"/>
      <c r="X39" s="649"/>
      <c r="Y39" s="649"/>
      <c r="Z39" s="649"/>
    </row>
    <row r="40" spans="1:26" s="200" customFormat="1" ht="15.75" customHeight="1">
      <c r="A40" s="203"/>
      <c r="B40" s="216" t="s">
        <v>1262</v>
      </c>
      <c r="C40" s="229">
        <f>K274</f>
        <v>0.87</v>
      </c>
      <c r="D40" s="229">
        <f t="shared" ref="D40:I40" si="24">L274</f>
        <v>0.88685570765180755</v>
      </c>
      <c r="E40" s="229">
        <f t="shared" si="24"/>
        <v>0.92106607358359616</v>
      </c>
      <c r="F40" s="229">
        <f t="shared" si="24"/>
        <v>0.96285739767061718</v>
      </c>
      <c r="G40" s="229">
        <f t="shared" si="24"/>
        <v>0.99509329733626106</v>
      </c>
      <c r="H40" s="229">
        <f t="shared" si="24"/>
        <v>1.0198496592415889</v>
      </c>
      <c r="I40" s="229">
        <f t="shared" si="24"/>
        <v>1.0379996895505681</v>
      </c>
      <c r="J40" s="229">
        <f>I40</f>
        <v>1.0379996895505681</v>
      </c>
      <c r="K40" s="229">
        <f t="shared" ref="K40:M40" si="25">J40</f>
        <v>1.0379996895505681</v>
      </c>
      <c r="L40" s="229">
        <f t="shared" si="25"/>
        <v>1.0379996895505681</v>
      </c>
      <c r="M40" s="229">
        <f t="shared" si="25"/>
        <v>1.0379996895505681</v>
      </c>
      <c r="N40" s="94"/>
      <c r="O40" s="646"/>
      <c r="P40" s="649"/>
      <c r="Q40" s="649"/>
      <c r="R40" s="649"/>
      <c r="S40" s="649"/>
      <c r="T40" s="649"/>
      <c r="U40" s="649"/>
      <c r="V40" s="649"/>
      <c r="W40" s="649"/>
      <c r="X40" s="649"/>
      <c r="Y40" s="649"/>
      <c r="Z40" s="649"/>
    </row>
    <row r="41" spans="1:26" s="200" customFormat="1" ht="15.75" customHeight="1">
      <c r="A41" s="203"/>
      <c r="B41" s="216" t="s">
        <v>1263</v>
      </c>
      <c r="C41" s="225">
        <v>1</v>
      </c>
      <c r="D41" s="225">
        <f t="shared" ref="D41:M41" si="26">D42/C42</f>
        <v>1.1314543181134489</v>
      </c>
      <c r="E41" s="225">
        <f t="shared" si="26"/>
        <v>1.0175103735075768</v>
      </c>
      <c r="F41" s="225">
        <f t="shared" si="26"/>
        <v>1.0345432304541593</v>
      </c>
      <c r="G41" s="225">
        <f t="shared" si="26"/>
        <v>1.0340635378483856</v>
      </c>
      <c r="H41" s="225">
        <f t="shared" si="26"/>
        <v>1.0155590985686362</v>
      </c>
      <c r="I41" s="225">
        <f t="shared" si="26"/>
        <v>0.98798561339391655</v>
      </c>
      <c r="J41" s="225">
        <f t="shared" si="26"/>
        <v>0.98394507072624438</v>
      </c>
      <c r="K41" s="225">
        <f t="shared" si="26"/>
        <v>0.97934052806000826</v>
      </c>
      <c r="L41" s="225">
        <f t="shared" si="26"/>
        <v>0.97934052806000826</v>
      </c>
      <c r="M41" s="225">
        <f t="shared" si="26"/>
        <v>0.97934052806000849</v>
      </c>
      <c r="N41" s="646"/>
      <c r="O41" s="646"/>
      <c r="P41" s="226"/>
      <c r="Q41" s="226"/>
      <c r="R41" s="226"/>
      <c r="S41" s="226"/>
      <c r="T41" s="226"/>
      <c r="U41" s="226"/>
      <c r="V41" s="226"/>
      <c r="W41" s="226"/>
      <c r="X41" s="226"/>
      <c r="Y41" s="226"/>
      <c r="Z41" s="649"/>
    </row>
    <row r="42" spans="1:26" s="200" customFormat="1" ht="15.75" customHeight="1">
      <c r="A42" s="203" t="s">
        <v>1253</v>
      </c>
      <c r="B42" s="203" t="s">
        <v>1254</v>
      </c>
      <c r="C42" s="226">
        <f t="shared" ref="C42:M42" si="27">C27*C43</f>
        <v>1.0641943335533122</v>
      </c>
      <c r="D42" s="226">
        <f t="shared" si="27"/>
        <v>1.2040872740107591</v>
      </c>
      <c r="E42" s="226">
        <f t="shared" si="27"/>
        <v>1.2251712919144073</v>
      </c>
      <c r="F42" s="226">
        <f t="shared" si="27"/>
        <v>1.2674926661968267</v>
      </c>
      <c r="G42" s="226">
        <f t="shared" si="27"/>
        <v>1.3106679506043735</v>
      </c>
      <c r="H42" s="226">
        <f t="shared" si="27"/>
        <v>1.3310607624385793</v>
      </c>
      <c r="I42" s="226">
        <f t="shared" si="27"/>
        <v>1.315068883842454</v>
      </c>
      <c r="J42" s="226">
        <f t="shared" si="27"/>
        <v>1.2939555459222467</v>
      </c>
      <c r="K42" s="226">
        <f t="shared" si="27"/>
        <v>1.2672231076296694</v>
      </c>
      <c r="L42" s="226">
        <f t="shared" si="27"/>
        <v>1.2410429473958851</v>
      </c>
      <c r="M42" s="226">
        <f t="shared" si="27"/>
        <v>1.2154036554478354</v>
      </c>
      <c r="N42" s="646"/>
      <c r="O42" s="646"/>
      <c r="P42" s="226"/>
      <c r="Q42" s="226"/>
      <c r="R42" s="226"/>
      <c r="S42" s="226"/>
      <c r="T42" s="226"/>
      <c r="U42" s="226"/>
      <c r="V42" s="226"/>
      <c r="W42" s="226"/>
      <c r="X42" s="226"/>
      <c r="Y42" s="226"/>
      <c r="Z42" s="226"/>
    </row>
    <row r="43" spans="1:26" s="200" customFormat="1" ht="15.75" customHeight="1">
      <c r="A43" s="203"/>
      <c r="B43" s="216" t="s">
        <v>1264</v>
      </c>
      <c r="C43" s="225">
        <v>0.65</v>
      </c>
      <c r="D43" s="225">
        <v>0.68115232777726742</v>
      </c>
      <c r="E43" s="225">
        <v>0.6914827957252625</v>
      </c>
      <c r="F43" s="225">
        <v>0.71756308290481785</v>
      </c>
      <c r="G43" s="225">
        <v>0.73624386271745257</v>
      </c>
      <c r="H43" s="225">
        <v>0.7488896641844982</v>
      </c>
      <c r="I43" s="225">
        <v>0.75531355865719407</v>
      </c>
      <c r="J43" s="225">
        <v>0.75886479891283121</v>
      </c>
      <c r="K43" s="225">
        <v>0.75886479891283121</v>
      </c>
      <c r="L43" s="225">
        <v>0.75886479891283121</v>
      </c>
      <c r="M43" s="225">
        <v>0.75886479891283121</v>
      </c>
      <c r="N43" s="646"/>
      <c r="O43" s="646"/>
      <c r="P43" s="649"/>
      <c r="Q43" s="649"/>
      <c r="R43" s="649"/>
      <c r="S43" s="649"/>
      <c r="T43" s="649"/>
      <c r="U43" s="649"/>
      <c r="V43" s="649"/>
      <c r="W43" s="649"/>
      <c r="X43" s="649"/>
      <c r="Y43" s="649"/>
      <c r="Z43" s="649"/>
    </row>
    <row r="44" spans="1:26" s="200" customFormat="1" ht="15.75" customHeight="1">
      <c r="A44" s="203"/>
      <c r="B44" s="649"/>
      <c r="C44" s="649"/>
      <c r="D44" s="649"/>
      <c r="E44" s="649"/>
      <c r="F44" s="649"/>
      <c r="G44" s="649"/>
      <c r="H44" s="649"/>
      <c r="I44" s="649"/>
      <c r="J44" s="649"/>
      <c r="K44" s="649"/>
      <c r="L44" s="649"/>
      <c r="M44" s="649"/>
      <c r="N44" s="646"/>
      <c r="O44" s="646"/>
      <c r="P44" s="649"/>
      <c r="Q44" s="649"/>
      <c r="R44" s="649"/>
      <c r="S44" s="649"/>
      <c r="T44" s="649"/>
      <c r="U44" s="649"/>
      <c r="V44" s="649"/>
      <c r="W44" s="649"/>
      <c r="X44" s="649"/>
      <c r="Y44" s="649"/>
      <c r="Z44" s="649"/>
    </row>
    <row r="45" spans="1:26" s="200" customFormat="1" ht="15.75" customHeight="1">
      <c r="A45" s="203" t="s">
        <v>1251</v>
      </c>
      <c r="B45" s="203" t="s">
        <v>1252</v>
      </c>
      <c r="C45" s="230">
        <f t="shared" ref="C45:I45" si="28">C263</f>
        <v>137.59495544433599</v>
      </c>
      <c r="D45" s="230">
        <f t="shared" si="28"/>
        <v>142.74478099999999</v>
      </c>
      <c r="E45" s="230">
        <f t="shared" si="28"/>
        <v>146.25145000000001</v>
      </c>
      <c r="F45" s="230">
        <f t="shared" si="28"/>
        <v>154.08332799999999</v>
      </c>
      <c r="G45" s="230">
        <f t="shared" si="28"/>
        <v>161.34394800000001</v>
      </c>
      <c r="H45" s="230">
        <f t="shared" si="28"/>
        <v>168.56379699999999</v>
      </c>
      <c r="I45" s="230">
        <f t="shared" si="28"/>
        <v>175.27842699999999</v>
      </c>
      <c r="J45" s="230">
        <v>182</v>
      </c>
      <c r="K45" s="230">
        <v>182</v>
      </c>
      <c r="L45" s="230">
        <v>182</v>
      </c>
      <c r="M45" s="230">
        <v>182</v>
      </c>
      <c r="N45" s="646"/>
      <c r="O45" s="646"/>
      <c r="P45" s="649"/>
      <c r="Q45" s="649"/>
      <c r="R45" s="649"/>
      <c r="S45" s="649"/>
      <c r="T45" s="649"/>
      <c r="U45" s="649"/>
      <c r="V45" s="649"/>
      <c r="W45" s="649"/>
      <c r="X45" s="649"/>
      <c r="Y45" s="649"/>
      <c r="Z45" s="649"/>
    </row>
    <row r="46" spans="1:26" s="200" customFormat="1" ht="15.75" customHeight="1">
      <c r="A46" s="203"/>
      <c r="B46" s="216" t="s">
        <v>1265</v>
      </c>
      <c r="C46" s="225"/>
      <c r="D46" s="225"/>
      <c r="E46" s="225"/>
      <c r="F46" s="225"/>
      <c r="G46" s="225"/>
      <c r="H46" s="225"/>
      <c r="I46" s="225"/>
      <c r="J46" s="225"/>
      <c r="K46" s="225"/>
      <c r="L46" s="225"/>
      <c r="M46" s="225"/>
      <c r="N46" s="646"/>
      <c r="O46" s="646"/>
      <c r="P46" s="649"/>
      <c r="Q46" s="649"/>
      <c r="R46" s="649"/>
      <c r="S46" s="649"/>
      <c r="T46" s="649"/>
      <c r="U46" s="649"/>
      <c r="V46" s="649"/>
      <c r="W46" s="649"/>
      <c r="X46" s="649"/>
      <c r="Y46" s="649"/>
      <c r="Z46" s="649"/>
    </row>
    <row r="47" spans="1:26" s="200" customFormat="1" ht="15.75" customHeight="1">
      <c r="A47" s="203"/>
      <c r="B47" s="216"/>
      <c r="C47" s="225"/>
      <c r="D47" s="225"/>
      <c r="E47" s="225"/>
      <c r="F47" s="225"/>
      <c r="G47" s="225"/>
      <c r="H47" s="225"/>
      <c r="I47" s="225"/>
      <c r="J47" s="225"/>
      <c r="K47" s="225"/>
      <c r="L47" s="225"/>
      <c r="M47" s="225"/>
      <c r="N47" s="646"/>
      <c r="O47" s="226"/>
      <c r="P47" s="226"/>
      <c r="Q47" s="226"/>
      <c r="R47" s="226"/>
      <c r="S47" s="226"/>
      <c r="T47" s="649"/>
      <c r="U47" s="649"/>
      <c r="V47" s="649"/>
      <c r="W47" s="649"/>
      <c r="X47" s="649"/>
      <c r="Y47" s="649"/>
      <c r="Z47" s="649"/>
    </row>
    <row r="48" spans="1:26" s="200" customFormat="1" ht="15.75" customHeight="1">
      <c r="A48" s="203" t="s">
        <v>1243</v>
      </c>
      <c r="B48" s="203" t="s">
        <v>1244</v>
      </c>
      <c r="C48" s="226" t="e">
        <f t="shared" ref="C48:M48" si="29">C7/$P$4</f>
        <v>#REF!</v>
      </c>
      <c r="D48" s="226" t="e">
        <f t="shared" si="29"/>
        <v>#REF!</v>
      </c>
      <c r="E48" s="226" t="e">
        <f t="shared" si="29"/>
        <v>#REF!</v>
      </c>
      <c r="F48" s="226" t="e">
        <f t="shared" si="29"/>
        <v>#REF!</v>
      </c>
      <c r="G48" s="226" t="e">
        <f t="shared" si="29"/>
        <v>#REF!</v>
      </c>
      <c r="H48" s="226" t="e">
        <f t="shared" si="29"/>
        <v>#REF!</v>
      </c>
      <c r="I48" s="226" t="e">
        <f t="shared" si="29"/>
        <v>#REF!</v>
      </c>
      <c r="J48" s="226" t="e">
        <f t="shared" si="29"/>
        <v>#REF!</v>
      </c>
      <c r="K48" s="226" t="e">
        <f t="shared" si="29"/>
        <v>#REF!</v>
      </c>
      <c r="L48" s="226" t="e">
        <f t="shared" si="29"/>
        <v>#REF!</v>
      </c>
      <c r="M48" s="226" t="e">
        <f t="shared" si="29"/>
        <v>#REF!</v>
      </c>
      <c r="N48" s="646"/>
      <c r="O48" s="225"/>
      <c r="P48" s="225"/>
      <c r="Q48" s="225"/>
      <c r="R48" s="225"/>
      <c r="S48" s="225"/>
      <c r="T48" s="649"/>
      <c r="U48" s="649"/>
      <c r="V48" s="649"/>
      <c r="W48" s="649"/>
      <c r="X48" s="649"/>
      <c r="Y48" s="649"/>
      <c r="Z48" s="649"/>
    </row>
    <row r="49" spans="1:19" s="200" customFormat="1" ht="15.75" customHeight="1">
      <c r="A49" s="203"/>
      <c r="B49" s="216"/>
      <c r="C49" s="225"/>
      <c r="D49" s="225"/>
      <c r="E49" s="225"/>
      <c r="F49" s="225"/>
      <c r="G49" s="225"/>
      <c r="H49" s="225"/>
      <c r="I49" s="225"/>
      <c r="J49" s="225"/>
      <c r="K49" s="225"/>
      <c r="L49" s="225"/>
      <c r="M49" s="225"/>
      <c r="N49" s="646"/>
      <c r="O49" s="646"/>
      <c r="P49" s="649"/>
      <c r="Q49" s="649"/>
      <c r="R49" s="649"/>
      <c r="S49" s="649"/>
    </row>
    <row r="50" spans="1:19" s="200" customFormat="1" ht="15.75" customHeight="1">
      <c r="A50" s="203"/>
      <c r="B50" s="30"/>
      <c r="C50" s="223"/>
      <c r="D50" s="223"/>
      <c r="E50" s="223"/>
      <c r="F50" s="223"/>
      <c r="G50" s="223"/>
      <c r="H50" s="223"/>
      <c r="I50" s="223"/>
      <c r="J50" s="223"/>
      <c r="K50" s="223"/>
      <c r="L50" s="223"/>
      <c r="M50" s="223"/>
      <c r="N50" s="646"/>
      <c r="O50" s="646"/>
      <c r="P50" s="646"/>
      <c r="Q50" s="646"/>
      <c r="R50" s="646"/>
      <c r="S50" s="646"/>
    </row>
    <row r="51" spans="1:19" s="200" customFormat="1" ht="15.75" customHeight="1">
      <c r="A51" s="203" t="s">
        <v>1245</v>
      </c>
      <c r="B51" s="203" t="s">
        <v>1246</v>
      </c>
      <c r="C51" s="226">
        <f t="shared" ref="C51:M51" si="30">C30*C52</f>
        <v>2.3968616500496851</v>
      </c>
      <c r="D51" s="226">
        <f t="shared" si="30"/>
        <v>2.5777130000000001</v>
      </c>
      <c r="E51" s="226">
        <f t="shared" si="30"/>
        <v>2.6313625531167935</v>
      </c>
      <c r="F51" s="226">
        <f t="shared" si="30"/>
        <v>2.5588392867499103</v>
      </c>
      <c r="G51" s="226">
        <f t="shared" si="30"/>
        <v>2.5088431580745181</v>
      </c>
      <c r="H51" s="226">
        <f t="shared" si="30"/>
        <v>2.4101353935867018</v>
      </c>
      <c r="I51" s="226">
        <f t="shared" si="30"/>
        <v>2.3660237857476423</v>
      </c>
      <c r="J51" s="226">
        <f t="shared" si="30"/>
        <v>2.3227195325291259</v>
      </c>
      <c r="K51" s="226">
        <f t="shared" si="30"/>
        <v>2.2802078572881048</v>
      </c>
      <c r="L51" s="226">
        <f t="shared" si="30"/>
        <v>2.2384742538316829</v>
      </c>
      <c r="M51" s="226">
        <f t="shared" si="30"/>
        <v>2.19750448146719</v>
      </c>
      <c r="N51" s="646"/>
      <c r="O51" s="646"/>
      <c r="P51" s="649"/>
      <c r="Q51" s="649"/>
      <c r="R51" s="649"/>
      <c r="S51" s="649"/>
    </row>
    <row r="52" spans="1:19" s="200" customFormat="1" ht="15.75" customHeight="1">
      <c r="A52" s="203"/>
      <c r="B52" s="216" t="s">
        <v>1266</v>
      </c>
      <c r="C52" s="225">
        <v>1</v>
      </c>
      <c r="D52" s="225">
        <v>1</v>
      </c>
      <c r="E52" s="225">
        <v>1</v>
      </c>
      <c r="F52" s="225">
        <v>1</v>
      </c>
      <c r="G52" s="225">
        <v>1</v>
      </c>
      <c r="H52" s="225">
        <v>1</v>
      </c>
      <c r="I52" s="225">
        <v>1</v>
      </c>
      <c r="J52" s="225">
        <v>1</v>
      </c>
      <c r="K52" s="225">
        <v>1</v>
      </c>
      <c r="L52" s="225">
        <v>1</v>
      </c>
      <c r="M52" s="225">
        <v>1</v>
      </c>
      <c r="N52" s="646"/>
      <c r="O52" s="646"/>
      <c r="P52" s="649"/>
      <c r="Q52" s="649"/>
      <c r="R52" s="649"/>
      <c r="S52" s="649"/>
    </row>
    <row r="53" spans="1:19" s="200" customFormat="1" ht="15.75" customHeight="1">
      <c r="A53" s="203"/>
      <c r="B53" s="30"/>
      <c r="C53" s="223"/>
      <c r="D53" s="223"/>
      <c r="E53" s="223"/>
      <c r="F53" s="223"/>
      <c r="G53" s="223"/>
      <c r="H53" s="223"/>
      <c r="I53" s="223"/>
      <c r="J53" s="223"/>
      <c r="K53" s="223"/>
      <c r="L53" s="223"/>
      <c r="M53" s="223"/>
      <c r="N53" s="646"/>
      <c r="O53" s="646"/>
      <c r="P53" s="649"/>
      <c r="Q53" s="649"/>
      <c r="R53" s="649"/>
      <c r="S53" s="649"/>
    </row>
    <row r="54" spans="1:19" s="200" customFormat="1" ht="15.75" customHeight="1">
      <c r="A54" s="203" t="s">
        <v>1239</v>
      </c>
      <c r="B54" s="203" t="s">
        <v>1240</v>
      </c>
      <c r="C54" s="230">
        <f t="shared" ref="C54:F54" si="31">C264</f>
        <v>38.425449371337898</v>
      </c>
      <c r="D54" s="230">
        <f t="shared" si="31"/>
        <v>38.009281000000001</v>
      </c>
      <c r="E54" s="230">
        <f t="shared" si="31"/>
        <v>38.799267</v>
      </c>
      <c r="F54" s="230">
        <f t="shared" si="31"/>
        <v>40.689968</v>
      </c>
      <c r="G54" s="230">
        <v>47.29</v>
      </c>
      <c r="H54" s="230">
        <v>49.95</v>
      </c>
      <c r="I54" s="230">
        <v>52.43</v>
      </c>
      <c r="J54" s="230">
        <v>52.43</v>
      </c>
      <c r="K54" s="230">
        <v>52.43</v>
      </c>
      <c r="L54" s="230">
        <v>52.43</v>
      </c>
      <c r="M54" s="230">
        <v>52.43</v>
      </c>
      <c r="N54" s="646"/>
      <c r="O54" s="646"/>
      <c r="P54" s="649"/>
      <c r="Q54" s="649"/>
      <c r="R54" s="649"/>
      <c r="S54" s="649"/>
    </row>
    <row r="55" spans="1:19" s="200" customFormat="1" ht="15.75" customHeight="1">
      <c r="A55" s="203"/>
      <c r="B55" s="216" t="s">
        <v>1267</v>
      </c>
      <c r="C55" s="225"/>
      <c r="D55" s="225"/>
      <c r="E55" s="225"/>
      <c r="F55" s="225"/>
      <c r="G55" s="225"/>
      <c r="H55" s="225"/>
      <c r="I55" s="225"/>
      <c r="J55" s="225"/>
      <c r="K55" s="225"/>
      <c r="L55" s="225"/>
      <c r="M55" s="225"/>
      <c r="N55" s="646"/>
      <c r="O55" s="646"/>
      <c r="P55" s="649"/>
      <c r="Q55" s="649"/>
      <c r="R55" s="649"/>
      <c r="S55" s="649"/>
    </row>
    <row r="56" spans="1:19" s="200" customFormat="1" ht="15.75" customHeight="1">
      <c r="A56" s="203"/>
      <c r="B56" s="30"/>
      <c r="C56" s="223"/>
      <c r="D56" s="223"/>
      <c r="E56" s="223"/>
      <c r="F56" s="223"/>
      <c r="G56" s="223"/>
      <c r="H56" s="223"/>
      <c r="I56" s="223"/>
      <c r="J56" s="223"/>
      <c r="K56" s="223"/>
      <c r="L56" s="223"/>
      <c r="M56" s="223"/>
      <c r="N56" s="646"/>
      <c r="O56" s="646"/>
      <c r="P56" s="649"/>
      <c r="Q56" s="649"/>
      <c r="R56" s="649"/>
      <c r="S56" s="649"/>
    </row>
    <row r="57" spans="1:19" s="200" customFormat="1" ht="15.75" customHeight="1">
      <c r="A57" s="203" t="s">
        <v>1247</v>
      </c>
      <c r="B57" s="203" t="s">
        <v>1248</v>
      </c>
      <c r="C57" s="226">
        <f t="shared" ref="C57:M57" si="32">C32*C58</f>
        <v>0.28846947103738763</v>
      </c>
      <c r="D57" s="226">
        <f t="shared" si="32"/>
        <v>0.25928899999999999</v>
      </c>
      <c r="E57" s="226" t="e">
        <f t="shared" si="32"/>
        <v>#REF!</v>
      </c>
      <c r="F57" s="226" t="e">
        <f t="shared" si="32"/>
        <v>#REF!</v>
      </c>
      <c r="G57" s="226" t="e">
        <f t="shared" si="32"/>
        <v>#REF!</v>
      </c>
      <c r="H57" s="226" t="e">
        <f t="shared" si="32"/>
        <v>#REF!</v>
      </c>
      <c r="I57" s="226" t="e">
        <f t="shared" si="32"/>
        <v>#REF!</v>
      </c>
      <c r="J57" s="226" t="e">
        <f t="shared" si="32"/>
        <v>#REF!</v>
      </c>
      <c r="K57" s="226" t="e">
        <f t="shared" si="32"/>
        <v>#REF!</v>
      </c>
      <c r="L57" s="226" t="e">
        <f t="shared" si="32"/>
        <v>#REF!</v>
      </c>
      <c r="M57" s="226" t="e">
        <f t="shared" si="32"/>
        <v>#REF!</v>
      </c>
      <c r="N57" s="646"/>
      <c r="O57" s="646"/>
      <c r="P57" s="649"/>
      <c r="Q57" s="649"/>
      <c r="R57" s="649"/>
      <c r="S57" s="649"/>
    </row>
    <row r="58" spans="1:19" s="200" customFormat="1" ht="15.75" customHeight="1">
      <c r="A58" s="203"/>
      <c r="B58" s="216" t="s">
        <v>1268</v>
      </c>
      <c r="C58" s="225">
        <f t="shared" ref="C58:M58" si="33">C52</f>
        <v>1</v>
      </c>
      <c r="D58" s="225">
        <f t="shared" si="33"/>
        <v>1</v>
      </c>
      <c r="E58" s="225">
        <f t="shared" si="33"/>
        <v>1</v>
      </c>
      <c r="F58" s="225">
        <f t="shared" si="33"/>
        <v>1</v>
      </c>
      <c r="G58" s="225">
        <f t="shared" si="33"/>
        <v>1</v>
      </c>
      <c r="H58" s="225">
        <f t="shared" si="33"/>
        <v>1</v>
      </c>
      <c r="I58" s="225">
        <f t="shared" si="33"/>
        <v>1</v>
      </c>
      <c r="J58" s="225">
        <f t="shared" si="33"/>
        <v>1</v>
      </c>
      <c r="K58" s="225">
        <f t="shared" si="33"/>
        <v>1</v>
      </c>
      <c r="L58" s="225">
        <f t="shared" si="33"/>
        <v>1</v>
      </c>
      <c r="M58" s="225">
        <f t="shared" si="33"/>
        <v>1</v>
      </c>
      <c r="N58" s="646"/>
      <c r="O58" s="646"/>
      <c r="P58" s="649"/>
      <c r="Q58" s="649"/>
      <c r="R58" s="649"/>
      <c r="S58" s="649"/>
    </row>
    <row r="59" spans="1:19" s="200" customFormat="1" ht="15.75" customHeight="1">
      <c r="A59" s="203"/>
      <c r="B59" s="30"/>
      <c r="C59" s="223"/>
      <c r="D59" s="223"/>
      <c r="E59" s="223"/>
      <c r="F59" s="223"/>
      <c r="G59" s="223"/>
      <c r="H59" s="223"/>
      <c r="I59" s="223"/>
      <c r="J59" s="223"/>
      <c r="K59" s="223"/>
      <c r="L59" s="223"/>
      <c r="M59" s="223"/>
      <c r="N59" s="646"/>
      <c r="O59" s="646"/>
      <c r="P59" s="649"/>
      <c r="Q59" s="649"/>
      <c r="R59" s="649"/>
      <c r="S59" s="649"/>
    </row>
    <row r="60" spans="1:19" s="200" customFormat="1" ht="15.75" customHeight="1">
      <c r="A60" s="203" t="s">
        <v>1249</v>
      </c>
      <c r="B60" s="203" t="s">
        <v>1250</v>
      </c>
      <c r="C60" s="226">
        <f t="shared" ref="C60:M60" si="34">C33*C61</f>
        <v>0.04</v>
      </c>
      <c r="D60" s="226">
        <f t="shared" si="34"/>
        <v>3.9688000000000001E-2</v>
      </c>
      <c r="E60" s="226">
        <f t="shared" si="34"/>
        <v>4.2804000000000002E-2</v>
      </c>
      <c r="F60" s="226">
        <f t="shared" si="34"/>
        <v>4.6605000000000001E-2</v>
      </c>
      <c r="G60" s="226">
        <f t="shared" si="34"/>
        <v>5.0316E-2</v>
      </c>
      <c r="H60" s="226">
        <f t="shared" si="34"/>
        <v>5.4139E-2</v>
      </c>
      <c r="I60" s="226">
        <f t="shared" si="34"/>
        <v>5.7860000000000002E-2</v>
      </c>
      <c r="J60" s="226">
        <f t="shared" si="34"/>
        <v>6.1836746153419907E-2</v>
      </c>
      <c r="K60" s="226">
        <f t="shared" si="34"/>
        <v>6.6086816018708805E-2</v>
      </c>
      <c r="L60" s="226">
        <f t="shared" si="34"/>
        <v>7.0628995268521608E-2</v>
      </c>
      <c r="M60" s="226">
        <f t="shared" si="34"/>
        <v>7.5483360724000442E-2</v>
      </c>
      <c r="N60" s="646"/>
      <c r="O60" s="646"/>
      <c r="P60" s="649"/>
      <c r="Q60" s="649"/>
      <c r="R60" s="649"/>
      <c r="S60" s="649"/>
    </row>
    <row r="61" spans="1:19" s="200" customFormat="1" ht="15.75" customHeight="1">
      <c r="A61" s="203"/>
      <c r="B61" s="216" t="s">
        <v>1268</v>
      </c>
      <c r="C61" s="225">
        <v>1</v>
      </c>
      <c r="D61" s="225">
        <v>1</v>
      </c>
      <c r="E61" s="225">
        <v>1</v>
      </c>
      <c r="F61" s="225">
        <v>1</v>
      </c>
      <c r="G61" s="225">
        <v>1</v>
      </c>
      <c r="H61" s="225">
        <v>1</v>
      </c>
      <c r="I61" s="225">
        <v>1</v>
      </c>
      <c r="J61" s="225">
        <v>1</v>
      </c>
      <c r="K61" s="225">
        <v>1</v>
      </c>
      <c r="L61" s="225">
        <v>1</v>
      </c>
      <c r="M61" s="225">
        <v>1</v>
      </c>
      <c r="N61" s="646"/>
      <c r="O61" s="646"/>
      <c r="P61" s="649"/>
      <c r="Q61" s="649"/>
      <c r="R61" s="649"/>
      <c r="S61" s="649"/>
    </row>
    <row r="62" spans="1:19" s="200" customFormat="1" ht="15.75" customHeight="1">
      <c r="A62" s="203"/>
      <c r="B62" s="30"/>
      <c r="C62" s="223"/>
      <c r="D62" s="223"/>
      <c r="E62" s="223"/>
      <c r="F62" s="223"/>
      <c r="G62" s="223"/>
      <c r="H62" s="223"/>
      <c r="I62" s="223"/>
      <c r="J62" s="223"/>
      <c r="K62" s="223"/>
      <c r="L62" s="223"/>
      <c r="M62" s="223"/>
      <c r="N62" s="646"/>
      <c r="O62" s="646"/>
      <c r="P62" s="649"/>
      <c r="Q62" s="649"/>
      <c r="R62" s="649"/>
      <c r="S62" s="649"/>
    </row>
    <row r="63" spans="1:19" s="200" customFormat="1" ht="15.75" customHeight="1">
      <c r="A63" s="203" t="s">
        <v>1236</v>
      </c>
      <c r="B63" s="203" t="s">
        <v>1237</v>
      </c>
      <c r="C63" s="226">
        <f t="shared" ref="C63:M63" si="35">C34*C64</f>
        <v>2.3737019544839866</v>
      </c>
      <c r="D63" s="226">
        <f t="shared" si="35"/>
        <v>2.7640585888000802</v>
      </c>
      <c r="E63" s="226">
        <f t="shared" si="35"/>
        <v>2.8654237129447044</v>
      </c>
      <c r="F63" s="226">
        <f t="shared" si="35"/>
        <v>3.2378549588041032</v>
      </c>
      <c r="G63" s="226">
        <f t="shared" si="35"/>
        <v>3.6646964860872848</v>
      </c>
      <c r="H63" s="226">
        <f t="shared" si="35"/>
        <v>4.0494267255918608</v>
      </c>
      <c r="I63" s="226">
        <f t="shared" si="35"/>
        <v>4.4179558985426324</v>
      </c>
      <c r="J63" s="226">
        <f t="shared" si="35"/>
        <v>4.7909547521739233</v>
      </c>
      <c r="K63" s="226">
        <f t="shared" si="35"/>
        <v>5.1954451254141247</v>
      </c>
      <c r="L63" s="226">
        <f t="shared" si="35"/>
        <v>5.6340857819501045</v>
      </c>
      <c r="M63" s="226">
        <f t="shared" si="35"/>
        <v>6.1097599593725134</v>
      </c>
      <c r="N63" s="646"/>
      <c r="O63" s="646"/>
      <c r="P63" s="649"/>
      <c r="Q63" s="649"/>
      <c r="R63" s="649"/>
      <c r="S63" s="649"/>
    </row>
    <row r="64" spans="1:19" s="200" customFormat="1" ht="15.75" customHeight="1">
      <c r="A64" s="203"/>
      <c r="B64" s="216" t="s">
        <v>1269</v>
      </c>
      <c r="C64" s="225">
        <f>K286</f>
        <v>2.89</v>
      </c>
      <c r="D64" s="225">
        <f t="shared" ref="D64:I64" si="36">L286</f>
        <v>3.2537935660069124</v>
      </c>
      <c r="E64" s="225">
        <f t="shared" si="36"/>
        <v>3.3731185289782837</v>
      </c>
      <c r="F64" s="225">
        <f t="shared" si="36"/>
        <v>3.5557613588537844</v>
      </c>
      <c r="G64" s="225">
        <f t="shared" si="36"/>
        <v>3.673848041558808</v>
      </c>
      <c r="H64" s="225">
        <f t="shared" si="36"/>
        <v>3.7216395964912934</v>
      </c>
      <c r="I64" s="225">
        <f t="shared" si="36"/>
        <v>3.7442208066025668</v>
      </c>
      <c r="J64" s="225">
        <f>I64</f>
        <v>3.7442208066025668</v>
      </c>
      <c r="K64" s="225">
        <f>J64</f>
        <v>3.7442208066025668</v>
      </c>
      <c r="L64" s="225">
        <f>K64</f>
        <v>3.7442208066025668</v>
      </c>
      <c r="M64" s="225">
        <f>L64</f>
        <v>3.7442208066025668</v>
      </c>
      <c r="N64" s="646"/>
      <c r="O64" s="646"/>
      <c r="P64" s="649"/>
      <c r="Q64" s="649"/>
      <c r="R64" s="649"/>
      <c r="S64" s="649"/>
    </row>
    <row r="65" spans="1:21" s="200" customFormat="1" ht="15.75" customHeight="1">
      <c r="A65" s="203"/>
      <c r="B65" s="30"/>
      <c r="C65" s="223"/>
      <c r="D65" s="223"/>
      <c r="E65" s="223"/>
      <c r="F65" s="223"/>
      <c r="G65" s="223"/>
      <c r="H65" s="223"/>
      <c r="I65" s="223"/>
      <c r="J65" s="223"/>
      <c r="K65" s="223"/>
      <c r="L65" s="223"/>
      <c r="M65" s="223"/>
      <c r="N65" s="646"/>
      <c r="O65" s="646"/>
      <c r="P65" s="649"/>
      <c r="Q65" s="649"/>
      <c r="R65" s="649"/>
      <c r="S65" s="649"/>
      <c r="T65" s="649"/>
      <c r="U65" s="649"/>
    </row>
    <row r="66" spans="1:21" s="200" customFormat="1" ht="15.75" customHeight="1">
      <c r="A66" s="649"/>
      <c r="B66" s="203" t="s">
        <v>1270</v>
      </c>
      <c r="C66" s="226" t="e">
        <f t="shared" ref="C66:M66" si="37">C39+C42+C48+C51+C57+C63</f>
        <v>#REF!</v>
      </c>
      <c r="D66" s="226" t="e">
        <f t="shared" si="37"/>
        <v>#REF!</v>
      </c>
      <c r="E66" s="226" t="e">
        <f t="shared" si="37"/>
        <v>#REF!</v>
      </c>
      <c r="F66" s="226" t="e">
        <f t="shared" si="37"/>
        <v>#REF!</v>
      </c>
      <c r="G66" s="226" t="e">
        <f t="shared" si="37"/>
        <v>#REF!</v>
      </c>
      <c r="H66" s="226" t="e">
        <f t="shared" si="37"/>
        <v>#REF!</v>
      </c>
      <c r="I66" s="226" t="e">
        <f t="shared" si="37"/>
        <v>#REF!</v>
      </c>
      <c r="J66" s="226" t="e">
        <f t="shared" si="37"/>
        <v>#REF!</v>
      </c>
      <c r="K66" s="226" t="e">
        <f t="shared" si="37"/>
        <v>#REF!</v>
      </c>
      <c r="L66" s="226" t="e">
        <f t="shared" si="37"/>
        <v>#REF!</v>
      </c>
      <c r="M66" s="226" t="e">
        <f t="shared" si="37"/>
        <v>#REF!</v>
      </c>
      <c r="N66" s="646"/>
      <c r="O66" s="646"/>
      <c r="P66" s="649"/>
      <c r="Q66" s="649"/>
      <c r="R66" s="649"/>
      <c r="S66" s="649"/>
      <c r="T66" s="649"/>
      <c r="U66" s="649"/>
    </row>
    <row r="67" spans="1:21" s="200" customFormat="1" ht="15.75" customHeight="1">
      <c r="A67" s="203"/>
      <c r="B67" s="30"/>
      <c r="C67" s="223"/>
      <c r="D67" s="223"/>
      <c r="E67" s="223"/>
      <c r="F67" s="223"/>
      <c r="G67" s="223"/>
      <c r="H67" s="223"/>
      <c r="I67" s="223"/>
      <c r="J67" s="223"/>
      <c r="K67" s="223"/>
      <c r="L67" s="223"/>
      <c r="M67" s="223"/>
      <c r="N67" s="646"/>
      <c r="O67" s="646"/>
      <c r="P67" s="649"/>
      <c r="Q67" s="649"/>
      <c r="R67" s="649"/>
      <c r="S67" s="649"/>
      <c r="T67" s="649"/>
      <c r="U67" s="649"/>
    </row>
    <row r="68" spans="1:21" s="30" customFormat="1">
      <c r="A68" s="646"/>
      <c r="B68" s="646"/>
      <c r="C68" s="646"/>
      <c r="D68" s="101"/>
      <c r="E68" s="646"/>
      <c r="F68" s="646"/>
      <c r="G68" s="646"/>
      <c r="H68" s="646"/>
      <c r="I68" s="646"/>
      <c r="J68" s="646"/>
      <c r="K68" s="646"/>
      <c r="L68" s="646"/>
      <c r="M68" s="646"/>
      <c r="N68" s="646"/>
      <c r="O68" s="646"/>
      <c r="P68" s="223"/>
      <c r="U68" s="223"/>
    </row>
    <row r="69" spans="1:21" s="30" customFormat="1" ht="11.25" customHeight="1">
      <c r="A69" s="647" t="s">
        <v>1271</v>
      </c>
      <c r="N69" s="646"/>
      <c r="O69" s="646"/>
      <c r="P69" s="646"/>
      <c r="Q69" s="646"/>
      <c r="R69" s="646"/>
      <c r="S69" s="646"/>
      <c r="T69" s="646"/>
      <c r="U69" s="646"/>
    </row>
    <row r="70" spans="1:21" s="30" customFormat="1" ht="13">
      <c r="C70" s="649">
        <v>2005</v>
      </c>
      <c r="D70" s="649">
        <v>2010</v>
      </c>
      <c r="E70" s="649">
        <v>2015</v>
      </c>
      <c r="F70" s="649">
        <v>2020</v>
      </c>
      <c r="G70" s="649">
        <v>2025</v>
      </c>
      <c r="H70" s="649">
        <v>2030</v>
      </c>
      <c r="I70" s="649">
        <v>2035</v>
      </c>
      <c r="J70" s="649">
        <v>2040</v>
      </c>
      <c r="K70" s="649">
        <v>2045</v>
      </c>
      <c r="L70" s="649">
        <v>2050</v>
      </c>
      <c r="M70" s="649">
        <v>2050</v>
      </c>
      <c r="O70" s="646"/>
      <c r="P70" s="646"/>
      <c r="Q70" s="646"/>
      <c r="R70" s="646"/>
      <c r="S70" s="646"/>
      <c r="T70" s="646"/>
      <c r="U70" s="646"/>
    </row>
    <row r="71" spans="1:21" s="30" customFormat="1">
      <c r="O71" s="646"/>
    </row>
    <row r="72" spans="1:21" s="30" customFormat="1">
      <c r="D72" s="30" t="s">
        <v>79</v>
      </c>
      <c r="F72" s="30" t="s">
        <v>1272</v>
      </c>
      <c r="I72" s="30" t="s">
        <v>1273</v>
      </c>
      <c r="L72" s="30" t="s">
        <v>1274</v>
      </c>
    </row>
    <row r="73" spans="1:21" s="30" customFormat="1" ht="13">
      <c r="B73" s="28" t="s">
        <v>1275</v>
      </c>
      <c r="C73" s="398">
        <f>'AEO14 RLT Techs'!B157*1.058/100</f>
        <v>0.60306000000000004</v>
      </c>
      <c r="D73" s="399">
        <f>'RTEKTY Conv'!G177</f>
        <v>0.45981100563498845</v>
      </c>
      <c r="F73" s="231">
        <f>1/(C73/D73+C74/D74+C75/D75+C76/D76+C77/D77)</f>
        <v>0.64118024481071334</v>
      </c>
      <c r="I73" s="94" t="e">
        <f>USDemand!I72</f>
        <v>#REF!</v>
      </c>
      <c r="L73" s="232" t="e">
        <f>I73*10^12/ResCalc!C75/ResCalc!C62</f>
        <v>#REF!</v>
      </c>
      <c r="O73" s="16"/>
    </row>
    <row r="74" spans="1:21" s="30" customFormat="1" ht="13">
      <c r="B74" s="28" t="s">
        <v>1276</v>
      </c>
      <c r="C74" s="398">
        <f>'AEO14 RLT Techs'!C157*0.9/100</f>
        <v>0.11700000000000001</v>
      </c>
      <c r="D74" s="399">
        <f>'RTEKTY Conv'!G181</f>
        <v>2.1309861778393948</v>
      </c>
      <c r="O74" s="16"/>
    </row>
    <row r="75" spans="1:21" s="30" customFormat="1" ht="13">
      <c r="B75" s="28" t="s">
        <v>1277</v>
      </c>
      <c r="C75" s="398">
        <f>'AEO14 RLT Techs'!E157/100</f>
        <v>0.18</v>
      </c>
      <c r="D75" s="399">
        <f>'RTEKTY Conv'!G220</f>
        <v>2.0009706521081223</v>
      </c>
      <c r="O75" s="16"/>
    </row>
    <row r="76" spans="1:21" s="30" customFormat="1" ht="13">
      <c r="B76" s="28" t="s">
        <v>1278</v>
      </c>
      <c r="C76" s="398">
        <f>0.05</f>
        <v>0.05</v>
      </c>
      <c r="D76" s="399">
        <f>'RTEKTY Conv'!G195</f>
        <v>0.76793723125015889</v>
      </c>
      <c r="O76" s="16"/>
    </row>
    <row r="77" spans="1:21" s="30" customFormat="1" ht="13">
      <c r="B77" s="28" t="s">
        <v>1279</v>
      </c>
      <c r="C77" s="398">
        <f>0.04994</f>
        <v>4.9939999999999998E-2</v>
      </c>
      <c r="D77" s="399">
        <f>'RTEKTY Conv'!G229</f>
        <v>1.3102451539881022</v>
      </c>
      <c r="O77" s="16"/>
    </row>
    <row r="78" spans="1:21" s="30" customFormat="1">
      <c r="C78" s="231"/>
      <c r="D78" s="231"/>
    </row>
    <row r="79" spans="1:21" s="30" customFormat="1">
      <c r="B79" s="30" t="s">
        <v>1280</v>
      </c>
      <c r="C79" s="231"/>
      <c r="D79" s="231"/>
    </row>
    <row r="80" spans="1:21" s="30" customFormat="1">
      <c r="C80" s="231"/>
      <c r="D80" s="231"/>
    </row>
    <row r="81" spans="1:26" s="30" customFormat="1">
      <c r="C81" s="231"/>
      <c r="D81" s="231"/>
    </row>
    <row r="82" spans="1:26" s="30" customFormat="1" ht="13">
      <c r="B82" s="647" t="s">
        <v>1281</v>
      </c>
    </row>
    <row r="83" spans="1:26" s="30" customFormat="1">
      <c r="B83" s="30" t="s">
        <v>1282</v>
      </c>
      <c r="W83" s="646"/>
    </row>
    <row r="84" spans="1:26">
      <c r="A84" s="30"/>
      <c r="B84" s="30"/>
      <c r="C84" s="30"/>
      <c r="D84" s="30"/>
      <c r="E84" s="30"/>
      <c r="F84" s="30"/>
      <c r="G84" s="30"/>
      <c r="H84" s="30"/>
      <c r="I84" s="30"/>
      <c r="J84" s="30"/>
      <c r="K84" s="30"/>
      <c r="L84" s="30"/>
      <c r="M84" s="30"/>
      <c r="N84" s="30"/>
      <c r="O84" s="30"/>
      <c r="P84" s="30"/>
      <c r="Q84" s="30"/>
      <c r="R84" s="30"/>
      <c r="S84" s="30"/>
      <c r="T84" s="30"/>
      <c r="U84" s="30"/>
      <c r="V84" s="30"/>
      <c r="W84" s="646"/>
      <c r="X84" s="646"/>
      <c r="Y84" s="646"/>
      <c r="Z84" s="646"/>
    </row>
    <row r="85" spans="1:26" ht="13">
      <c r="A85" s="646"/>
      <c r="B85" s="646"/>
      <c r="C85" s="646"/>
      <c r="D85" s="646"/>
      <c r="E85" s="646"/>
      <c r="F85" s="646"/>
      <c r="G85" s="646"/>
      <c r="H85" s="646"/>
      <c r="I85" s="646"/>
      <c r="J85" s="646"/>
      <c r="K85" s="646"/>
      <c r="L85" s="646"/>
      <c r="M85" s="646"/>
      <c r="N85" s="646"/>
      <c r="O85" s="30"/>
      <c r="P85" s="30"/>
      <c r="Q85" s="30"/>
      <c r="R85" s="30"/>
      <c r="S85" s="30"/>
      <c r="T85" s="30"/>
      <c r="U85" s="30"/>
      <c r="V85" s="30"/>
      <c r="W85" s="647" t="s">
        <v>127</v>
      </c>
      <c r="X85" s="646"/>
      <c r="Y85" s="646"/>
      <c r="Z85" s="646"/>
    </row>
    <row r="86" spans="1:26">
      <c r="A86" s="646"/>
      <c r="B86" s="646"/>
      <c r="C86" s="646"/>
      <c r="D86" s="646"/>
      <c r="E86" s="646"/>
      <c r="F86" s="646"/>
      <c r="G86" s="646"/>
      <c r="H86" s="646"/>
      <c r="I86" s="646"/>
      <c r="J86" s="646"/>
      <c r="K86" s="646"/>
      <c r="L86" s="646"/>
      <c r="M86" s="646"/>
      <c r="N86" s="646"/>
      <c r="O86" s="30"/>
      <c r="P86" s="30"/>
      <c r="Q86" s="30"/>
      <c r="R86" s="30"/>
      <c r="S86" s="30"/>
      <c r="T86" s="30"/>
      <c r="U86" s="30"/>
      <c r="V86" s="30"/>
      <c r="W86" s="30"/>
      <c r="X86" s="30"/>
      <c r="Y86" s="30"/>
      <c r="Z86" s="30"/>
    </row>
    <row r="87" spans="1:26" ht="13">
      <c r="A87" s="671" t="s">
        <v>1283</v>
      </c>
      <c r="B87" s="671"/>
      <c r="C87" s="649">
        <v>2005</v>
      </c>
      <c r="D87" s="649">
        <v>2010</v>
      </c>
      <c r="E87" s="649">
        <v>2015</v>
      </c>
      <c r="F87" s="649">
        <v>2020</v>
      </c>
      <c r="G87" s="649">
        <v>2025</v>
      </c>
      <c r="H87" s="649">
        <v>2030</v>
      </c>
      <c r="I87" s="649">
        <v>2035</v>
      </c>
      <c r="J87" s="30"/>
      <c r="K87" s="30"/>
      <c r="L87" s="30"/>
      <c r="M87" s="30"/>
      <c r="N87" s="30"/>
      <c r="O87" s="30"/>
      <c r="P87" s="30"/>
      <c r="Q87" s="30"/>
      <c r="R87" s="30"/>
      <c r="S87" s="30"/>
      <c r="T87" s="30"/>
      <c r="U87" s="30"/>
      <c r="V87" s="30"/>
      <c r="W87" s="30"/>
      <c r="X87" s="30"/>
      <c r="Y87" s="30"/>
      <c r="Z87" s="646"/>
    </row>
    <row r="88" spans="1:26">
      <c r="A88" s="646"/>
      <c r="B88" s="646" t="s">
        <v>1284</v>
      </c>
      <c r="C88" s="227">
        <f t="shared" ref="C88:I88" si="38">C127*(C224*C269+C225*1)/(C224+C225)</f>
        <v>0.4156645247155184</v>
      </c>
      <c r="D88" s="227">
        <f t="shared" si="38"/>
        <v>0.4819196625201026</v>
      </c>
      <c r="E88" s="227">
        <f t="shared" si="38"/>
        <v>0.49885914732263159</v>
      </c>
      <c r="F88" s="227">
        <f t="shared" si="38"/>
        <v>0.4941324350922125</v>
      </c>
      <c r="G88" s="227">
        <f t="shared" si="38"/>
        <v>0.51202570937051195</v>
      </c>
      <c r="H88" s="227">
        <f t="shared" si="38"/>
        <v>0.52011329272199047</v>
      </c>
      <c r="I88" s="227">
        <f t="shared" si="38"/>
        <v>0.51957421596742337</v>
      </c>
      <c r="J88" s="227"/>
      <c r="K88" s="227"/>
      <c r="L88" s="227"/>
      <c r="M88" s="227"/>
      <c r="N88" s="30"/>
      <c r="O88" s="30"/>
      <c r="P88" s="30"/>
      <c r="Q88" s="30"/>
      <c r="R88" s="30"/>
      <c r="S88" s="30"/>
      <c r="T88" s="30"/>
      <c r="U88" s="30"/>
      <c r="V88" s="30"/>
      <c r="W88" s="30"/>
      <c r="X88" s="30"/>
      <c r="Y88" s="30"/>
      <c r="Z88" s="646"/>
    </row>
    <row r="89" spans="1:26">
      <c r="A89" s="646"/>
      <c r="B89" s="646" t="s">
        <v>1285</v>
      </c>
      <c r="C89" s="227">
        <f t="shared" ref="C89:I89" si="39">C144*C272</f>
        <v>2.7154832834257245</v>
      </c>
      <c r="D89" s="227">
        <f t="shared" si="39"/>
        <v>2.5950422399999997</v>
      </c>
      <c r="E89" s="227">
        <f t="shared" si="39"/>
        <v>2.4400856499999999</v>
      </c>
      <c r="F89" s="227">
        <f t="shared" si="39"/>
        <v>2.4566442300000002</v>
      </c>
      <c r="G89" s="227">
        <f t="shared" si="39"/>
        <v>2.4569179800000001</v>
      </c>
      <c r="H89" s="227">
        <f t="shared" si="39"/>
        <v>2.3968767999999998</v>
      </c>
      <c r="I89" s="227">
        <f t="shared" si="39"/>
        <v>2.3294058999999998</v>
      </c>
      <c r="J89" s="227"/>
      <c r="K89" s="227"/>
      <c r="L89" s="227"/>
      <c r="M89" s="227"/>
      <c r="N89" s="30"/>
      <c r="O89" s="30"/>
      <c r="P89" s="30"/>
      <c r="Q89" s="30"/>
      <c r="R89" s="30"/>
      <c r="S89" s="30"/>
      <c r="T89" s="30"/>
      <c r="U89" s="30"/>
      <c r="V89" s="30"/>
      <c r="W89" s="30"/>
      <c r="X89" s="30"/>
      <c r="Y89" s="30"/>
      <c r="Z89" s="646"/>
    </row>
    <row r="90" spans="1:26">
      <c r="A90" s="646"/>
      <c r="B90" s="646" t="s">
        <v>1286</v>
      </c>
      <c r="C90" s="227">
        <f t="shared" ref="C90:I90" si="40">C153*C273</f>
        <v>0.53130998611450175</v>
      </c>
      <c r="D90" s="227">
        <f t="shared" si="40"/>
        <v>0.39045004999999999</v>
      </c>
      <c r="E90" s="227">
        <f t="shared" si="40"/>
        <v>0.39685799999999999</v>
      </c>
      <c r="F90" s="227">
        <f t="shared" si="40"/>
        <v>0.38042549999999997</v>
      </c>
      <c r="G90" s="227">
        <f t="shared" si="40"/>
        <v>0.34813075999999998</v>
      </c>
      <c r="H90" s="227">
        <f t="shared" si="40"/>
        <v>0.31602920000000001</v>
      </c>
      <c r="I90" s="227">
        <f t="shared" si="40"/>
        <v>0.28859847999999999</v>
      </c>
      <c r="J90" s="227"/>
      <c r="K90" s="227"/>
      <c r="L90" s="227"/>
      <c r="M90" s="227"/>
      <c r="N90" s="30"/>
      <c r="O90" s="30"/>
      <c r="P90" s="30"/>
      <c r="Q90" s="30"/>
      <c r="R90" s="30"/>
      <c r="S90" s="30"/>
      <c r="T90" s="30"/>
      <c r="U90" s="30"/>
      <c r="V90" s="30"/>
      <c r="W90" s="30"/>
      <c r="X90" s="30"/>
      <c r="Y90" s="30"/>
      <c r="Z90" s="646"/>
    </row>
    <row r="91" spans="1:26">
      <c r="A91" s="646"/>
      <c r="B91" s="646" t="s">
        <v>1287</v>
      </c>
      <c r="C91" s="227">
        <f t="shared" ref="C91:I91" si="41">C159*0.78</f>
        <v>0.28860000000000002</v>
      </c>
      <c r="D91" s="227">
        <f t="shared" si="41"/>
        <v>0.28519218000000002</v>
      </c>
      <c r="E91" s="227">
        <f t="shared" si="41"/>
        <v>0.25381044000000003</v>
      </c>
      <c r="F91" s="227">
        <f t="shared" si="41"/>
        <v>0.23597106000000001</v>
      </c>
      <c r="G91" s="227">
        <f t="shared" si="41"/>
        <v>0.21971898000000004</v>
      </c>
      <c r="H91" s="227">
        <f t="shared" si="41"/>
        <v>0.20632403999999999</v>
      </c>
      <c r="I91" s="227">
        <f t="shared" si="41"/>
        <v>0.19461468000000001</v>
      </c>
      <c r="J91" s="227"/>
      <c r="K91" s="227"/>
      <c r="L91" s="227"/>
      <c r="M91" s="227"/>
      <c r="N91" s="30"/>
      <c r="O91" s="30"/>
      <c r="P91" s="30"/>
      <c r="Q91" s="30"/>
      <c r="R91" s="30"/>
      <c r="S91" s="30"/>
      <c r="T91" s="30"/>
      <c r="U91" s="30"/>
      <c r="V91" s="30"/>
      <c r="W91" s="30"/>
      <c r="X91" s="30"/>
      <c r="Y91" s="30"/>
      <c r="Z91" s="646"/>
    </row>
    <row r="92" spans="1:26">
      <c r="A92" s="646"/>
      <c r="B92" s="646" t="s">
        <v>1288</v>
      </c>
      <c r="C92" s="227">
        <f t="shared" ref="C92:I92" si="42">C165*1</f>
        <v>0.44818162918090798</v>
      </c>
      <c r="D92" s="227">
        <f t="shared" si="42"/>
        <v>0.53766800000000003</v>
      </c>
      <c r="E92" s="227">
        <f t="shared" si="42"/>
        <v>0.49865300000000001</v>
      </c>
      <c r="F92" s="227">
        <f t="shared" si="42"/>
        <v>0.45812399999999998</v>
      </c>
      <c r="G92" s="227">
        <f t="shared" si="42"/>
        <v>0.45334400000000002</v>
      </c>
      <c r="H92" s="227">
        <f t="shared" si="42"/>
        <v>0.44167400000000001</v>
      </c>
      <c r="I92" s="227">
        <f t="shared" si="42"/>
        <v>0.429761</v>
      </c>
      <c r="J92" s="227"/>
      <c r="K92" s="227"/>
      <c r="L92" s="227"/>
      <c r="M92" s="227"/>
      <c r="N92" s="30"/>
      <c r="O92" s="30"/>
      <c r="P92" s="30"/>
      <c r="Q92" s="30"/>
      <c r="R92" s="30"/>
      <c r="S92" s="30"/>
      <c r="T92" s="30"/>
      <c r="U92" s="30"/>
      <c r="V92" s="30"/>
      <c r="W92" s="30"/>
      <c r="X92" s="30"/>
      <c r="Y92" s="30"/>
      <c r="Z92" s="646"/>
    </row>
    <row r="93" spans="1:26">
      <c r="A93" s="646"/>
      <c r="B93" s="646" t="s">
        <v>1289</v>
      </c>
      <c r="C93" s="227">
        <f t="shared" ref="C93:I93" si="43">C166*0.81</f>
        <v>8.1537638604640736E-2</v>
      </c>
      <c r="D93" s="227">
        <f t="shared" si="43"/>
        <v>1.5009300000000001E-2</v>
      </c>
      <c r="E93" s="227">
        <f t="shared" si="43"/>
        <v>3.8321100000000001E-3</v>
      </c>
      <c r="F93" s="227">
        <f t="shared" si="43"/>
        <v>3.3647400000000002E-3</v>
      </c>
      <c r="G93" s="227">
        <f t="shared" si="43"/>
        <v>3.0366900000000003E-3</v>
      </c>
      <c r="H93" s="227">
        <f t="shared" si="43"/>
        <v>2.7750600000000002E-3</v>
      </c>
      <c r="I93" s="227">
        <f t="shared" si="43"/>
        <v>2.5304400000000001E-3</v>
      </c>
      <c r="J93" s="227"/>
      <c r="K93" s="227"/>
      <c r="L93" s="227"/>
      <c r="M93" s="227"/>
      <c r="N93" s="30"/>
      <c r="O93" s="30"/>
      <c r="P93" s="30"/>
      <c r="Q93" s="30"/>
      <c r="R93" s="30"/>
      <c r="S93" s="30"/>
      <c r="T93" s="30"/>
      <c r="U93" s="30"/>
      <c r="V93" s="30"/>
      <c r="W93" s="30"/>
      <c r="X93" s="30"/>
      <c r="Y93" s="30"/>
      <c r="Z93" s="646"/>
    </row>
    <row r="94" spans="1:26">
      <c r="A94" s="646"/>
      <c r="B94" s="646"/>
      <c r="C94" s="227">
        <f t="shared" ref="C94:I94" si="44">SUM(C88:C93)</f>
        <v>4.4807770620412946</v>
      </c>
      <c r="D94" s="227">
        <f t="shared" si="44"/>
        <v>4.3052814325201032</v>
      </c>
      <c r="E94" s="227">
        <f t="shared" si="44"/>
        <v>4.092098347322632</v>
      </c>
      <c r="F94" s="227">
        <f t="shared" si="44"/>
        <v>4.0286619650922129</v>
      </c>
      <c r="G94" s="227">
        <f t="shared" si="44"/>
        <v>3.9931741193705124</v>
      </c>
      <c r="H94" s="227">
        <f t="shared" si="44"/>
        <v>3.8837923927219902</v>
      </c>
      <c r="I94" s="227">
        <f t="shared" si="44"/>
        <v>3.7644847159674235</v>
      </c>
      <c r="J94" s="30"/>
      <c r="K94" s="30"/>
      <c r="L94" s="30"/>
      <c r="M94" s="30"/>
      <c r="N94" s="30"/>
      <c r="O94" s="30"/>
      <c r="P94" s="30"/>
      <c r="Q94" s="30"/>
      <c r="R94" s="30"/>
      <c r="S94" s="30"/>
      <c r="T94" s="30"/>
      <c r="U94" s="30"/>
      <c r="V94" s="30"/>
      <c r="W94" s="30"/>
      <c r="X94" s="30"/>
      <c r="Y94" s="30"/>
      <c r="Z94" s="646"/>
    </row>
    <row r="95" spans="1:26">
      <c r="A95" s="646"/>
      <c r="B95" s="646"/>
      <c r="C95" s="233">
        <f t="shared" ref="C95:I95" si="45">(C39-C94)/C39</f>
        <v>-7.3069672821382044E-3</v>
      </c>
      <c r="D95" s="233">
        <f t="shared" si="45"/>
        <v>-2.0047241848531465E-3</v>
      </c>
      <c r="E95" s="233">
        <f t="shared" si="45"/>
        <v>8.2984945930922455E-2</v>
      </c>
      <c r="F95" s="233">
        <f t="shared" si="45"/>
        <v>3.9602611652341468E-2</v>
      </c>
      <c r="G95" s="233">
        <f t="shared" si="45"/>
        <v>5.0119313105215731E-2</v>
      </c>
      <c r="H95" s="233">
        <f t="shared" si="45"/>
        <v>6.8169791040717589E-2</v>
      </c>
      <c r="I95" s="233">
        <f t="shared" si="45"/>
        <v>8.0795120786532559E-2</v>
      </c>
      <c r="J95" s="30"/>
      <c r="K95" s="30"/>
      <c r="L95" s="30"/>
      <c r="M95" s="30"/>
      <c r="N95" s="30"/>
      <c r="O95" s="30"/>
      <c r="P95" s="30"/>
      <c r="Q95" s="30"/>
      <c r="R95" s="30"/>
      <c r="S95" s="30"/>
      <c r="T95" s="30"/>
      <c r="U95" s="30"/>
      <c r="V95" s="30"/>
      <c r="W95" s="30"/>
      <c r="X95" s="30"/>
      <c r="Y95" s="30"/>
      <c r="Z95" s="646"/>
    </row>
    <row r="96" spans="1:26">
      <c r="A96" s="646"/>
      <c r="B96" s="646"/>
      <c r="C96" s="233"/>
      <c r="D96" s="233"/>
      <c r="E96" s="233"/>
      <c r="F96" s="233"/>
      <c r="G96" s="233"/>
      <c r="H96" s="233"/>
      <c r="I96" s="233"/>
      <c r="J96" s="30"/>
      <c r="K96" s="30"/>
      <c r="L96" s="30"/>
      <c r="M96" s="30"/>
      <c r="N96" s="30"/>
      <c r="O96" s="223"/>
      <c r="P96" s="30"/>
      <c r="Q96" s="30"/>
      <c r="R96" s="30"/>
      <c r="S96" s="30"/>
      <c r="T96" s="223"/>
      <c r="U96" s="30"/>
      <c r="V96" s="30"/>
      <c r="W96" s="30"/>
      <c r="X96" s="30"/>
      <c r="Y96" s="223"/>
      <c r="Z96" s="30"/>
    </row>
    <row r="97" spans="1:70" ht="13">
      <c r="A97" s="671" t="s">
        <v>1290</v>
      </c>
      <c r="B97" s="671"/>
      <c r="C97" s="649">
        <v>2005</v>
      </c>
      <c r="D97" s="649">
        <v>2010</v>
      </c>
      <c r="E97" s="649">
        <v>2015</v>
      </c>
      <c r="F97" s="649">
        <v>2020</v>
      </c>
      <c r="G97" s="649">
        <v>2025</v>
      </c>
      <c r="H97" s="649">
        <v>2030</v>
      </c>
      <c r="I97" s="649">
        <v>2035</v>
      </c>
      <c r="J97" s="234"/>
      <c r="K97" s="234"/>
      <c r="L97" s="234"/>
      <c r="M97" s="234"/>
      <c r="N97" s="30"/>
      <c r="O97" s="223"/>
      <c r="P97" s="30"/>
      <c r="Q97" s="30"/>
      <c r="R97" s="30"/>
      <c r="S97" s="30"/>
      <c r="T97" s="223"/>
      <c r="U97" s="30"/>
      <c r="V97" s="30"/>
      <c r="W97" s="30"/>
      <c r="X97" s="30"/>
      <c r="Y97" s="223"/>
      <c r="Z97" s="30"/>
      <c r="AA97" s="646"/>
      <c r="AB97" s="646"/>
      <c r="AC97" s="646"/>
      <c r="AD97" s="646"/>
      <c r="AE97" s="646"/>
      <c r="AF97" s="646"/>
      <c r="AG97" s="646"/>
      <c r="AH97" s="646"/>
      <c r="AI97" s="646"/>
      <c r="AJ97" s="646"/>
      <c r="AK97" s="646"/>
      <c r="AL97" s="646"/>
      <c r="AM97" s="646"/>
      <c r="AN97" s="646"/>
      <c r="AO97" s="646"/>
      <c r="AP97" s="646"/>
      <c r="AQ97" s="646"/>
      <c r="AR97" s="646"/>
      <c r="AS97" s="646"/>
      <c r="AT97" s="646"/>
      <c r="AU97" s="646"/>
      <c r="AV97" s="646"/>
      <c r="AW97" s="646"/>
      <c r="AX97" s="646"/>
      <c r="AY97" s="646"/>
      <c r="AZ97" s="646"/>
      <c r="BA97" s="646"/>
      <c r="BB97" s="646"/>
      <c r="BC97" s="646"/>
      <c r="BD97" s="646"/>
      <c r="BE97" s="646"/>
      <c r="BF97" s="646"/>
      <c r="BG97" s="646"/>
      <c r="BH97" s="646"/>
      <c r="BI97" s="646"/>
      <c r="BJ97" s="646"/>
      <c r="BK97" s="646"/>
      <c r="BL97" s="646"/>
      <c r="BM97" s="646"/>
      <c r="BN97" s="646"/>
      <c r="BO97" s="646"/>
      <c r="BP97" s="646"/>
      <c r="BQ97" s="646"/>
      <c r="BR97" s="646"/>
    </row>
    <row r="98" spans="1:70">
      <c r="A98" s="646"/>
      <c r="B98" s="646" t="s">
        <v>1284</v>
      </c>
      <c r="C98" s="227">
        <f t="shared" ref="C98:I98" si="46">C129*C290</f>
        <v>0.33945603379579292</v>
      </c>
      <c r="D98" s="227">
        <f t="shared" si="46"/>
        <v>0.391169986872</v>
      </c>
      <c r="E98" s="227">
        <f t="shared" si="46"/>
        <v>0.39634245149800001</v>
      </c>
      <c r="F98" s="227">
        <f t="shared" si="46"/>
        <v>0.44781572434500005</v>
      </c>
      <c r="G98" s="227">
        <f t="shared" si="46"/>
        <v>0.47794246380299998</v>
      </c>
      <c r="H98" s="227">
        <f t="shared" si="46"/>
        <v>0.49712667149</v>
      </c>
      <c r="I98" s="227">
        <f t="shared" si="46"/>
        <v>0.50278071086100007</v>
      </c>
      <c r="J98" s="235"/>
      <c r="K98" s="235"/>
      <c r="L98" s="235"/>
      <c r="M98" s="235"/>
      <c r="N98" s="646"/>
      <c r="O98" s="223"/>
      <c r="P98" s="30"/>
      <c r="Q98" s="30"/>
      <c r="R98" s="30"/>
      <c r="S98" s="30"/>
      <c r="T98" s="223"/>
      <c r="U98" s="30"/>
      <c r="V98" s="30"/>
      <c r="W98" s="30"/>
      <c r="X98" s="30"/>
      <c r="Y98" s="223"/>
      <c r="Z98" s="30"/>
      <c r="AA98" s="646"/>
      <c r="AB98" s="646"/>
      <c r="AC98" s="646"/>
      <c r="AD98" s="646"/>
      <c r="AE98" s="646"/>
      <c r="AF98" s="646"/>
      <c r="AG98" s="646"/>
      <c r="AH98" s="646"/>
      <c r="AI98" s="646"/>
      <c r="AJ98" s="646"/>
      <c r="AK98" s="646"/>
      <c r="AL98" s="646"/>
      <c r="AM98" s="646"/>
      <c r="AN98" s="646"/>
      <c r="AO98" s="646"/>
      <c r="AP98" s="646"/>
      <c r="AQ98" s="646"/>
      <c r="AR98" s="646"/>
      <c r="AS98" s="646"/>
      <c r="AT98" s="646"/>
      <c r="AU98" s="646"/>
      <c r="AV98" s="646"/>
      <c r="AW98" s="646"/>
      <c r="AX98" s="646"/>
      <c r="AY98" s="646"/>
      <c r="AZ98" s="646"/>
      <c r="BA98" s="646"/>
      <c r="BB98" s="646"/>
      <c r="BC98" s="646"/>
      <c r="BD98" s="646"/>
      <c r="BE98" s="646"/>
      <c r="BF98" s="646"/>
      <c r="BG98" s="646"/>
      <c r="BH98" s="646"/>
      <c r="BI98" s="646"/>
      <c r="BJ98" s="646"/>
      <c r="BK98" s="646"/>
      <c r="BL98" s="646"/>
      <c r="BM98" s="646"/>
      <c r="BN98" s="646"/>
      <c r="BO98" s="646"/>
      <c r="BP98" s="646"/>
      <c r="BQ98" s="646"/>
      <c r="BR98" s="646"/>
    </row>
    <row r="99" spans="1:70">
      <c r="A99" s="646"/>
      <c r="B99" s="646" t="s">
        <v>1285</v>
      </c>
      <c r="C99" s="227">
        <f t="shared" ref="C99:I99" si="47">C146*C291</f>
        <v>0.62680777348874406</v>
      </c>
      <c r="D99" s="227">
        <f t="shared" si="47"/>
        <v>0.73082898682200015</v>
      </c>
      <c r="E99" s="227">
        <f t="shared" si="47"/>
        <v>0.73433069094699999</v>
      </c>
      <c r="F99" s="227">
        <f t="shared" si="47"/>
        <v>0.74998422316400004</v>
      </c>
      <c r="G99" s="227">
        <f t="shared" si="47"/>
        <v>0.76268849519199999</v>
      </c>
      <c r="H99" s="227">
        <f t="shared" si="47"/>
        <v>0.76377765389699992</v>
      </c>
      <c r="I99" s="227">
        <f t="shared" si="47"/>
        <v>0.74586130737699985</v>
      </c>
      <c r="J99" s="236"/>
      <c r="K99" s="236"/>
      <c r="L99" s="236"/>
      <c r="M99" s="236"/>
      <c r="N99" s="646"/>
      <c r="O99" s="223"/>
      <c r="P99" s="30"/>
      <c r="Q99" s="30"/>
      <c r="R99" s="30"/>
      <c r="S99" s="30"/>
      <c r="T99" s="223"/>
      <c r="U99" s="30"/>
      <c r="V99" s="30"/>
      <c r="W99" s="30"/>
      <c r="X99" s="30"/>
      <c r="Y99" s="223"/>
      <c r="Z99" s="30"/>
      <c r="AA99" s="646"/>
      <c r="AB99" s="646"/>
      <c r="AC99" s="646"/>
      <c r="AD99" s="646"/>
      <c r="AE99" s="646"/>
      <c r="AF99" s="646"/>
      <c r="AG99" s="646"/>
      <c r="AH99" s="646"/>
      <c r="AI99" s="646"/>
      <c r="AJ99" s="646"/>
      <c r="AK99" s="646"/>
      <c r="AL99" s="646"/>
      <c r="AM99" s="646"/>
      <c r="AN99" s="646"/>
      <c r="AO99" s="646"/>
      <c r="AP99" s="646"/>
      <c r="AQ99" s="646"/>
      <c r="AR99" s="646"/>
      <c r="AS99" s="646"/>
      <c r="AT99" s="646"/>
      <c r="AU99" s="646"/>
      <c r="AV99" s="646"/>
      <c r="AW99" s="646"/>
      <c r="AX99" s="646"/>
      <c r="AY99" s="646"/>
      <c r="AZ99" s="646"/>
      <c r="BA99" s="646"/>
      <c r="BB99" s="646"/>
      <c r="BC99" s="646"/>
      <c r="BD99" s="646"/>
      <c r="BE99" s="646"/>
      <c r="BF99" s="646"/>
      <c r="BG99" s="646"/>
      <c r="BH99" s="646"/>
      <c r="BI99" s="646"/>
      <c r="BJ99" s="646"/>
      <c r="BK99" s="646"/>
      <c r="BL99" s="646"/>
      <c r="BM99" s="646"/>
      <c r="BN99" s="646"/>
      <c r="BO99" s="646"/>
      <c r="BP99" s="646"/>
      <c r="BQ99" s="646"/>
      <c r="BR99" s="646"/>
    </row>
    <row r="100" spans="1:70">
      <c r="A100" s="646"/>
      <c r="B100" s="646" t="s">
        <v>1286</v>
      </c>
      <c r="C100" s="227">
        <f t="shared" ref="C100:I100" si="48">C154*C292</f>
        <v>5.9172126898190874E-2</v>
      </c>
      <c r="D100" s="227">
        <f t="shared" si="48"/>
        <v>3.4181042554E-2</v>
      </c>
      <c r="E100" s="227">
        <f t="shared" si="48"/>
        <v>2.7707134105E-2</v>
      </c>
      <c r="F100" s="227">
        <f t="shared" si="48"/>
        <v>2.1679958223E-2</v>
      </c>
      <c r="G100" s="227">
        <f t="shared" si="48"/>
        <v>1.7587182076000001E-2</v>
      </c>
      <c r="H100" s="227">
        <f t="shared" si="48"/>
        <v>1.4446910283999999E-2</v>
      </c>
      <c r="I100" s="227">
        <f t="shared" si="48"/>
        <v>1.1963412933999999E-2</v>
      </c>
      <c r="J100" s="94"/>
      <c r="K100" s="94"/>
      <c r="L100" s="94"/>
      <c r="M100" s="94"/>
      <c r="N100" s="646"/>
      <c r="O100" s="646"/>
      <c r="P100" s="646"/>
      <c r="Q100" s="646"/>
      <c r="R100" s="646"/>
      <c r="S100" s="646"/>
      <c r="T100" s="646"/>
      <c r="U100" s="646"/>
      <c r="V100" s="646"/>
      <c r="W100" s="646"/>
      <c r="X100" s="646"/>
      <c r="Y100" s="646"/>
      <c r="Z100" s="646"/>
      <c r="AA100" s="646"/>
      <c r="AB100" s="646"/>
      <c r="AC100" s="646"/>
      <c r="AD100" s="646"/>
      <c r="AE100" s="646"/>
      <c r="AF100" s="646"/>
      <c r="AG100" s="646"/>
      <c r="AH100" s="646"/>
      <c r="AI100" s="646"/>
      <c r="AJ100" s="646"/>
      <c r="AK100" s="646"/>
      <c r="AL100" s="646"/>
      <c r="AM100" s="646"/>
      <c r="AN100" s="646"/>
      <c r="AO100" s="646"/>
      <c r="AP100" s="646"/>
      <c r="AQ100" s="646"/>
      <c r="AR100" s="646"/>
      <c r="AS100" s="646"/>
      <c r="AT100" s="646"/>
      <c r="AU100" s="646"/>
      <c r="AV100" s="646"/>
      <c r="AW100" s="646"/>
      <c r="AX100" s="646"/>
      <c r="AY100" s="646"/>
      <c r="AZ100" s="646"/>
      <c r="BA100" s="646"/>
      <c r="BB100" s="646"/>
      <c r="BC100" s="646"/>
      <c r="BD100" s="646"/>
      <c r="BE100" s="646"/>
      <c r="BF100" s="646"/>
      <c r="BG100" s="646"/>
      <c r="BH100" s="646"/>
      <c r="BI100" s="646"/>
      <c r="BJ100" s="646"/>
      <c r="BK100" s="646"/>
      <c r="BL100" s="646"/>
      <c r="BM100" s="646"/>
      <c r="BN100" s="646"/>
      <c r="BO100" s="646"/>
      <c r="BP100" s="646"/>
      <c r="BQ100" s="646"/>
      <c r="BR100" s="646"/>
    </row>
    <row r="101" spans="1:70">
      <c r="A101" s="646"/>
      <c r="B101" s="646" t="s">
        <v>1287</v>
      </c>
      <c r="C101" s="227">
        <f t="shared" ref="C101:I101" si="49">C160*C293</f>
        <v>3.3160278238668212E-2</v>
      </c>
      <c r="D101" s="227">
        <f t="shared" si="49"/>
        <v>4.6913554324000004E-2</v>
      </c>
      <c r="E101" s="227">
        <f t="shared" si="49"/>
        <v>3.9205251785999998E-2</v>
      </c>
      <c r="F101" s="227">
        <f t="shared" si="49"/>
        <v>3.1525302140000003E-2</v>
      </c>
      <c r="G101" s="227">
        <f t="shared" si="49"/>
        <v>2.6609351436E-2</v>
      </c>
      <c r="H101" s="227">
        <f t="shared" si="49"/>
        <v>2.2594980960000004E-2</v>
      </c>
      <c r="I101" s="227">
        <f t="shared" si="49"/>
        <v>1.9255571344000001E-2</v>
      </c>
      <c r="J101" s="30"/>
      <c r="K101" s="30"/>
      <c r="L101" s="30"/>
      <c r="M101" s="30"/>
      <c r="N101" s="30"/>
      <c r="O101" s="646"/>
      <c r="P101" s="646"/>
      <c r="Q101" s="646"/>
      <c r="R101" s="646"/>
      <c r="S101" s="646"/>
      <c r="T101" s="646"/>
      <c r="U101" s="646"/>
      <c r="V101" s="646"/>
      <c r="W101" s="646"/>
      <c r="X101" s="646"/>
      <c r="Y101" s="646"/>
      <c r="Z101" s="646"/>
      <c r="AA101" s="646"/>
      <c r="AB101" s="646"/>
      <c r="AC101" s="646"/>
      <c r="AD101" s="646"/>
      <c r="AE101" s="646"/>
      <c r="AF101" s="646"/>
      <c r="AG101" s="646"/>
      <c r="AH101" s="646"/>
      <c r="AI101" s="646"/>
      <c r="AJ101" s="646"/>
      <c r="AK101" s="646"/>
      <c r="AL101" s="646"/>
      <c r="AM101" s="646"/>
      <c r="AN101" s="646"/>
      <c r="AO101" s="646"/>
      <c r="AP101" s="646"/>
      <c r="AQ101" s="646"/>
      <c r="AR101" s="646"/>
      <c r="AS101" s="646"/>
      <c r="AT101" s="646"/>
      <c r="AU101" s="646"/>
      <c r="AV101" s="646"/>
      <c r="AW101" s="646"/>
      <c r="AX101" s="646"/>
      <c r="AY101" s="646"/>
      <c r="AZ101" s="646"/>
      <c r="BA101" s="646"/>
      <c r="BB101" s="646"/>
      <c r="BC101" s="646"/>
      <c r="BD101" s="646"/>
      <c r="BE101" s="646"/>
      <c r="BF101" s="646"/>
      <c r="BG101" s="646"/>
      <c r="BH101" s="646"/>
      <c r="BI101" s="646"/>
      <c r="BJ101" s="646"/>
      <c r="BK101" s="646"/>
      <c r="BL101" s="646"/>
      <c r="BM101" s="646"/>
      <c r="BN101" s="646"/>
      <c r="BO101" s="646"/>
      <c r="BP101" s="646"/>
      <c r="BQ101" s="646"/>
      <c r="BR101" s="646"/>
    </row>
    <row r="102" spans="1:70" ht="13">
      <c r="A102" s="646"/>
      <c r="B102" s="647"/>
      <c r="C102" s="94">
        <f t="shared" ref="C102:I102" si="50">SUM(C98:C101)</f>
        <v>1.0585962124213961</v>
      </c>
      <c r="D102" s="94">
        <f t="shared" si="50"/>
        <v>1.2030935705720001</v>
      </c>
      <c r="E102" s="94">
        <f t="shared" si="50"/>
        <v>1.197585528336</v>
      </c>
      <c r="F102" s="94">
        <f t="shared" si="50"/>
        <v>1.251005207872</v>
      </c>
      <c r="G102" s="94">
        <f t="shared" si="50"/>
        <v>1.284827492507</v>
      </c>
      <c r="H102" s="94">
        <f t="shared" si="50"/>
        <v>1.2979462166309998</v>
      </c>
      <c r="I102" s="94">
        <f t="shared" si="50"/>
        <v>1.2798610025159998</v>
      </c>
      <c r="J102" s="646"/>
      <c r="K102" s="646"/>
      <c r="L102" s="646"/>
      <c r="M102" s="646"/>
      <c r="N102" s="646"/>
      <c r="O102" s="646"/>
      <c r="P102" s="646"/>
      <c r="Q102" s="646"/>
      <c r="R102" s="646"/>
      <c r="S102" s="646"/>
      <c r="T102" s="646"/>
      <c r="U102" s="646"/>
      <c r="V102" s="646"/>
      <c r="W102" s="646"/>
      <c r="X102" s="646"/>
      <c r="Y102" s="646"/>
      <c r="Z102" s="646"/>
      <c r="AA102" s="646"/>
      <c r="AB102" s="646"/>
      <c r="AC102" s="646"/>
      <c r="AD102" s="646"/>
      <c r="AE102" s="646"/>
      <c r="AF102" s="646"/>
      <c r="AG102" s="646"/>
      <c r="AH102" s="646"/>
      <c r="AI102" s="646"/>
      <c r="AJ102" s="646"/>
      <c r="AK102" s="646"/>
      <c r="AL102" s="646"/>
      <c r="AM102" s="646"/>
      <c r="AN102" s="646"/>
      <c r="AO102" s="646"/>
      <c r="AP102" s="646"/>
      <c r="AQ102" s="646"/>
      <c r="AR102" s="646"/>
      <c r="AS102" s="646"/>
      <c r="AT102" s="646"/>
      <c r="AU102" s="646"/>
      <c r="AV102" s="646"/>
      <c r="AW102" s="646"/>
      <c r="AX102" s="646"/>
      <c r="AY102" s="646"/>
      <c r="AZ102" s="646"/>
      <c r="BA102" s="646"/>
      <c r="BB102" s="646"/>
      <c r="BC102" s="646"/>
      <c r="BD102" s="646"/>
      <c r="BE102" s="646"/>
      <c r="BF102" s="646"/>
      <c r="BG102" s="646"/>
      <c r="BH102" s="646"/>
      <c r="BI102" s="646"/>
      <c r="BJ102" s="646"/>
      <c r="BK102" s="646"/>
      <c r="BL102" s="646"/>
      <c r="BM102" s="646"/>
      <c r="BN102" s="646"/>
      <c r="BO102" s="646"/>
      <c r="BP102" s="646"/>
      <c r="BQ102" s="646"/>
      <c r="BR102" s="646"/>
    </row>
    <row r="103" spans="1:70" s="200" customFormat="1" ht="15.75" customHeight="1">
      <c r="A103" s="646"/>
      <c r="B103" s="30"/>
      <c r="C103" s="235">
        <f t="shared" ref="C103:I103" si="51">(C42-C102)/C42</f>
        <v>5.2604312534009559E-3</v>
      </c>
      <c r="D103" s="235">
        <f t="shared" si="51"/>
        <v>8.25275260529132E-4</v>
      </c>
      <c r="E103" s="235">
        <f t="shared" si="51"/>
        <v>2.2515842283002623E-2</v>
      </c>
      <c r="F103" s="235">
        <f t="shared" si="51"/>
        <v>1.3007931930918461E-2</v>
      </c>
      <c r="G103" s="235">
        <f t="shared" si="51"/>
        <v>1.9715487881929162E-2</v>
      </c>
      <c r="H103" s="235">
        <f t="shared" si="51"/>
        <v>2.4878312652618282E-2</v>
      </c>
      <c r="I103" s="235">
        <f t="shared" si="51"/>
        <v>2.6772651804810078E-2</v>
      </c>
      <c r="J103" s="30"/>
      <c r="K103" s="646"/>
      <c r="L103" s="646"/>
      <c r="M103" s="646"/>
      <c r="N103" s="646"/>
      <c r="O103" s="646"/>
      <c r="P103" s="649"/>
      <c r="Q103" s="649"/>
      <c r="R103" s="649"/>
      <c r="S103" s="649"/>
      <c r="T103" s="649"/>
      <c r="U103" s="649"/>
      <c r="V103" s="649"/>
      <c r="W103" s="649"/>
      <c r="X103" s="649"/>
      <c r="Y103" s="649"/>
      <c r="Z103" s="649"/>
      <c r="AA103" s="649"/>
      <c r="AB103" s="649"/>
      <c r="AC103" s="649"/>
      <c r="AD103" s="649"/>
      <c r="AE103" s="649"/>
      <c r="AF103" s="649"/>
      <c r="AG103" s="649"/>
      <c r="AH103" s="649"/>
      <c r="AI103" s="649"/>
      <c r="AJ103" s="649"/>
      <c r="AK103" s="649"/>
      <c r="AL103" s="30" t="s">
        <v>1291</v>
      </c>
      <c r="AM103" s="649"/>
      <c r="AN103" s="647"/>
      <c r="AO103" s="30"/>
      <c r="AP103" s="30"/>
      <c r="AQ103" s="30"/>
      <c r="AR103" s="30"/>
      <c r="AS103" s="30"/>
      <c r="AT103" s="30"/>
      <c r="AU103" s="30"/>
      <c r="AV103" s="30"/>
      <c r="AW103" s="30"/>
      <c r="AX103" s="30"/>
      <c r="AY103" s="30"/>
      <c r="AZ103" s="30"/>
      <c r="BA103" s="30"/>
      <c r="BB103" s="30"/>
      <c r="BC103" s="30"/>
      <c r="BD103" s="30"/>
      <c r="BE103" s="30"/>
      <c r="BF103" s="30"/>
      <c r="BG103" s="30"/>
      <c r="BH103" s="30"/>
      <c r="BI103" s="30"/>
      <c r="BJ103" s="30"/>
      <c r="BK103" s="30"/>
      <c r="BL103" s="30"/>
      <c r="BM103" s="30"/>
      <c r="BN103" s="30"/>
      <c r="BO103" s="30"/>
      <c r="BP103" s="30"/>
      <c r="BQ103" s="30"/>
      <c r="BR103" s="30"/>
    </row>
    <row r="104" spans="1:70" s="30" customFormat="1" ht="15.75" customHeight="1">
      <c r="A104" s="646"/>
      <c r="B104" s="646"/>
      <c r="C104" s="646"/>
      <c r="D104" s="101"/>
      <c r="E104" s="646"/>
      <c r="F104" s="646"/>
      <c r="G104" s="646"/>
      <c r="H104" s="646"/>
      <c r="I104" s="646"/>
      <c r="J104" s="646"/>
      <c r="K104" s="646"/>
      <c r="L104" s="646"/>
      <c r="M104" s="646"/>
      <c r="N104" s="646"/>
      <c r="O104" s="646"/>
      <c r="P104" s="647"/>
    </row>
    <row r="105" spans="1:70" s="30" customFormat="1" ht="13">
      <c r="A105" s="672" t="s">
        <v>1292</v>
      </c>
      <c r="B105" s="672"/>
      <c r="C105" s="672"/>
      <c r="D105" s="672"/>
      <c r="E105" s="672"/>
      <c r="F105" s="672"/>
      <c r="G105" s="672"/>
      <c r="H105" s="672"/>
      <c r="P105" s="647"/>
      <c r="Q105" s="647"/>
      <c r="R105" s="647"/>
      <c r="S105" s="647"/>
      <c r="T105" s="647"/>
      <c r="U105" s="647"/>
      <c r="V105" s="647"/>
      <c r="W105" s="647"/>
      <c r="X105" s="647"/>
      <c r="Y105" s="647"/>
      <c r="Z105" s="647"/>
      <c r="AA105" s="647"/>
      <c r="AB105" s="647"/>
      <c r="AC105" s="647"/>
      <c r="AD105" s="647"/>
      <c r="AE105" s="647"/>
      <c r="AF105" s="647"/>
      <c r="AG105" s="647"/>
      <c r="AH105" s="647"/>
      <c r="AI105" s="647"/>
      <c r="AJ105" s="647"/>
      <c r="AK105" s="647"/>
      <c r="AL105" s="647"/>
      <c r="AM105" s="647"/>
      <c r="AN105" s="647"/>
      <c r="AO105" s="647"/>
      <c r="AP105" s="647"/>
      <c r="AQ105" s="647"/>
      <c r="AR105" s="647"/>
      <c r="AS105" s="647"/>
      <c r="AT105" s="647"/>
    </row>
    <row r="106" spans="1:70" s="30" customFormat="1" ht="13">
      <c r="A106" s="672" t="s">
        <v>1183</v>
      </c>
      <c r="B106" s="672"/>
      <c r="C106" s="672"/>
      <c r="D106" s="672"/>
      <c r="E106" s="672"/>
      <c r="F106" s="672"/>
      <c r="G106" s="672"/>
      <c r="H106" s="672"/>
      <c r="L106" s="648"/>
      <c r="M106" s="648"/>
      <c r="N106" s="648"/>
      <c r="O106" s="648"/>
      <c r="P106" s="648"/>
      <c r="Q106" s="648"/>
      <c r="R106" s="648"/>
      <c r="S106" s="648"/>
      <c r="T106" s="647"/>
      <c r="U106" s="647"/>
      <c r="V106" s="647"/>
      <c r="W106" s="647"/>
      <c r="X106" s="647"/>
      <c r="Y106" s="647"/>
      <c r="Z106" s="647"/>
      <c r="AA106" s="647"/>
      <c r="AB106" s="647"/>
      <c r="AC106" s="647"/>
      <c r="AD106" s="647"/>
      <c r="AE106" s="647"/>
      <c r="AF106" s="647"/>
      <c r="AG106" s="647"/>
      <c r="AH106" s="647"/>
      <c r="AI106" s="647"/>
      <c r="AJ106" s="647"/>
      <c r="AK106" s="647"/>
      <c r="AL106" s="647"/>
      <c r="AM106" s="647"/>
      <c r="AN106" s="647"/>
      <c r="AO106" s="647"/>
      <c r="AP106" s="647"/>
      <c r="AQ106" s="647"/>
    </row>
    <row r="107" spans="1:70" s="30" customFormat="1" ht="13">
      <c r="C107" s="30" t="s">
        <v>931</v>
      </c>
      <c r="D107" s="647" t="s">
        <v>899</v>
      </c>
      <c r="E107" s="647" t="s">
        <v>168</v>
      </c>
      <c r="F107" s="647" t="s">
        <v>219</v>
      </c>
      <c r="G107" s="647" t="s">
        <v>234</v>
      </c>
      <c r="H107" s="647">
        <v>2030</v>
      </c>
      <c r="I107" s="647">
        <v>2035</v>
      </c>
      <c r="L107" s="646"/>
      <c r="M107" s="646"/>
    </row>
    <row r="108" spans="1:70" s="30" customFormat="1" ht="13">
      <c r="A108" s="30" t="s">
        <v>1185</v>
      </c>
      <c r="L108" s="648"/>
      <c r="M108" s="648"/>
    </row>
    <row r="109" spans="1:70" s="30" customFormat="1" ht="13">
      <c r="A109" s="30" t="s">
        <v>1186</v>
      </c>
      <c r="L109" s="648"/>
      <c r="M109" s="648"/>
    </row>
    <row r="110" spans="1:70" s="30" customFormat="1">
      <c r="A110" s="30" t="s">
        <v>1187</v>
      </c>
      <c r="C110" s="226">
        <v>79.6539306640625</v>
      </c>
      <c r="D110" s="646">
        <v>82.11</v>
      </c>
      <c r="E110" s="646">
        <v>85.49</v>
      </c>
      <c r="F110" s="646">
        <v>89.94</v>
      </c>
      <c r="G110" s="646">
        <v>94.26</v>
      </c>
      <c r="H110" s="646">
        <v>98.56</v>
      </c>
      <c r="I110" s="646">
        <v>102.54</v>
      </c>
      <c r="J110" s="235"/>
      <c r="L110" s="646"/>
      <c r="M110" s="646"/>
      <c r="N110" s="646"/>
      <c r="O110" s="646"/>
      <c r="P110" s="646"/>
      <c r="Q110" s="646"/>
      <c r="R110" s="646"/>
      <c r="S110" s="646"/>
      <c r="T110" s="94"/>
      <c r="U110" s="94"/>
      <c r="V110" s="94"/>
      <c r="W110" s="94"/>
      <c r="X110" s="94"/>
      <c r="Y110" s="94"/>
      <c r="Z110" s="94"/>
      <c r="AA110" s="94"/>
      <c r="AB110" s="94"/>
      <c r="AC110" s="94"/>
      <c r="AD110" s="94"/>
      <c r="AE110" s="94"/>
      <c r="AF110" s="94"/>
      <c r="AG110" s="94"/>
      <c r="AH110" s="94"/>
      <c r="AI110" s="94"/>
      <c r="AJ110" s="94"/>
      <c r="AK110" s="94"/>
      <c r="AL110" s="94"/>
      <c r="AM110" s="94"/>
      <c r="AN110" s="94"/>
      <c r="AO110" s="94"/>
      <c r="AP110" s="235"/>
    </row>
    <row r="111" spans="1:70" s="30" customFormat="1">
      <c r="A111" s="30" t="s">
        <v>1188</v>
      </c>
      <c r="C111" s="226">
        <v>24.4934978485107</v>
      </c>
      <c r="D111" s="646">
        <v>25.52</v>
      </c>
      <c r="E111" s="646">
        <v>26.98</v>
      </c>
      <c r="F111" s="646">
        <v>29.31</v>
      </c>
      <c r="G111" s="646">
        <v>31.47</v>
      </c>
      <c r="H111" s="646">
        <v>33.700000000000003</v>
      </c>
      <c r="I111" s="646">
        <v>35.96</v>
      </c>
      <c r="J111" s="235"/>
      <c r="L111" s="646"/>
      <c r="M111" s="646"/>
      <c r="N111" s="646"/>
      <c r="O111" s="646"/>
      <c r="P111" s="646"/>
      <c r="Q111" s="646"/>
      <c r="R111" s="646"/>
      <c r="S111" s="646"/>
      <c r="T111" s="94"/>
      <c r="U111" s="94"/>
      <c r="V111" s="94"/>
      <c r="W111" s="94"/>
      <c r="X111" s="94"/>
      <c r="Y111" s="94"/>
      <c r="Z111" s="94"/>
      <c r="AA111" s="94"/>
      <c r="AB111" s="94"/>
      <c r="AC111" s="94"/>
      <c r="AD111" s="94"/>
      <c r="AE111" s="94"/>
      <c r="AF111" s="94"/>
      <c r="AG111" s="94"/>
      <c r="AH111" s="94"/>
      <c r="AI111" s="94"/>
      <c r="AJ111" s="94"/>
      <c r="AK111" s="94"/>
      <c r="AL111" s="94"/>
      <c r="AM111" s="94"/>
      <c r="AN111" s="94"/>
      <c r="AO111" s="94"/>
      <c r="AP111" s="235"/>
    </row>
    <row r="112" spans="1:70" s="30" customFormat="1">
      <c r="A112" s="30" t="s">
        <v>1189</v>
      </c>
      <c r="C112" s="226">
        <v>6.9431958198547399</v>
      </c>
      <c r="D112" s="646">
        <v>6.56</v>
      </c>
      <c r="E112" s="646">
        <v>6.25</v>
      </c>
      <c r="F112" s="646">
        <v>6.56</v>
      </c>
      <c r="G112" s="646">
        <v>6.86</v>
      </c>
      <c r="H112" s="646">
        <v>7.04</v>
      </c>
      <c r="I112" s="646">
        <v>7.14</v>
      </c>
      <c r="J112" s="235"/>
      <c r="L112" s="646"/>
      <c r="M112" s="646"/>
      <c r="N112" s="646"/>
      <c r="O112" s="646"/>
      <c r="P112" s="646"/>
      <c r="Q112" s="646"/>
      <c r="R112" s="646"/>
      <c r="S112" s="646"/>
      <c r="T112" s="94"/>
      <c r="U112" s="94"/>
      <c r="V112" s="94"/>
      <c r="W112" s="94"/>
      <c r="X112" s="94"/>
      <c r="Y112" s="94"/>
      <c r="Z112" s="94"/>
      <c r="AA112" s="94"/>
      <c r="AB112" s="94"/>
      <c r="AC112" s="94"/>
      <c r="AD112" s="94"/>
      <c r="AE112" s="94"/>
      <c r="AF112" s="94"/>
      <c r="AG112" s="94"/>
      <c r="AH112" s="94"/>
      <c r="AI112" s="94"/>
      <c r="AJ112" s="94"/>
      <c r="AK112" s="94"/>
      <c r="AL112" s="94"/>
      <c r="AM112" s="94"/>
      <c r="AN112" s="94"/>
      <c r="AO112" s="94"/>
      <c r="AP112" s="235"/>
    </row>
    <row r="113" spans="1:42" s="30" customFormat="1" ht="13">
      <c r="A113" s="30" t="s">
        <v>1190</v>
      </c>
      <c r="C113" s="226">
        <v>111.090629577637</v>
      </c>
      <c r="D113" s="648">
        <v>114.19</v>
      </c>
      <c r="E113" s="648">
        <v>118.73</v>
      </c>
      <c r="F113" s="648">
        <v>125.82</v>
      </c>
      <c r="G113" s="648">
        <v>132.6</v>
      </c>
      <c r="H113" s="648">
        <v>139.30000000000001</v>
      </c>
      <c r="I113" s="648">
        <v>145.63999999999999</v>
      </c>
      <c r="J113" s="237"/>
      <c r="L113" s="648"/>
      <c r="M113" s="648"/>
      <c r="N113" s="648"/>
      <c r="O113" s="648"/>
      <c r="P113" s="648"/>
      <c r="Q113" s="648"/>
      <c r="R113" s="648"/>
      <c r="S113" s="648"/>
      <c r="T113" s="238"/>
      <c r="U113" s="238"/>
      <c r="V113" s="238"/>
      <c r="W113" s="238"/>
      <c r="X113" s="238"/>
      <c r="Y113" s="238"/>
      <c r="Z113" s="238"/>
      <c r="AA113" s="238"/>
      <c r="AB113" s="238"/>
      <c r="AC113" s="238"/>
      <c r="AD113" s="238"/>
      <c r="AE113" s="238"/>
      <c r="AF113" s="238"/>
      <c r="AG113" s="238"/>
      <c r="AH113" s="238"/>
      <c r="AI113" s="238"/>
      <c r="AJ113" s="238"/>
      <c r="AK113" s="238"/>
      <c r="AL113" s="238"/>
      <c r="AM113" s="238"/>
      <c r="AN113" s="238"/>
      <c r="AO113" s="238"/>
      <c r="AP113" s="239"/>
    </row>
    <row r="114" spans="1:42" s="30" customFormat="1">
      <c r="L114" s="646"/>
      <c r="M114" s="646"/>
    </row>
    <row r="115" spans="1:42" s="30" customFormat="1" ht="13">
      <c r="A115" s="30" t="s">
        <v>1191</v>
      </c>
      <c r="C115" s="240">
        <v>1801.65991210938</v>
      </c>
      <c r="D115" s="648">
        <v>1653</v>
      </c>
      <c r="E115" s="648">
        <v>1684</v>
      </c>
      <c r="F115" s="648">
        <v>1705</v>
      </c>
      <c r="G115" s="648">
        <v>1725</v>
      </c>
      <c r="H115" s="648">
        <v>1743</v>
      </c>
      <c r="I115" s="648">
        <v>1759</v>
      </c>
      <c r="J115" s="237"/>
      <c r="L115" s="648"/>
      <c r="M115" s="648"/>
      <c r="N115" s="648"/>
      <c r="O115" s="648"/>
      <c r="P115" s="648"/>
      <c r="Q115" s="648"/>
      <c r="R115" s="648"/>
      <c r="S115" s="648"/>
      <c r="T115" s="241"/>
      <c r="U115" s="241"/>
      <c r="V115" s="241"/>
      <c r="W115" s="241"/>
      <c r="X115" s="241"/>
      <c r="Y115" s="241"/>
      <c r="Z115" s="241"/>
      <c r="AA115" s="241"/>
      <c r="AB115" s="241"/>
      <c r="AC115" s="241"/>
      <c r="AD115" s="241"/>
      <c r="AE115" s="241"/>
      <c r="AF115" s="241"/>
      <c r="AG115" s="241"/>
      <c r="AH115" s="241"/>
      <c r="AI115" s="241"/>
      <c r="AJ115" s="241"/>
      <c r="AK115" s="241"/>
      <c r="AL115" s="241"/>
      <c r="AM115" s="241"/>
      <c r="AN115" s="241"/>
      <c r="AO115" s="241"/>
      <c r="AP115" s="239"/>
    </row>
    <row r="116" spans="1:42" s="30" customFormat="1">
      <c r="L116" s="646"/>
      <c r="M116" s="646"/>
    </row>
    <row r="117" spans="1:42" s="30" customFormat="1" ht="13">
      <c r="A117" s="30" t="s">
        <v>1293</v>
      </c>
      <c r="L117" s="648"/>
      <c r="M117" s="648"/>
    </row>
    <row r="118" spans="1:42" s="30" customFormat="1" ht="13">
      <c r="A118" s="30" t="s">
        <v>1294</v>
      </c>
      <c r="L118" s="648"/>
      <c r="M118" s="648"/>
    </row>
    <row r="119" spans="1:42" s="30" customFormat="1">
      <c r="A119" s="30" t="s">
        <v>1295</v>
      </c>
      <c r="C119" s="242">
        <v>103.666473388672</v>
      </c>
      <c r="D119" s="646">
        <v>102.1</v>
      </c>
      <c r="E119" s="646">
        <v>94.6</v>
      </c>
      <c r="F119" s="646">
        <v>90.3</v>
      </c>
      <c r="G119" s="646">
        <v>86.8</v>
      </c>
      <c r="H119" s="646">
        <v>84.2</v>
      </c>
      <c r="I119" s="646">
        <v>81.900000000000006</v>
      </c>
      <c r="J119" s="235"/>
      <c r="L119" s="646"/>
      <c r="M119" s="646"/>
      <c r="N119" s="646"/>
      <c r="O119" s="646"/>
      <c r="P119" s="646"/>
      <c r="Q119" s="646"/>
      <c r="R119" s="646"/>
      <c r="S119" s="646"/>
      <c r="T119" s="243"/>
      <c r="U119" s="243"/>
      <c r="V119" s="243"/>
      <c r="W119" s="243"/>
      <c r="X119" s="243"/>
      <c r="Y119" s="243"/>
      <c r="Z119" s="243"/>
      <c r="AA119" s="243"/>
      <c r="AB119" s="243"/>
      <c r="AC119" s="243"/>
      <c r="AD119" s="243"/>
      <c r="AE119" s="243"/>
      <c r="AF119" s="243"/>
      <c r="AG119" s="243"/>
      <c r="AH119" s="243"/>
      <c r="AI119" s="243"/>
      <c r="AJ119" s="243"/>
      <c r="AK119" s="243"/>
      <c r="AL119" s="243"/>
      <c r="AM119" s="243"/>
      <c r="AN119" s="243"/>
      <c r="AO119" s="243"/>
      <c r="AP119" s="235"/>
    </row>
    <row r="120" spans="1:42" s="30" customFormat="1">
      <c r="A120" s="30" t="s">
        <v>1296</v>
      </c>
      <c r="C120" s="242">
        <v>194.80401611328099</v>
      </c>
      <c r="D120" s="646">
        <v>193.1</v>
      </c>
      <c r="E120" s="646">
        <v>175.3</v>
      </c>
      <c r="F120" s="646">
        <v>169.8</v>
      </c>
      <c r="G120" s="646">
        <v>166.1</v>
      </c>
      <c r="H120" s="646">
        <v>162.80000000000001</v>
      </c>
      <c r="I120" s="646">
        <v>159.9</v>
      </c>
      <c r="J120" s="235"/>
      <c r="L120" s="646"/>
      <c r="M120" s="646"/>
      <c r="N120" s="646"/>
      <c r="O120" s="646"/>
      <c r="P120" s="646"/>
      <c r="Q120" s="646"/>
      <c r="R120" s="646"/>
      <c r="S120" s="646"/>
      <c r="T120" s="243"/>
      <c r="U120" s="243"/>
      <c r="V120" s="243"/>
      <c r="W120" s="243"/>
      <c r="X120" s="243"/>
      <c r="Y120" s="243"/>
      <c r="Z120" s="243"/>
      <c r="AA120" s="243"/>
      <c r="AB120" s="243"/>
      <c r="AC120" s="243"/>
      <c r="AD120" s="243"/>
      <c r="AE120" s="243"/>
      <c r="AF120" s="243"/>
      <c r="AG120" s="243"/>
      <c r="AH120" s="243"/>
      <c r="AI120" s="243"/>
      <c r="AJ120" s="243"/>
      <c r="AK120" s="243"/>
      <c r="AL120" s="243"/>
      <c r="AM120" s="243"/>
      <c r="AN120" s="243"/>
      <c r="AO120" s="243"/>
      <c r="AP120" s="235"/>
    </row>
    <row r="121" spans="1:42" s="30" customFormat="1" ht="13">
      <c r="A121" s="30" t="s">
        <v>1297</v>
      </c>
      <c r="L121" s="648"/>
      <c r="M121" s="648"/>
    </row>
    <row r="122" spans="1:42" s="30" customFormat="1">
      <c r="A122" s="30" t="s">
        <v>1295</v>
      </c>
      <c r="C122" s="242">
        <v>57.539424896240199</v>
      </c>
      <c r="D122" s="646">
        <v>61.8</v>
      </c>
      <c r="E122" s="646">
        <v>56.2</v>
      </c>
      <c r="F122" s="646">
        <v>52.9</v>
      </c>
      <c r="G122" s="646">
        <v>50.3</v>
      </c>
      <c r="H122" s="646">
        <v>48.3</v>
      </c>
      <c r="I122" s="646">
        <v>46.6</v>
      </c>
      <c r="J122" s="235"/>
      <c r="L122" s="646"/>
      <c r="M122" s="646"/>
      <c r="N122" s="646"/>
      <c r="O122" s="646"/>
      <c r="P122" s="646"/>
      <c r="Q122" s="646"/>
      <c r="R122" s="646"/>
      <c r="S122" s="646"/>
      <c r="T122" s="243"/>
      <c r="U122" s="243"/>
      <c r="V122" s="243"/>
      <c r="W122" s="243"/>
      <c r="X122" s="243"/>
      <c r="Y122" s="243"/>
      <c r="Z122" s="243"/>
      <c r="AA122" s="243"/>
      <c r="AB122" s="243"/>
      <c r="AC122" s="243"/>
      <c r="AD122" s="243"/>
      <c r="AE122" s="243"/>
      <c r="AF122" s="243"/>
      <c r="AG122" s="243"/>
      <c r="AH122" s="243"/>
      <c r="AI122" s="243"/>
      <c r="AJ122" s="243"/>
      <c r="AK122" s="243"/>
      <c r="AL122" s="243"/>
      <c r="AM122" s="243"/>
      <c r="AN122" s="243"/>
      <c r="AO122" s="243"/>
      <c r="AP122" s="235"/>
    </row>
    <row r="123" spans="1:42" s="30" customFormat="1">
      <c r="A123" s="30" t="s">
        <v>1296</v>
      </c>
      <c r="C123" s="242">
        <v>108.12474060058599</v>
      </c>
      <c r="D123" s="646">
        <v>116.8</v>
      </c>
      <c r="E123" s="646">
        <v>104.1</v>
      </c>
      <c r="F123" s="646">
        <v>99.6</v>
      </c>
      <c r="G123" s="646">
        <v>96.3</v>
      </c>
      <c r="H123" s="646">
        <v>93.4</v>
      </c>
      <c r="I123" s="646">
        <v>90.9</v>
      </c>
      <c r="J123" s="235"/>
      <c r="L123" s="646"/>
      <c r="M123" s="646"/>
      <c r="N123" s="646"/>
      <c r="O123" s="646"/>
      <c r="P123" s="646"/>
      <c r="Q123" s="646"/>
      <c r="R123" s="646"/>
      <c r="S123" s="646"/>
      <c r="T123" s="243"/>
      <c r="U123" s="243"/>
      <c r="V123" s="243"/>
      <c r="W123" s="243"/>
      <c r="X123" s="243"/>
      <c r="Y123" s="243"/>
      <c r="Z123" s="243"/>
      <c r="AA123" s="243"/>
      <c r="AB123" s="243"/>
      <c r="AC123" s="243"/>
      <c r="AD123" s="243"/>
      <c r="AE123" s="243"/>
      <c r="AF123" s="243"/>
      <c r="AG123" s="243"/>
      <c r="AH123" s="243"/>
      <c r="AI123" s="243"/>
      <c r="AJ123" s="243"/>
      <c r="AK123" s="243"/>
      <c r="AL123" s="243"/>
      <c r="AM123" s="243"/>
      <c r="AN123" s="243"/>
      <c r="AO123" s="243"/>
      <c r="AP123" s="235"/>
    </row>
    <row r="124" spans="1:42" s="30" customFormat="1">
      <c r="L124" s="646"/>
      <c r="M124" s="646"/>
    </row>
    <row r="125" spans="1:42" s="30" customFormat="1" ht="13">
      <c r="A125" s="30" t="s">
        <v>1298</v>
      </c>
      <c r="L125" s="648"/>
      <c r="M125" s="648"/>
    </row>
    <row r="126" spans="1:42" s="30" customFormat="1" ht="13">
      <c r="A126" s="30" t="s">
        <v>1299</v>
      </c>
      <c r="L126" s="648"/>
      <c r="M126" s="648"/>
    </row>
    <row r="127" spans="1:42" s="30" customFormat="1" ht="14">
      <c r="A127" s="30" t="s">
        <v>1300</v>
      </c>
      <c r="C127" s="92">
        <v>0.31044062972068798</v>
      </c>
      <c r="D127" s="91">
        <v>0.37431599999999998</v>
      </c>
      <c r="E127" s="91">
        <v>0.37431599999999998</v>
      </c>
      <c r="F127" s="91">
        <v>0.350018</v>
      </c>
      <c r="G127" s="91">
        <v>0.346829</v>
      </c>
      <c r="H127" s="91">
        <v>0.34055000000000002</v>
      </c>
      <c r="I127" s="91">
        <v>0.33205000000000001</v>
      </c>
      <c r="J127" s="91">
        <v>0.32287399999999999</v>
      </c>
      <c r="L127" s="646"/>
      <c r="M127" s="469" t="s">
        <v>1301</v>
      </c>
      <c r="N127" s="470"/>
      <c r="O127" s="470"/>
      <c r="P127" s="470"/>
      <c r="Q127" s="470"/>
      <c r="R127" s="470"/>
      <c r="S127" s="470"/>
      <c r="T127" s="470"/>
      <c r="U127" s="470"/>
      <c r="V127" s="470"/>
      <c r="W127" s="470"/>
      <c r="X127" s="470"/>
      <c r="Y127" s="94"/>
      <c r="Z127" s="94"/>
      <c r="AA127" s="94"/>
      <c r="AB127" s="94"/>
      <c r="AC127" s="94"/>
      <c r="AD127" s="94"/>
      <c r="AE127" s="94"/>
      <c r="AF127" s="94"/>
      <c r="AG127" s="94"/>
      <c r="AH127" s="94"/>
      <c r="AI127" s="94"/>
      <c r="AJ127" s="94"/>
      <c r="AK127" s="94"/>
      <c r="AL127" s="94"/>
      <c r="AM127" s="94"/>
      <c r="AN127" s="94"/>
      <c r="AO127" s="94"/>
      <c r="AP127" s="235"/>
    </row>
    <row r="128" spans="1:42" s="30" customFormat="1">
      <c r="A128" s="30" t="s">
        <v>1302</v>
      </c>
      <c r="C128" s="92">
        <v>0.821350157260895</v>
      </c>
      <c r="D128" s="91">
        <v>0.82708599999999999</v>
      </c>
      <c r="E128" s="91">
        <v>0.82708599999999999</v>
      </c>
      <c r="F128" s="91">
        <v>0.88810500000000003</v>
      </c>
      <c r="G128" s="91">
        <v>0.97562300000000002</v>
      </c>
      <c r="H128" s="91">
        <v>1.066975</v>
      </c>
      <c r="I128" s="91">
        <v>1.1596200000000001</v>
      </c>
      <c r="J128" s="91">
        <v>1.2522930000000001</v>
      </c>
      <c r="L128" s="646"/>
      <c r="M128" s="470"/>
      <c r="N128" s="470"/>
      <c r="O128" s="471">
        <v>2010</v>
      </c>
      <c r="P128" s="471">
        <v>2015</v>
      </c>
      <c r="Q128" s="471">
        <v>2020</v>
      </c>
      <c r="R128" s="471">
        <v>2025</v>
      </c>
      <c r="S128" s="471">
        <v>2030</v>
      </c>
      <c r="T128" s="471">
        <v>2035</v>
      </c>
      <c r="U128" s="471">
        <v>2040</v>
      </c>
      <c r="V128" s="471">
        <v>2045</v>
      </c>
      <c r="W128" s="471">
        <v>2050</v>
      </c>
      <c r="X128" s="471">
        <v>2055</v>
      </c>
      <c r="Y128" s="94"/>
      <c r="Z128" s="94"/>
      <c r="AA128" s="94"/>
      <c r="AB128" s="94"/>
      <c r="AC128" s="94"/>
      <c r="AD128" s="94"/>
      <c r="AE128" s="94"/>
      <c r="AF128" s="94"/>
      <c r="AG128" s="94"/>
      <c r="AH128" s="94"/>
      <c r="AI128" s="94"/>
      <c r="AJ128" s="94"/>
      <c r="AK128" s="94"/>
      <c r="AL128" s="94"/>
      <c r="AM128" s="94"/>
      <c r="AN128" s="94"/>
      <c r="AO128" s="94"/>
      <c r="AP128" s="235"/>
    </row>
    <row r="129" spans="1:42" s="30" customFormat="1">
      <c r="A129" s="30" t="s">
        <v>1303</v>
      </c>
      <c r="C129" s="92">
        <v>0.382184237241745</v>
      </c>
      <c r="D129" s="91">
        <v>0.43712200000000001</v>
      </c>
      <c r="E129" s="91">
        <v>0.43712200000000001</v>
      </c>
      <c r="F129" s="91">
        <v>0.47446500000000003</v>
      </c>
      <c r="G129" s="91">
        <v>0.49104300000000001</v>
      </c>
      <c r="H129" s="91">
        <v>0.50100999999999996</v>
      </c>
      <c r="I129" s="91">
        <v>0.50321700000000003</v>
      </c>
      <c r="J129" s="91">
        <v>0.50572600000000001</v>
      </c>
      <c r="L129" s="646"/>
      <c r="M129" s="470" t="s">
        <v>1304</v>
      </c>
      <c r="N129" s="472" t="s">
        <v>1305</v>
      </c>
      <c r="O129" s="473">
        <v>5.8956455863568456E-6</v>
      </c>
      <c r="P129" s="473">
        <v>5.8174292682496378E-6</v>
      </c>
      <c r="Q129" s="473">
        <v>5.6385025311668539E-6</v>
      </c>
      <c r="R129" s="473">
        <v>5.4108459566783177E-6</v>
      </c>
      <c r="S129" s="473">
        <v>5.1910538736486155E-6</v>
      </c>
      <c r="T129" s="473">
        <v>4.9883146904680135E-6</v>
      </c>
      <c r="U129" s="473">
        <v>4.7925368748317626E-6</v>
      </c>
      <c r="V129" s="473">
        <v>4.6044428072093538E-6</v>
      </c>
      <c r="W129" s="473">
        <v>4.4237309213413597E-6</v>
      </c>
      <c r="X129" s="473">
        <v>4.2501114866257258E-6</v>
      </c>
      <c r="Y129" s="94"/>
      <c r="Z129" s="94"/>
      <c r="AA129" s="94"/>
      <c r="AB129" s="94"/>
      <c r="AC129" s="94"/>
      <c r="AD129" s="94"/>
      <c r="AE129" s="94"/>
      <c r="AF129" s="94"/>
      <c r="AG129" s="94"/>
      <c r="AH129" s="94"/>
      <c r="AI129" s="94"/>
      <c r="AJ129" s="94"/>
      <c r="AK129" s="94"/>
      <c r="AL129" s="94"/>
      <c r="AM129" s="94"/>
      <c r="AN129" s="94"/>
      <c r="AO129" s="94"/>
      <c r="AP129" s="235"/>
    </row>
    <row r="130" spans="1:42" s="30" customFormat="1">
      <c r="A130" s="30" t="s">
        <v>1306</v>
      </c>
      <c r="C130" s="92">
        <v>0.39436101913452098</v>
      </c>
      <c r="D130" s="91">
        <v>0.37790699999999999</v>
      </c>
      <c r="E130" s="91">
        <f>D130*$P$137/$O$137</f>
        <v>0.38577232157370045</v>
      </c>
      <c r="F130" s="91">
        <f>D130*Q$137/$O$137</f>
        <v>0.37514000912351314</v>
      </c>
      <c r="G130" s="91">
        <f>E130*R$137/$O$137</f>
        <v>0.36781029980392183</v>
      </c>
      <c r="H130" s="91">
        <f t="shared" ref="H130:J140" si="52">F130*S$137/$O$137</f>
        <v>0.35333919493138671</v>
      </c>
      <c r="I130" s="91">
        <f t="shared" si="52"/>
        <v>0.34687218895219674</v>
      </c>
      <c r="J130" s="91">
        <f t="shared" si="52"/>
        <v>0.33606819046310171</v>
      </c>
      <c r="L130" s="646"/>
      <c r="M130" s="470" t="s">
        <v>1307</v>
      </c>
      <c r="N130" s="472" t="s">
        <v>1305</v>
      </c>
      <c r="O130" s="473">
        <v>1.0968653823796818E-5</v>
      </c>
      <c r="P130" s="473">
        <v>9.596099890615481E-6</v>
      </c>
      <c r="Q130" s="473">
        <v>9.1321923182592453E-6</v>
      </c>
      <c r="R130" s="473">
        <v>8.8734774593837495E-6</v>
      </c>
      <c r="S130" s="473">
        <v>8.6714720874766991E-6</v>
      </c>
      <c r="T130" s="473">
        <v>8.5791195184934895E-6</v>
      </c>
      <c r="U130" s="473">
        <v>8.5068549399819305E-6</v>
      </c>
      <c r="V130" s="473">
        <v>8.4351990683774368E-6</v>
      </c>
      <c r="W130" s="473">
        <v>8.3641467763533664E-6</v>
      </c>
      <c r="X130" s="473">
        <v>8.2936929797721357E-6</v>
      </c>
      <c r="Y130" s="94"/>
      <c r="Z130" s="94"/>
      <c r="AA130" s="94"/>
      <c r="AB130" s="94"/>
      <c r="AC130" s="94"/>
      <c r="AD130" s="94"/>
      <c r="AE130" s="94"/>
      <c r="AF130" s="94"/>
      <c r="AG130" s="94"/>
      <c r="AH130" s="94"/>
      <c r="AI130" s="94"/>
      <c r="AJ130" s="94"/>
      <c r="AK130" s="94"/>
      <c r="AL130" s="94"/>
      <c r="AM130" s="94"/>
      <c r="AN130" s="94"/>
      <c r="AO130" s="94"/>
      <c r="AP130" s="235"/>
    </row>
    <row r="131" spans="1:42" s="30" customFormat="1">
      <c r="A131" s="30" t="s">
        <v>1308</v>
      </c>
      <c r="C131" s="92">
        <v>0.102017246186733</v>
      </c>
      <c r="D131" s="91">
        <v>0.105281</v>
      </c>
      <c r="E131" s="91">
        <f t="shared" ref="E131:E140" si="53">D131*$P$137/$O$137</f>
        <v>0.10747219762428523</v>
      </c>
      <c r="F131" s="91">
        <f t="shared" ref="F131:G140" si="54">D131*Q$137/$O$137</f>
        <v>0.1045101448254004</v>
      </c>
      <c r="G131" s="91">
        <f t="shared" si="54"/>
        <v>0.10246816326148152</v>
      </c>
      <c r="H131" s="91">
        <f t="shared" si="52"/>
        <v>9.8436662410517212E-2</v>
      </c>
      <c r="I131" s="91">
        <f t="shared" si="52"/>
        <v>9.6635021116508096E-2</v>
      </c>
      <c r="J131" s="91">
        <f t="shared" si="52"/>
        <v>9.3625138354531179E-2</v>
      </c>
      <c r="L131" s="646"/>
      <c r="M131" s="470"/>
      <c r="N131" s="470"/>
      <c r="O131" s="470"/>
      <c r="P131" s="470"/>
      <c r="Q131" s="470"/>
      <c r="R131" s="470"/>
      <c r="S131" s="470"/>
      <c r="T131" s="470"/>
      <c r="U131" s="470"/>
      <c r="V131" s="470"/>
      <c r="W131" s="470"/>
      <c r="X131" s="470"/>
      <c r="Y131" s="94"/>
      <c r="Z131" s="94"/>
      <c r="AA131" s="94"/>
      <c r="AB131" s="94"/>
      <c r="AC131" s="94"/>
      <c r="AD131" s="94"/>
      <c r="AE131" s="94"/>
      <c r="AF131" s="94"/>
      <c r="AG131" s="94"/>
      <c r="AH131" s="94"/>
      <c r="AI131" s="94"/>
      <c r="AJ131" s="94"/>
      <c r="AK131" s="94"/>
      <c r="AL131" s="94"/>
      <c r="AM131" s="94"/>
      <c r="AN131" s="94"/>
      <c r="AO131" s="94"/>
      <c r="AP131" s="235"/>
    </row>
    <row r="132" spans="1:42" s="30" customFormat="1">
      <c r="A132" s="30" t="s">
        <v>1309</v>
      </c>
      <c r="C132" s="92">
        <v>0.25261107087135298</v>
      </c>
      <c r="D132" s="91">
        <v>0.198571</v>
      </c>
      <c r="E132" s="91">
        <f t="shared" si="53"/>
        <v>0.20270382836838499</v>
      </c>
      <c r="F132" s="91">
        <f t="shared" si="54"/>
        <v>0.19711708635104702</v>
      </c>
      <c r="G132" s="91">
        <f t="shared" si="54"/>
        <v>0.19326569511113728</v>
      </c>
      <c r="H132" s="91">
        <f t="shared" si="52"/>
        <v>0.18566186198382248</v>
      </c>
      <c r="I132" s="91">
        <f t="shared" si="52"/>
        <v>0.18226377768188115</v>
      </c>
      <c r="J132" s="91">
        <f t="shared" si="52"/>
        <v>0.17658682334132098</v>
      </c>
      <c r="L132" s="646"/>
      <c r="M132" s="470" t="s">
        <v>1310</v>
      </c>
      <c r="N132" s="470"/>
      <c r="O132" s="470"/>
      <c r="P132" s="470"/>
      <c r="Q132" s="470"/>
      <c r="R132" s="470"/>
      <c r="S132" s="470"/>
      <c r="T132" s="470"/>
      <c r="U132" s="470"/>
      <c r="V132" s="470"/>
      <c r="W132" s="470"/>
      <c r="X132" s="470"/>
      <c r="Y132" s="94"/>
      <c r="Z132" s="94"/>
      <c r="AA132" s="94"/>
      <c r="AB132" s="94"/>
      <c r="AC132" s="94"/>
      <c r="AD132" s="94"/>
      <c r="AE132" s="94"/>
      <c r="AF132" s="94"/>
      <c r="AG132" s="94"/>
      <c r="AH132" s="94"/>
      <c r="AI132" s="94"/>
      <c r="AJ132" s="94"/>
      <c r="AK132" s="94"/>
      <c r="AL132" s="94"/>
      <c r="AM132" s="94"/>
      <c r="AN132" s="94"/>
      <c r="AO132" s="94"/>
      <c r="AP132" s="235"/>
    </row>
    <row r="133" spans="1:42" s="30" customFormat="1">
      <c r="A133" s="30" t="s">
        <v>1311</v>
      </c>
      <c r="C133" s="92">
        <v>8.3529256284236894E-2</v>
      </c>
      <c r="D133" s="91">
        <v>7.9626000000000002E-2</v>
      </c>
      <c r="E133" s="91">
        <f t="shared" si="53"/>
        <v>8.1283243966445387E-2</v>
      </c>
      <c r="F133" s="91">
        <f t="shared" si="54"/>
        <v>7.9042987736318349E-2</v>
      </c>
      <c r="G133" s="91">
        <f t="shared" si="54"/>
        <v>7.7498598682181299E-2</v>
      </c>
      <c r="H133" s="91">
        <f t="shared" si="52"/>
        <v>7.4449498780405229E-2</v>
      </c>
      <c r="I133" s="91">
        <f t="shared" si="52"/>
        <v>7.3086883591750432E-2</v>
      </c>
      <c r="J133" s="91">
        <f t="shared" si="52"/>
        <v>7.0810452661143969E-2</v>
      </c>
      <c r="L133" s="646"/>
      <c r="M133" s="474" t="s">
        <v>1312</v>
      </c>
      <c r="N133" s="474"/>
      <c r="O133" s="475">
        <v>2.083145735851658E-3</v>
      </c>
      <c r="P133" s="475">
        <v>1.9457415936483652E-3</v>
      </c>
      <c r="Q133" s="475">
        <v>1.9223577974795834E-3</v>
      </c>
      <c r="R133" s="475">
        <v>1.9145957621778599E-3</v>
      </c>
      <c r="S133" s="475">
        <v>1.9201780895192703E-3</v>
      </c>
      <c r="T133" s="475">
        <v>1.9313425376328301E-3</v>
      </c>
      <c r="U133" s="475">
        <v>1.9381380395832055E-3</v>
      </c>
      <c r="V133" s="475">
        <v>1.9449574517648616E-3</v>
      </c>
      <c r="W133" s="475">
        <v>1.9518008583068543E-3</v>
      </c>
      <c r="X133" s="475">
        <v>1.9586683436342497E-3</v>
      </c>
      <c r="Y133" s="94"/>
      <c r="Z133" s="94"/>
      <c r="AA133" s="94"/>
      <c r="AB133" s="94"/>
      <c r="AC133" s="94"/>
      <c r="AD133" s="94"/>
      <c r="AE133" s="94"/>
      <c r="AF133" s="94"/>
      <c r="AG133" s="94"/>
      <c r="AH133" s="94"/>
      <c r="AI133" s="94"/>
      <c r="AJ133" s="94"/>
      <c r="AK133" s="94"/>
      <c r="AL133" s="94"/>
      <c r="AM133" s="94"/>
      <c r="AN133" s="94"/>
      <c r="AO133" s="94"/>
      <c r="AP133" s="235"/>
    </row>
    <row r="134" spans="1:42" s="30" customFormat="1">
      <c r="A134" s="30" t="s">
        <v>1313</v>
      </c>
      <c r="C134" s="92">
        <v>0.72674226760864302</v>
      </c>
      <c r="D134" s="91">
        <v>0.63835299999999995</v>
      </c>
      <c r="E134" s="91">
        <f t="shared" si="53"/>
        <v>0.65163894501434594</v>
      </c>
      <c r="F134" s="91">
        <f t="shared" si="54"/>
        <v>0.63367905395777779</v>
      </c>
      <c r="G134" s="91">
        <f t="shared" si="54"/>
        <v>0.6212978545269946</v>
      </c>
      <c r="H134" s="91">
        <f t="shared" si="52"/>
        <v>0.5968535515405522</v>
      </c>
      <c r="I134" s="91">
        <f t="shared" si="52"/>
        <v>0.58592961346098826</v>
      </c>
      <c r="J134" s="91">
        <f t="shared" si="52"/>
        <v>0.56767971375680348</v>
      </c>
      <c r="L134" s="646"/>
      <c r="M134" s="474" t="s">
        <v>1314</v>
      </c>
      <c r="N134" s="474"/>
      <c r="O134" s="475">
        <v>4.5550045468802401E-4</v>
      </c>
      <c r="P134" s="475">
        <v>3.8840176908535109E-4</v>
      </c>
      <c r="Q134" s="475">
        <v>3.7870669464693739E-4</v>
      </c>
      <c r="R134" s="475">
        <v>3.7010797342646031E-4</v>
      </c>
      <c r="S134" s="475">
        <v>3.6234250015408078E-4</v>
      </c>
      <c r="T134" s="475">
        <v>3.5518811836054065E-4</v>
      </c>
      <c r="U134" s="475">
        <v>3.4859689009023671E-4</v>
      </c>
      <c r="V134" s="475">
        <v>3.421279752867001E-4</v>
      </c>
      <c r="W134" s="475">
        <v>3.3577910417811608E-4</v>
      </c>
      <c r="X134" s="475">
        <v>3.2954804911284051E-4</v>
      </c>
      <c r="Y134" s="94"/>
      <c r="Z134" s="94"/>
      <c r="AA134" s="94"/>
      <c r="AB134" s="94"/>
      <c r="AC134" s="94"/>
      <c r="AD134" s="94"/>
      <c r="AE134" s="94"/>
      <c r="AF134" s="94"/>
      <c r="AG134" s="94"/>
      <c r="AH134" s="94"/>
      <c r="AI134" s="94"/>
      <c r="AJ134" s="94"/>
      <c r="AK134" s="94"/>
      <c r="AL134" s="94"/>
      <c r="AM134" s="94"/>
      <c r="AN134" s="94"/>
      <c r="AO134" s="94"/>
      <c r="AP134" s="235"/>
    </row>
    <row r="135" spans="1:42" s="30" customFormat="1">
      <c r="A135" s="30" t="s">
        <v>1315</v>
      </c>
      <c r="C135" s="92">
        <v>3.4679807722568498E-2</v>
      </c>
      <c r="D135" s="91">
        <v>3.1628999999999997E-2</v>
      </c>
      <c r="E135" s="91">
        <f t="shared" si="53"/>
        <v>3.2287289621665043E-2</v>
      </c>
      <c r="F135" s="91">
        <f t="shared" si="54"/>
        <v>3.1397416159445565E-2</v>
      </c>
      <c r="G135" s="91">
        <f t="shared" si="54"/>
        <v>3.0783954709751985E-2</v>
      </c>
      <c r="H135" s="91">
        <f t="shared" si="52"/>
        <v>2.9572792767757223E-2</v>
      </c>
      <c r="I135" s="91">
        <f t="shared" si="52"/>
        <v>2.903153544223587E-2</v>
      </c>
      <c r="J135" s="91">
        <f t="shared" si="52"/>
        <v>2.8127292683537065E-2</v>
      </c>
      <c r="L135" s="646"/>
      <c r="M135" s="474" t="s">
        <v>1271</v>
      </c>
      <c r="N135" s="474"/>
      <c r="O135" s="475">
        <v>2.6039135677495577E-3</v>
      </c>
      <c r="P135" s="475">
        <v>2.6039135677495577E-3</v>
      </c>
      <c r="Q135" s="475">
        <v>2.6039135677495577E-3</v>
      </c>
      <c r="R135" s="475">
        <v>2.6039135677495577E-3</v>
      </c>
      <c r="S135" s="475">
        <v>2.6039135677495577E-3</v>
      </c>
      <c r="T135" s="475">
        <v>2.6039135677495577E-3</v>
      </c>
      <c r="U135" s="475">
        <v>2.6039135677495577E-3</v>
      </c>
      <c r="V135" s="475">
        <v>2.6039135677495577E-3</v>
      </c>
      <c r="W135" s="475">
        <v>2.6039135677495577E-3</v>
      </c>
      <c r="X135" s="475">
        <v>2.6039135677495577E-3</v>
      </c>
      <c r="Y135" s="94"/>
      <c r="Z135" s="94"/>
      <c r="AA135" s="94"/>
      <c r="AB135" s="94"/>
      <c r="AC135" s="94"/>
      <c r="AD135" s="94"/>
      <c r="AE135" s="94"/>
      <c r="AF135" s="94"/>
      <c r="AG135" s="94"/>
      <c r="AH135" s="94"/>
      <c r="AI135" s="94"/>
      <c r="AJ135" s="94"/>
      <c r="AK135" s="94"/>
      <c r="AL135" s="94"/>
      <c r="AM135" s="94"/>
      <c r="AN135" s="94"/>
      <c r="AO135" s="94"/>
      <c r="AP135" s="235"/>
    </row>
    <row r="136" spans="1:42" s="30" customFormat="1">
      <c r="A136" s="30" t="s">
        <v>1316</v>
      </c>
      <c r="C136" s="92">
        <v>9.5851413905620603E-2</v>
      </c>
      <c r="D136" s="91">
        <v>9.9588999999999997E-2</v>
      </c>
      <c r="E136" s="91">
        <f t="shared" si="53"/>
        <v>0.10166173088406211</v>
      </c>
      <c r="F136" s="91">
        <f t="shared" si="54"/>
        <v>9.8859820984002811E-2</v>
      </c>
      <c r="G136" s="91">
        <f t="shared" si="54"/>
        <v>9.6928238818473261E-2</v>
      </c>
      <c r="H136" s="91">
        <f t="shared" si="52"/>
        <v>9.3114700399891712E-2</v>
      </c>
      <c r="I136" s="91">
        <f t="shared" si="52"/>
        <v>9.1410464546992573E-2</v>
      </c>
      <c r="J136" s="91">
        <f t="shared" si="52"/>
        <v>8.8563310602952153E-2</v>
      </c>
      <c r="L136" s="646"/>
      <c r="M136" s="470" t="s">
        <v>1317</v>
      </c>
      <c r="N136" s="470"/>
      <c r="O136" s="476">
        <v>7.4135093761553772E-3</v>
      </c>
      <c r="P136" s="476">
        <v>6.768988003431356E-3</v>
      </c>
      <c r="Q136" s="476">
        <v>6.5786296287150244E-3</v>
      </c>
      <c r="R136" s="476">
        <v>6.3794289838446146E-3</v>
      </c>
      <c r="S136" s="476">
        <v>6.1632750772278042E-3</v>
      </c>
      <c r="T136" s="476">
        <v>5.8503811553142345E-3</v>
      </c>
      <c r="U136" s="476">
        <v>5.5326782682965986E-3</v>
      </c>
      <c r="V136" s="476">
        <v>5.2322281246028153E-3</v>
      </c>
      <c r="W136" s="476">
        <v>4.9480938200863944E-3</v>
      </c>
      <c r="X136" s="476">
        <v>4.6793893288503644E-3</v>
      </c>
      <c r="Y136" s="94"/>
      <c r="Z136" s="94"/>
      <c r="AA136" s="94"/>
      <c r="AB136" s="94"/>
      <c r="AC136" s="94"/>
      <c r="AD136" s="94"/>
      <c r="AE136" s="94"/>
      <c r="AF136" s="94"/>
      <c r="AG136" s="94"/>
      <c r="AH136" s="94"/>
      <c r="AI136" s="94"/>
      <c r="AJ136" s="94"/>
      <c r="AK136" s="94"/>
      <c r="AL136" s="94"/>
      <c r="AM136" s="94"/>
      <c r="AN136" s="94"/>
      <c r="AO136" s="94"/>
      <c r="AP136" s="235"/>
    </row>
    <row r="137" spans="1:42" s="30" customFormat="1">
      <c r="A137" s="30" t="s">
        <v>1318</v>
      </c>
      <c r="C137" s="92">
        <v>0.29940426349639898</v>
      </c>
      <c r="D137" s="91">
        <v>0.33408399999999999</v>
      </c>
      <c r="E137" s="91">
        <f t="shared" si="53"/>
        <v>0.34103724006337049</v>
      </c>
      <c r="F137" s="91">
        <f t="shared" si="54"/>
        <v>0.33163787600658295</v>
      </c>
      <c r="G137" s="91">
        <f t="shared" si="54"/>
        <v>0.32515813731868803</v>
      </c>
      <c r="H137" s="91">
        <f t="shared" si="52"/>
        <v>0.31236513639455576</v>
      </c>
      <c r="I137" s="91">
        <f t="shared" si="52"/>
        <v>0.30664805990337757</v>
      </c>
      <c r="J137" s="91">
        <f t="shared" si="52"/>
        <v>0.29709691893157536</v>
      </c>
      <c r="L137" s="646"/>
      <c r="M137" s="470" t="s">
        <v>1319</v>
      </c>
      <c r="N137" s="470"/>
      <c r="O137" s="476">
        <v>1.1989772309922556E-2</v>
      </c>
      <c r="P137" s="476">
        <v>1.2239313638379002E-2</v>
      </c>
      <c r="Q137" s="476">
        <v>1.190198459867955E-2</v>
      </c>
      <c r="R137" s="476">
        <v>1.1431514137415553E-2</v>
      </c>
      <c r="S137" s="476">
        <v>1.1293000992607629E-2</v>
      </c>
      <c r="T137" s="476">
        <v>1.1307237911495072E-2</v>
      </c>
      <c r="U137" s="476">
        <v>1.1403719547848981E-2</v>
      </c>
      <c r="V137" s="476">
        <v>1.150102443619656E-2</v>
      </c>
      <c r="W137" s="476">
        <v>1.1599159601126846E-2</v>
      </c>
      <c r="X137" s="476">
        <v>1.1698132127167814E-2</v>
      </c>
      <c r="Y137" s="94"/>
      <c r="Z137" s="94"/>
      <c r="AA137" s="94"/>
      <c r="AB137" s="94"/>
      <c r="AC137" s="94"/>
      <c r="AD137" s="94"/>
      <c r="AE137" s="94"/>
      <c r="AF137" s="94"/>
      <c r="AG137" s="94"/>
      <c r="AH137" s="94"/>
      <c r="AI137" s="94"/>
      <c r="AJ137" s="94"/>
      <c r="AK137" s="94"/>
      <c r="AL137" s="94"/>
      <c r="AM137" s="94"/>
      <c r="AN137" s="94"/>
      <c r="AO137" s="94"/>
      <c r="AP137" s="235"/>
    </row>
    <row r="138" spans="1:42" s="30" customFormat="1">
      <c r="A138" s="30" t="s">
        <v>1320</v>
      </c>
      <c r="C138" s="92">
        <v>6.5222315490245805E-2</v>
      </c>
      <c r="D138" s="91">
        <v>0.12784400000000001</v>
      </c>
      <c r="E138" s="91">
        <f t="shared" si="53"/>
        <v>0.13050479795099895</v>
      </c>
      <c r="F138" s="91">
        <f t="shared" si="54"/>
        <v>0.12690794117702614</v>
      </c>
      <c r="G138" s="91">
        <f t="shared" si="54"/>
        <v>0.12442833810469926</v>
      </c>
      <c r="H138" s="91">
        <f t="shared" si="52"/>
        <v>0.11953283754153327</v>
      </c>
      <c r="I138" s="91">
        <f t="shared" si="52"/>
        <v>0.11734508258488106</v>
      </c>
      <c r="J138" s="91">
        <f t="shared" si="52"/>
        <v>0.1136901453044394</v>
      </c>
      <c r="L138" s="646"/>
      <c r="M138" s="470" t="s">
        <v>1321</v>
      </c>
      <c r="N138" s="470"/>
      <c r="O138" s="476">
        <v>2.8993423616778141E-3</v>
      </c>
      <c r="P138" s="476">
        <v>2.7400147340475552E-3</v>
      </c>
      <c r="Q138" s="476">
        <v>2.5591609104720953E-3</v>
      </c>
      <c r="R138" s="476">
        <v>2.37721909368559E-3</v>
      </c>
      <c r="S138" s="476">
        <v>2.2373659538174706E-3</v>
      </c>
      <c r="T138" s="476">
        <v>2.1299567091384625E-3</v>
      </c>
      <c r="U138" s="476">
        <v>2.0316388756899751E-3</v>
      </c>
      <c r="V138" s="476">
        <v>1.9378593487397048E-3</v>
      </c>
      <c r="W138" s="476">
        <v>1.8484086421227377E-3</v>
      </c>
      <c r="X138" s="476">
        <v>1.7630869394603037E-3</v>
      </c>
      <c r="Y138" s="94"/>
      <c r="Z138" s="94"/>
      <c r="AA138" s="94"/>
      <c r="AB138" s="94"/>
      <c r="AC138" s="94"/>
      <c r="AD138" s="94"/>
      <c r="AE138" s="94"/>
      <c r="AF138" s="94"/>
      <c r="AG138" s="94"/>
      <c r="AH138" s="94"/>
      <c r="AI138" s="94"/>
      <c r="AJ138" s="94"/>
      <c r="AK138" s="94"/>
      <c r="AL138" s="94"/>
      <c r="AM138" s="94"/>
      <c r="AN138" s="94"/>
      <c r="AO138" s="94"/>
      <c r="AP138" s="235"/>
    </row>
    <row r="139" spans="1:42" s="30" customFormat="1">
      <c r="A139" s="30" t="s">
        <v>1322</v>
      </c>
      <c r="C139" s="92">
        <v>5.9013724327087402E-2</v>
      </c>
      <c r="D139" s="91">
        <v>0.11804000000000001</v>
      </c>
      <c r="E139" s="91">
        <f t="shared" si="53"/>
        <v>0.12049674877300395</v>
      </c>
      <c r="F139" s="91">
        <f t="shared" si="54"/>
        <v>0.11717572491893373</v>
      </c>
      <c r="G139" s="91">
        <f t="shared" si="54"/>
        <v>0.11488627569442994</v>
      </c>
      <c r="H139" s="91">
        <f t="shared" si="52"/>
        <v>0.1103661974234425</v>
      </c>
      <c r="I139" s="91">
        <f t="shared" si="52"/>
        <v>0.10834621529613717</v>
      </c>
      <c r="J139" s="91">
        <f t="shared" si="52"/>
        <v>0.10497156496774213</v>
      </c>
      <c r="L139" s="646"/>
      <c r="M139" s="470" t="s">
        <v>1323</v>
      </c>
      <c r="N139" s="470"/>
      <c r="O139" s="476">
        <v>9.7502371797250371E-4</v>
      </c>
      <c r="P139" s="476">
        <v>3.8709549788717225E-4</v>
      </c>
      <c r="Q139" s="476">
        <v>3.7524529988011078E-4</v>
      </c>
      <c r="R139" s="476">
        <v>3.6219491493029568E-4</v>
      </c>
      <c r="S139" s="476">
        <v>3.5391300973412412E-4</v>
      </c>
      <c r="T139" s="476">
        <v>3.4810566769233803E-4</v>
      </c>
      <c r="U139" s="476">
        <v>3.4274874343835936E-4</v>
      </c>
      <c r="V139" s="476">
        <v>3.3747425575501481E-4</v>
      </c>
      <c r="W139" s="476">
        <v>3.3228093604341152E-4</v>
      </c>
      <c r="X139" s="476">
        <v>3.2716753522685579E-4</v>
      </c>
      <c r="Y139" s="94"/>
      <c r="Z139" s="94"/>
      <c r="AA139" s="94"/>
      <c r="AB139" s="94"/>
      <c r="AC139" s="94"/>
      <c r="AD139" s="94"/>
      <c r="AE139" s="94"/>
      <c r="AF139" s="94"/>
      <c r="AG139" s="94"/>
      <c r="AH139" s="94"/>
      <c r="AI139" s="94"/>
      <c r="AJ139" s="94"/>
      <c r="AK139" s="94"/>
      <c r="AL139" s="94"/>
      <c r="AM139" s="94"/>
      <c r="AN139" s="94"/>
      <c r="AO139" s="94"/>
      <c r="AP139" s="235"/>
    </row>
    <row r="140" spans="1:42" s="30" customFormat="1">
      <c r="A140" s="30" t="s">
        <v>1324</v>
      </c>
      <c r="C140" s="92">
        <v>1.01017153263092</v>
      </c>
      <c r="D140" s="91">
        <v>1.1051420000000001</v>
      </c>
      <c r="E140" s="91">
        <f t="shared" si="53"/>
        <v>1.1281431542908773</v>
      </c>
      <c r="F140" s="91">
        <f t="shared" si="54"/>
        <v>1.0970502794676404</v>
      </c>
      <c r="G140" s="91">
        <f t="shared" si="54"/>
        <v>1.0756154565697538</v>
      </c>
      <c r="H140" s="91">
        <f t="shared" si="52"/>
        <v>1.0332965109533896</v>
      </c>
      <c r="I140" s="91">
        <f t="shared" si="52"/>
        <v>1.0143845566316814</v>
      </c>
      <c r="J140" s="91">
        <f t="shared" si="52"/>
        <v>0.98278960734988552</v>
      </c>
      <c r="L140" s="646"/>
      <c r="M140" s="470"/>
      <c r="N140" s="470"/>
      <c r="O140" s="470"/>
      <c r="P140" s="470"/>
      <c r="Q140" s="470"/>
      <c r="R140" s="470"/>
      <c r="S140" s="470"/>
      <c r="T140" s="470"/>
      <c r="U140" s="470"/>
      <c r="V140" s="470"/>
      <c r="W140" s="470"/>
      <c r="X140" s="470"/>
      <c r="Y140" s="94"/>
      <c r="Z140" s="94"/>
      <c r="AA140" s="94"/>
      <c r="AB140" s="94"/>
      <c r="AC140" s="94"/>
      <c r="AD140" s="94"/>
      <c r="AE140" s="94"/>
      <c r="AF140" s="94"/>
      <c r="AG140" s="94"/>
      <c r="AH140" s="94"/>
      <c r="AI140" s="94"/>
      <c r="AJ140" s="94"/>
      <c r="AK140" s="94"/>
      <c r="AL140" s="94"/>
      <c r="AM140" s="94"/>
      <c r="AN140" s="94"/>
      <c r="AO140" s="94"/>
      <c r="AP140" s="235"/>
    </row>
    <row r="141" spans="1:42" s="30" customFormat="1" ht="13">
      <c r="A141" s="30" t="s">
        <v>1325</v>
      </c>
      <c r="C141" s="92">
        <v>4.6375794410705602</v>
      </c>
      <c r="D141" s="38">
        <v>4.85459</v>
      </c>
      <c r="E141" s="38">
        <f>SUM(E127:E140)</f>
        <v>4.9215254981311398</v>
      </c>
      <c r="F141" s="38">
        <f>SUM(F127:F140)</f>
        <v>4.9051063407076887</v>
      </c>
      <c r="G141" s="38">
        <f t="shared" ref="G141:J141" si="55">SUM(G127:G140)</f>
        <v>4.9436360126015133</v>
      </c>
      <c r="H141" s="38">
        <f t="shared" si="55"/>
        <v>4.9155239451272541</v>
      </c>
      <c r="I141" s="38">
        <f t="shared" si="55"/>
        <v>4.9468403992086296</v>
      </c>
      <c r="J141" s="38">
        <f t="shared" si="55"/>
        <v>4.9409021584170327</v>
      </c>
      <c r="L141" s="648"/>
      <c r="M141" s="648"/>
      <c r="N141" s="648"/>
      <c r="O141" s="648"/>
      <c r="P141" s="648"/>
      <c r="Q141" s="648"/>
      <c r="R141" s="648"/>
      <c r="S141" s="648"/>
      <c r="T141" s="238"/>
      <c r="U141" s="238"/>
      <c r="V141" s="238"/>
      <c r="W141" s="238"/>
      <c r="X141" s="238"/>
      <c r="Y141" s="238"/>
      <c r="Z141" s="238"/>
      <c r="AA141" s="238"/>
      <c r="AB141" s="238"/>
      <c r="AC141" s="238"/>
      <c r="AD141" s="238"/>
      <c r="AE141" s="238"/>
      <c r="AF141" s="238"/>
      <c r="AG141" s="238"/>
      <c r="AH141" s="238"/>
      <c r="AI141" s="238"/>
      <c r="AJ141" s="238"/>
      <c r="AK141" s="238"/>
      <c r="AL141" s="238"/>
      <c r="AM141" s="238"/>
      <c r="AN141" s="238"/>
      <c r="AO141" s="238"/>
      <c r="AP141" s="239"/>
    </row>
    <row r="142" spans="1:42" s="30" customFormat="1">
      <c r="L142" s="646"/>
      <c r="M142" s="646"/>
    </row>
    <row r="143" spans="1:42" s="30" customFormat="1" ht="13">
      <c r="A143" s="30" t="s">
        <v>1326</v>
      </c>
      <c r="L143" s="648"/>
      <c r="M143" s="648"/>
    </row>
    <row r="144" spans="1:42" s="30" customFormat="1">
      <c r="A144" s="30" t="s">
        <v>1300</v>
      </c>
      <c r="B144" s="16"/>
      <c r="C144" s="100">
        <f>C150-SUM(C145:C149)</f>
        <v>3.3343359846145226</v>
      </c>
      <c r="D144" s="91">
        <v>3.0893359999999999</v>
      </c>
      <c r="E144" s="91">
        <v>2.870689</v>
      </c>
      <c r="F144" s="91">
        <v>2.8237290000000002</v>
      </c>
      <c r="G144" s="91">
        <v>2.7605819999999999</v>
      </c>
      <c r="H144" s="91">
        <v>2.69312</v>
      </c>
      <c r="I144" s="91">
        <v>2.6173099999999998</v>
      </c>
      <c r="J144" s="91">
        <v>2.53756</v>
      </c>
      <c r="L144" s="646"/>
      <c r="M144" s="646"/>
      <c r="N144" s="646"/>
      <c r="O144" s="646"/>
      <c r="P144" s="646"/>
      <c r="Q144" s="646"/>
      <c r="R144" s="646"/>
      <c r="S144" s="646"/>
      <c r="T144" s="94"/>
      <c r="U144" s="94"/>
      <c r="V144" s="94"/>
      <c r="W144" s="94"/>
      <c r="X144" s="94"/>
      <c r="Y144" s="94"/>
      <c r="Z144" s="94"/>
      <c r="AA144" s="94"/>
      <c r="AB144" s="94"/>
      <c r="AC144" s="94"/>
      <c r="AD144" s="94"/>
      <c r="AE144" s="94"/>
      <c r="AF144" s="94"/>
      <c r="AG144" s="94"/>
      <c r="AH144" s="94"/>
      <c r="AI144" s="94"/>
      <c r="AJ144" s="94"/>
      <c r="AK144" s="94"/>
      <c r="AL144" s="94"/>
      <c r="AM144" s="94"/>
      <c r="AN144" s="94"/>
      <c r="AO144" s="94"/>
      <c r="AP144" s="235"/>
    </row>
    <row r="145" spans="1:42" s="30" customFormat="1">
      <c r="A145" s="30" t="s">
        <v>1302</v>
      </c>
      <c r="B145" s="16"/>
      <c r="C145" s="92">
        <v>1.1000000021965699E-8</v>
      </c>
      <c r="D145" s="91">
        <v>2.2401999999999998E-2</v>
      </c>
      <c r="E145" s="91">
        <v>2.2030999999999999E-2</v>
      </c>
      <c r="F145" s="91">
        <v>2.2488999999999999E-2</v>
      </c>
      <c r="G145" s="91">
        <v>2.1885000000000002E-2</v>
      </c>
      <c r="H145" s="91">
        <v>2.1101999999999999E-2</v>
      </c>
      <c r="I145" s="91">
        <v>2.0320000000000001E-2</v>
      </c>
      <c r="J145" s="91">
        <v>1.9793000000000002E-2</v>
      </c>
      <c r="L145" s="646"/>
      <c r="M145" s="646"/>
      <c r="N145" s="646"/>
      <c r="O145" s="646"/>
      <c r="P145" s="646"/>
      <c r="Q145" s="646"/>
      <c r="R145" s="646"/>
      <c r="S145" s="646"/>
      <c r="T145" s="94"/>
      <c r="U145" s="94"/>
      <c r="V145" s="94"/>
      <c r="W145" s="94"/>
      <c r="X145" s="94"/>
      <c r="Y145" s="94"/>
      <c r="Z145" s="94"/>
      <c r="AA145" s="94"/>
      <c r="AB145" s="94"/>
      <c r="AC145" s="94"/>
      <c r="AD145" s="94"/>
      <c r="AE145" s="94"/>
      <c r="AF145" s="94"/>
      <c r="AG145" s="94"/>
      <c r="AH145" s="94"/>
      <c r="AI145" s="94"/>
      <c r="AJ145" s="94"/>
      <c r="AK145" s="94"/>
      <c r="AL145" s="94"/>
      <c r="AM145" s="94"/>
      <c r="AN145" s="94"/>
      <c r="AO145" s="94"/>
      <c r="AP145" s="244"/>
    </row>
    <row r="146" spans="1:42" s="30" customFormat="1">
      <c r="A146" s="30" t="s">
        <v>1303</v>
      </c>
      <c r="B146" s="16"/>
      <c r="C146" s="92">
        <v>1.0887750387191799</v>
      </c>
      <c r="D146" s="91">
        <v>1.1998230000000001</v>
      </c>
      <c r="E146" s="91">
        <v>1.2050989999999999</v>
      </c>
      <c r="F146" s="91">
        <v>1.208537</v>
      </c>
      <c r="G146" s="91">
        <v>1.2195640000000001</v>
      </c>
      <c r="H146" s="91">
        <v>1.217849</v>
      </c>
      <c r="I146" s="91">
        <v>1.1885269999999999</v>
      </c>
      <c r="J146" s="91">
        <v>1.156533</v>
      </c>
      <c r="L146" s="646"/>
      <c r="M146" s="646"/>
      <c r="N146" s="646"/>
      <c r="O146" s="646"/>
      <c r="P146" s="646"/>
      <c r="Q146" s="646"/>
      <c r="R146" s="646"/>
      <c r="S146" s="646"/>
      <c r="T146" s="94"/>
      <c r="U146" s="94"/>
      <c r="V146" s="94"/>
      <c r="W146" s="94"/>
      <c r="X146" s="94"/>
      <c r="Y146" s="94"/>
      <c r="Z146" s="94"/>
      <c r="AA146" s="94"/>
      <c r="AB146" s="94"/>
      <c r="AC146" s="94"/>
      <c r="AD146" s="94"/>
      <c r="AE146" s="94"/>
      <c r="AF146" s="94"/>
      <c r="AG146" s="94"/>
      <c r="AH146" s="94"/>
      <c r="AI146" s="94"/>
      <c r="AJ146" s="94"/>
      <c r="AK146" s="94"/>
      <c r="AL146" s="94"/>
      <c r="AM146" s="94"/>
      <c r="AN146" s="94"/>
      <c r="AO146" s="94"/>
      <c r="AP146" s="235"/>
    </row>
    <row r="147" spans="1:42" s="30" customFormat="1">
      <c r="A147" s="30" t="s">
        <v>1308</v>
      </c>
      <c r="B147" s="16"/>
      <c r="C147" s="92">
        <v>0.216470271348953</v>
      </c>
      <c r="D147" s="91">
        <v>0.20971300000000001</v>
      </c>
      <c r="E147" s="91">
        <v>0.208651</v>
      </c>
      <c r="F147" s="91">
        <v>0.209926</v>
      </c>
      <c r="G147" s="91">
        <v>0.210762</v>
      </c>
      <c r="H147" s="91">
        <v>0.21285899999999999</v>
      </c>
      <c r="I147" s="91">
        <v>0.21637700000000001</v>
      </c>
      <c r="J147" s="91">
        <v>0.21986</v>
      </c>
      <c r="L147" s="646"/>
      <c r="M147" s="646"/>
      <c r="N147" s="646"/>
      <c r="O147" s="646"/>
      <c r="P147" s="646"/>
      <c r="Q147" s="646"/>
      <c r="R147" s="646"/>
      <c r="S147" s="646"/>
      <c r="T147" s="94"/>
      <c r="U147" s="94"/>
      <c r="V147" s="94"/>
      <c r="W147" s="94"/>
      <c r="X147" s="94"/>
      <c r="Y147" s="94"/>
      <c r="Z147" s="94"/>
      <c r="AA147" s="94"/>
      <c r="AB147" s="94"/>
      <c r="AC147" s="94"/>
      <c r="AD147" s="94"/>
      <c r="AE147" s="94"/>
      <c r="AF147" s="94"/>
      <c r="AG147" s="94"/>
      <c r="AH147" s="94"/>
      <c r="AI147" s="94"/>
      <c r="AJ147" s="94"/>
      <c r="AK147" s="94"/>
      <c r="AL147" s="94"/>
      <c r="AM147" s="94"/>
      <c r="AN147" s="94"/>
      <c r="AO147" s="94"/>
      <c r="AP147" s="235"/>
    </row>
    <row r="148" spans="1:42" s="30" customFormat="1" ht="13">
      <c r="A148" s="30" t="s">
        <v>1309</v>
      </c>
      <c r="B148" s="16"/>
      <c r="C148" s="92">
        <v>7.1999199688434601E-2</v>
      </c>
      <c r="D148" s="91">
        <v>4.9576000000000002E-2</v>
      </c>
      <c r="E148" s="91">
        <v>5.1721999999999997E-2</v>
      </c>
      <c r="F148" s="91">
        <v>5.4331999999999998E-2</v>
      </c>
      <c r="G148" s="91">
        <v>5.6467999999999997E-2</v>
      </c>
      <c r="H148" s="91">
        <v>5.8194999999999997E-2</v>
      </c>
      <c r="I148" s="91">
        <v>5.9565E-2</v>
      </c>
      <c r="J148" s="91">
        <v>6.1062999999999999E-2</v>
      </c>
      <c r="L148" s="646"/>
      <c r="M148" s="646"/>
      <c r="N148" s="646"/>
      <c r="O148" s="646"/>
      <c r="P148" s="646"/>
      <c r="Q148" s="646"/>
      <c r="R148" s="646"/>
      <c r="S148" s="646"/>
      <c r="T148" s="238"/>
      <c r="U148" s="238"/>
      <c r="V148" s="238"/>
      <c r="W148" s="238"/>
      <c r="X148" s="238"/>
      <c r="Y148" s="238"/>
      <c r="Z148" s="238"/>
      <c r="AA148" s="238"/>
      <c r="AB148" s="238"/>
      <c r="AC148" s="238"/>
      <c r="AD148" s="238"/>
      <c r="AE148" s="238"/>
      <c r="AF148" s="238"/>
      <c r="AG148" s="238"/>
      <c r="AH148" s="238"/>
      <c r="AI148" s="238"/>
      <c r="AJ148" s="238"/>
      <c r="AK148" s="238"/>
      <c r="AL148" s="238"/>
      <c r="AM148" s="238"/>
      <c r="AN148" s="238"/>
      <c r="AO148" s="238"/>
      <c r="AP148" s="239"/>
    </row>
    <row r="149" spans="1:42" s="30" customFormat="1" ht="13">
      <c r="A149" s="30" t="s">
        <v>1327</v>
      </c>
      <c r="B149" s="16"/>
      <c r="C149" s="100">
        <v>0.26</v>
      </c>
      <c r="D149" s="91">
        <v>0.24676100000000001</v>
      </c>
      <c r="E149" s="91">
        <v>0.24676100000000001</v>
      </c>
      <c r="F149" s="91">
        <v>0.23808099999999999</v>
      </c>
      <c r="G149" s="91">
        <v>0.231403</v>
      </c>
      <c r="H149" s="91">
        <v>0.22462799999999999</v>
      </c>
      <c r="I149" s="91">
        <v>0.21806</v>
      </c>
      <c r="J149" s="91">
        <v>0.21132000000000001</v>
      </c>
      <c r="L149" s="646"/>
      <c r="M149" s="646"/>
      <c r="N149" s="646"/>
      <c r="O149" s="646"/>
      <c r="P149" s="646"/>
      <c r="Q149" s="646"/>
      <c r="R149" s="646"/>
      <c r="S149" s="646"/>
      <c r="T149" s="238"/>
      <c r="U149" s="238"/>
      <c r="V149" s="238"/>
      <c r="W149" s="238"/>
      <c r="X149" s="238"/>
      <c r="Y149" s="238"/>
      <c r="Z149" s="238"/>
      <c r="AA149" s="238"/>
      <c r="AB149" s="238"/>
      <c r="AC149" s="238"/>
      <c r="AD149" s="238"/>
      <c r="AE149" s="238"/>
      <c r="AF149" s="238"/>
      <c r="AG149" s="238"/>
      <c r="AH149" s="238"/>
      <c r="AI149" s="238"/>
      <c r="AJ149" s="238"/>
      <c r="AK149" s="238"/>
      <c r="AL149" s="238"/>
      <c r="AM149" s="238"/>
      <c r="AN149" s="238"/>
      <c r="AO149" s="238"/>
      <c r="AP149" s="239"/>
    </row>
    <row r="150" spans="1:42" s="30" customFormat="1" ht="13">
      <c r="A150" s="30" t="s">
        <v>1325</v>
      </c>
      <c r="B150" s="16"/>
      <c r="C150" s="92">
        <v>4.9715805053710902</v>
      </c>
      <c r="D150" s="245">
        <v>4.8176100000000002</v>
      </c>
      <c r="E150" s="38">
        <v>4.6027329999999997</v>
      </c>
      <c r="F150" s="38">
        <v>4.5570950000000003</v>
      </c>
      <c r="G150" s="38">
        <v>4.5006640000000004</v>
      </c>
      <c r="H150" s="38">
        <v>4.4277519999999999</v>
      </c>
      <c r="I150" s="38">
        <v>4.3201590000000003</v>
      </c>
      <c r="J150" s="38">
        <v>4.2061289999999998</v>
      </c>
      <c r="L150" s="648"/>
      <c r="M150" s="648"/>
      <c r="N150" s="648"/>
      <c r="O150" s="648"/>
      <c r="P150" s="648"/>
      <c r="Q150" s="648"/>
      <c r="R150" s="648"/>
      <c r="S150" s="648"/>
    </row>
    <row r="151" spans="1:42" s="30" customFormat="1">
      <c r="L151" s="646"/>
      <c r="M151" s="646"/>
    </row>
    <row r="152" spans="1:42" s="30" customFormat="1" ht="13">
      <c r="A152" s="30" t="s">
        <v>1328</v>
      </c>
      <c r="B152" s="16"/>
      <c r="C152" s="16"/>
      <c r="D152" s="22"/>
      <c r="E152" s="22"/>
      <c r="F152" s="22"/>
      <c r="G152" s="22"/>
      <c r="H152" s="22"/>
      <c r="I152" s="22"/>
      <c r="J152" s="22"/>
      <c r="L152" s="648"/>
      <c r="M152" s="648"/>
      <c r="T152" s="94"/>
      <c r="U152" s="94"/>
      <c r="V152" s="94"/>
      <c r="W152" s="94"/>
      <c r="X152" s="94"/>
      <c r="Y152" s="94"/>
      <c r="Z152" s="94"/>
      <c r="AA152" s="94"/>
      <c r="AB152" s="94"/>
      <c r="AC152" s="94"/>
      <c r="AD152" s="94"/>
      <c r="AE152" s="94"/>
      <c r="AF152" s="94"/>
      <c r="AG152" s="94"/>
      <c r="AH152" s="94"/>
      <c r="AI152" s="94"/>
      <c r="AJ152" s="94"/>
      <c r="AK152" s="94"/>
      <c r="AL152" s="94"/>
      <c r="AM152" s="94"/>
      <c r="AN152" s="94"/>
      <c r="AO152" s="94"/>
      <c r="AP152" s="235"/>
    </row>
    <row r="153" spans="1:42" s="30" customFormat="1">
      <c r="A153" s="30" t="s">
        <v>1300</v>
      </c>
      <c r="B153" s="16"/>
      <c r="C153" s="100">
        <v>0.65</v>
      </c>
      <c r="D153" s="91">
        <v>0.45935300000000001</v>
      </c>
      <c r="E153" s="91">
        <v>0.45097500000000001</v>
      </c>
      <c r="F153" s="91">
        <v>0.41804999999999998</v>
      </c>
      <c r="G153" s="91">
        <v>0.37840299999999999</v>
      </c>
      <c r="H153" s="91">
        <v>0.34350999999999998</v>
      </c>
      <c r="I153" s="91">
        <v>0.31369399999999997</v>
      </c>
      <c r="J153" s="91">
        <v>0.289358</v>
      </c>
      <c r="L153" s="646"/>
      <c r="M153" s="646"/>
      <c r="N153" s="646"/>
      <c r="O153" s="646"/>
      <c r="P153" s="646"/>
      <c r="Q153" s="646"/>
      <c r="R153" s="646"/>
      <c r="S153" s="646"/>
      <c r="T153" s="94"/>
      <c r="U153" s="94"/>
      <c r="V153" s="94"/>
      <c r="W153" s="94"/>
      <c r="X153" s="94"/>
      <c r="Y153" s="94"/>
      <c r="Z153" s="94"/>
      <c r="AA153" s="94"/>
      <c r="AB153" s="94"/>
      <c r="AC153" s="94"/>
      <c r="AD153" s="94"/>
      <c r="AE153" s="94"/>
      <c r="AF153" s="94"/>
      <c r="AG153" s="94"/>
      <c r="AH153" s="94"/>
      <c r="AI153" s="94"/>
      <c r="AJ153" s="94"/>
      <c r="AK153" s="94"/>
      <c r="AL153" s="94"/>
      <c r="AM153" s="94"/>
      <c r="AN153" s="94"/>
      <c r="AO153" s="94"/>
      <c r="AP153" s="235"/>
    </row>
    <row r="154" spans="1:42" s="30" customFormat="1" ht="13">
      <c r="A154" s="30" t="s">
        <v>1303</v>
      </c>
      <c r="B154" s="16"/>
      <c r="C154" s="92">
        <v>0.10857270658016201</v>
      </c>
      <c r="D154" s="91">
        <v>5.9193999999999997E-2</v>
      </c>
      <c r="E154" s="91">
        <v>4.6296999999999998E-2</v>
      </c>
      <c r="F154" s="91">
        <v>3.4250999999999997E-2</v>
      </c>
      <c r="G154" s="91">
        <v>2.7161000000000001E-2</v>
      </c>
      <c r="H154" s="91">
        <v>2.2196E-2</v>
      </c>
      <c r="I154" s="91">
        <v>1.8357999999999999E-2</v>
      </c>
      <c r="J154" s="91">
        <v>1.5649E-2</v>
      </c>
      <c r="L154" s="646"/>
      <c r="M154" s="646"/>
      <c r="N154" s="646"/>
      <c r="O154" s="646"/>
      <c r="P154" s="646"/>
      <c r="Q154" s="646"/>
      <c r="R154" s="646"/>
      <c r="S154" s="646"/>
      <c r="T154" s="238"/>
      <c r="U154" s="238"/>
      <c r="V154" s="238"/>
      <c r="W154" s="238"/>
      <c r="X154" s="238"/>
      <c r="Y154" s="238"/>
      <c r="Z154" s="238"/>
      <c r="AA154" s="238"/>
      <c r="AB154" s="238"/>
      <c r="AC154" s="238"/>
      <c r="AD154" s="238"/>
      <c r="AE154" s="238"/>
      <c r="AF154" s="238"/>
      <c r="AG154" s="238"/>
      <c r="AH154" s="238"/>
      <c r="AI154" s="238"/>
      <c r="AJ154" s="238"/>
      <c r="AK154" s="238"/>
      <c r="AL154" s="238"/>
      <c r="AM154" s="238"/>
      <c r="AN154" s="238"/>
      <c r="AO154" s="238"/>
      <c r="AP154" s="239"/>
    </row>
    <row r="155" spans="1:42" s="30" customFormat="1" ht="13">
      <c r="A155" s="30" t="s">
        <v>1327</v>
      </c>
      <c r="B155" s="16"/>
      <c r="C155" s="92"/>
      <c r="D155" s="91">
        <v>7.1130000000000004E-3</v>
      </c>
      <c r="E155" s="91">
        <v>6.9259999999999999E-3</v>
      </c>
      <c r="F155" s="91">
        <v>6.8060000000000004E-3</v>
      </c>
      <c r="G155" s="91">
        <v>6.5630000000000003E-3</v>
      </c>
      <c r="H155" s="91">
        <v>6.3610000000000003E-3</v>
      </c>
      <c r="I155" s="91">
        <v>6.169E-3</v>
      </c>
      <c r="J155" s="91">
        <v>5.9890000000000004E-3</v>
      </c>
      <c r="L155" s="648"/>
      <c r="M155" s="648"/>
      <c r="N155" s="648"/>
      <c r="O155" s="648"/>
      <c r="P155" s="648"/>
      <c r="Q155" s="648"/>
      <c r="R155" s="648"/>
      <c r="S155" s="648"/>
    </row>
    <row r="156" spans="1:42" s="30" customFormat="1" ht="13">
      <c r="A156" s="30" t="s">
        <v>1325</v>
      </c>
      <c r="B156" s="16"/>
      <c r="C156" s="92">
        <v>0.85418474674224898</v>
      </c>
      <c r="D156" s="245">
        <v>0.52566000000000002</v>
      </c>
      <c r="E156" s="38">
        <v>0.50419800000000004</v>
      </c>
      <c r="F156" s="38">
        <v>0.45910800000000002</v>
      </c>
      <c r="G156" s="38">
        <v>0.41212700000000002</v>
      </c>
      <c r="H156" s="38">
        <v>0.37206699999999998</v>
      </c>
      <c r="I156" s="38">
        <v>0.33822200000000002</v>
      </c>
      <c r="J156" s="38">
        <v>0.31099599999999999</v>
      </c>
      <c r="L156" s="646"/>
      <c r="M156" s="646"/>
    </row>
    <row r="157" spans="1:42" s="30" customFormat="1" ht="13">
      <c r="B157" s="16"/>
      <c r="C157" s="92"/>
      <c r="D157" s="245"/>
      <c r="E157" s="38"/>
      <c r="F157" s="38"/>
      <c r="G157" s="38"/>
      <c r="H157" s="38"/>
      <c r="I157" s="38"/>
      <c r="J157" s="38"/>
      <c r="L157" s="646"/>
      <c r="M157" s="646"/>
    </row>
    <row r="158" spans="1:42" s="30" customFormat="1" ht="13">
      <c r="A158" s="30" t="s">
        <v>1329</v>
      </c>
      <c r="L158" s="648"/>
      <c r="M158" s="648"/>
      <c r="T158" s="94"/>
      <c r="U158" s="94"/>
      <c r="V158" s="94"/>
      <c r="W158" s="94"/>
      <c r="X158" s="94"/>
      <c r="Y158" s="94"/>
      <c r="Z158" s="94"/>
      <c r="AA158" s="94"/>
      <c r="AB158" s="94"/>
      <c r="AC158" s="94"/>
      <c r="AD158" s="94"/>
      <c r="AE158" s="94"/>
      <c r="AF158" s="94"/>
      <c r="AG158" s="94"/>
      <c r="AH158" s="94"/>
      <c r="AI158" s="94"/>
      <c r="AJ158" s="94"/>
      <c r="AK158" s="94"/>
      <c r="AL158" s="94"/>
      <c r="AM158" s="94"/>
      <c r="AN158" s="94"/>
      <c r="AO158" s="94"/>
      <c r="AP158" s="235"/>
    </row>
    <row r="159" spans="1:42" s="30" customFormat="1">
      <c r="A159" s="30" t="s">
        <v>1300</v>
      </c>
      <c r="B159" s="16"/>
      <c r="C159" s="100">
        <v>0.37</v>
      </c>
      <c r="D159" s="91">
        <v>0.36563099999999998</v>
      </c>
      <c r="E159" s="91">
        <v>0.32539800000000002</v>
      </c>
      <c r="F159" s="91">
        <v>0.30252699999999999</v>
      </c>
      <c r="G159" s="91">
        <v>0.28169100000000002</v>
      </c>
      <c r="H159" s="91">
        <v>0.26451799999999998</v>
      </c>
      <c r="I159" s="91">
        <v>0.24950600000000001</v>
      </c>
      <c r="J159" s="91">
        <v>0.23649000000000001</v>
      </c>
      <c r="L159" s="646"/>
      <c r="M159" s="646"/>
      <c r="N159" s="646"/>
      <c r="O159" s="646"/>
      <c r="P159" s="646"/>
      <c r="Q159" s="646"/>
      <c r="R159" s="646"/>
      <c r="S159" s="646"/>
      <c r="T159" s="94"/>
      <c r="U159" s="94"/>
      <c r="V159" s="94"/>
      <c r="W159" s="94"/>
      <c r="X159" s="94"/>
      <c r="Y159" s="94"/>
      <c r="Z159" s="94"/>
      <c r="AA159" s="94"/>
      <c r="AB159" s="94"/>
      <c r="AC159" s="94"/>
      <c r="AD159" s="94"/>
      <c r="AE159" s="94"/>
      <c r="AF159" s="94"/>
      <c r="AG159" s="94"/>
      <c r="AH159" s="94"/>
      <c r="AI159" s="94"/>
      <c r="AJ159" s="94"/>
      <c r="AK159" s="94"/>
      <c r="AL159" s="94"/>
      <c r="AM159" s="94"/>
      <c r="AN159" s="94"/>
      <c r="AO159" s="94"/>
      <c r="AP159" s="235"/>
    </row>
    <row r="160" spans="1:42" s="30" customFormat="1">
      <c r="A160" s="30" t="s">
        <v>1303</v>
      </c>
      <c r="B160" s="16"/>
      <c r="C160" s="92">
        <v>5.7690113782882697E-2</v>
      </c>
      <c r="D160" s="91">
        <v>7.1582000000000007E-2</v>
      </c>
      <c r="E160" s="91">
        <v>5.9757999999999999E-2</v>
      </c>
      <c r="F160" s="91">
        <v>4.9132000000000002E-2</v>
      </c>
      <c r="G160" s="91">
        <v>4.2442000000000001E-2</v>
      </c>
      <c r="H160" s="91">
        <v>3.6324000000000002E-2</v>
      </c>
      <c r="I160" s="91">
        <v>3.0988000000000002E-2</v>
      </c>
      <c r="J160" s="91">
        <v>2.7212E-2</v>
      </c>
      <c r="L160" s="646"/>
      <c r="M160" s="646"/>
      <c r="N160" s="646"/>
      <c r="O160" s="646"/>
      <c r="P160" s="646"/>
      <c r="Q160" s="646"/>
      <c r="R160" s="646"/>
      <c r="S160" s="646"/>
      <c r="T160" s="94"/>
      <c r="U160" s="94"/>
      <c r="V160" s="94"/>
      <c r="W160" s="94"/>
      <c r="X160" s="94"/>
      <c r="Y160" s="94"/>
      <c r="Z160" s="94"/>
      <c r="AA160" s="94"/>
      <c r="AB160" s="94"/>
      <c r="AC160" s="94"/>
      <c r="AD160" s="94"/>
      <c r="AE160" s="94"/>
      <c r="AF160" s="94"/>
      <c r="AG160" s="94"/>
      <c r="AH160" s="94"/>
      <c r="AI160" s="94"/>
      <c r="AJ160" s="94"/>
      <c r="AK160" s="94"/>
      <c r="AL160" s="94"/>
      <c r="AM160" s="94"/>
      <c r="AN160" s="94"/>
      <c r="AO160" s="94"/>
      <c r="AP160" s="235"/>
    </row>
    <row r="161" spans="1:42" s="30" customFormat="1">
      <c r="A161" s="30" t="s">
        <v>1308</v>
      </c>
      <c r="B161" s="16"/>
      <c r="C161" s="92">
        <v>3.14760431647301E-2</v>
      </c>
      <c r="D161" s="91">
        <v>2.9448999999999999E-2</v>
      </c>
      <c r="E161" s="91">
        <v>2.8034E-2</v>
      </c>
      <c r="F161" s="91">
        <v>2.6533000000000001E-2</v>
      </c>
      <c r="G161" s="91">
        <v>2.5009E-2</v>
      </c>
      <c r="H161" s="91">
        <v>2.3845999999999999E-2</v>
      </c>
      <c r="I161" s="91">
        <v>2.3174E-2</v>
      </c>
      <c r="J161" s="91">
        <v>2.2473E-2</v>
      </c>
      <c r="L161" s="646"/>
      <c r="M161" s="646"/>
      <c r="N161" s="646"/>
      <c r="O161" s="646"/>
      <c r="P161" s="646"/>
      <c r="Q161" s="646"/>
      <c r="R161" s="646"/>
      <c r="S161" s="646"/>
      <c r="T161" s="94"/>
      <c r="U161" s="94"/>
      <c r="V161" s="94"/>
      <c r="W161" s="94"/>
      <c r="X161" s="94"/>
      <c r="Y161" s="94"/>
      <c r="Z161" s="94"/>
      <c r="AA161" s="94"/>
      <c r="AB161" s="94"/>
      <c r="AC161" s="94"/>
      <c r="AD161" s="94"/>
      <c r="AE161" s="94"/>
      <c r="AF161" s="94"/>
      <c r="AG161" s="94"/>
      <c r="AH161" s="94"/>
      <c r="AI161" s="94"/>
      <c r="AJ161" s="94"/>
      <c r="AK161" s="94"/>
      <c r="AL161" s="94"/>
      <c r="AM161" s="94"/>
      <c r="AN161" s="94"/>
      <c r="AO161" s="94"/>
      <c r="AP161" s="235"/>
    </row>
    <row r="162" spans="1:42" s="30" customFormat="1" ht="13">
      <c r="A162" s="30" t="s">
        <v>1330</v>
      </c>
      <c r="B162" s="16"/>
      <c r="C162" s="100">
        <v>0.04</v>
      </c>
      <c r="D162" s="91">
        <v>3.9688000000000001E-2</v>
      </c>
      <c r="E162" s="91">
        <v>4.2804000000000002E-2</v>
      </c>
      <c r="F162" s="91">
        <v>4.6605000000000001E-2</v>
      </c>
      <c r="G162" s="91">
        <v>5.0316E-2</v>
      </c>
      <c r="H162" s="91">
        <v>5.4139E-2</v>
      </c>
      <c r="I162" s="91">
        <v>5.7860000000000002E-2</v>
      </c>
      <c r="J162" s="91">
        <v>6.1749999999999999E-2</v>
      </c>
      <c r="L162" s="646"/>
      <c r="M162" s="646"/>
      <c r="N162" s="646"/>
      <c r="O162" s="646"/>
      <c r="P162" s="646"/>
      <c r="Q162" s="646"/>
      <c r="R162" s="646"/>
      <c r="S162" s="646"/>
      <c r="T162" s="238"/>
      <c r="U162" s="238"/>
      <c r="V162" s="238"/>
      <c r="W162" s="238"/>
      <c r="X162" s="238"/>
      <c r="Y162" s="238"/>
      <c r="Z162" s="238"/>
      <c r="AA162" s="238"/>
      <c r="AB162" s="238"/>
      <c r="AC162" s="238"/>
      <c r="AD162" s="238"/>
      <c r="AE162" s="238"/>
      <c r="AF162" s="238"/>
      <c r="AG162" s="238"/>
      <c r="AH162" s="238"/>
      <c r="AI162" s="238"/>
      <c r="AJ162" s="238"/>
      <c r="AK162" s="238"/>
      <c r="AL162" s="238"/>
      <c r="AM162" s="238"/>
      <c r="AN162" s="238"/>
      <c r="AO162" s="238"/>
      <c r="AP162" s="239"/>
    </row>
    <row r="163" spans="1:42" s="30" customFormat="1" ht="13">
      <c r="A163" s="30" t="s">
        <v>1325</v>
      </c>
      <c r="B163" s="16"/>
      <c r="C163" s="92">
        <v>0.50418597459793102</v>
      </c>
      <c r="D163" s="245">
        <v>0.50634999999999997</v>
      </c>
      <c r="E163" s="38">
        <v>0.45599299999999998</v>
      </c>
      <c r="F163" s="38">
        <v>0.42479699999999998</v>
      </c>
      <c r="G163" s="38">
        <v>0.39945700000000001</v>
      </c>
      <c r="H163" s="38">
        <v>0.378826</v>
      </c>
      <c r="I163" s="38">
        <v>0.36152800000000002</v>
      </c>
      <c r="J163" s="38">
        <v>0.34792499999999998</v>
      </c>
      <c r="L163" s="648"/>
      <c r="M163" s="648"/>
      <c r="N163" s="648"/>
      <c r="O163" s="648"/>
      <c r="P163" s="648"/>
      <c r="Q163" s="648"/>
      <c r="R163" s="648"/>
      <c r="S163" s="648"/>
    </row>
    <row r="164" spans="1:42" s="30" customFormat="1">
      <c r="A164" s="16"/>
      <c r="B164" s="16"/>
      <c r="C164" s="92"/>
      <c r="D164" s="22"/>
      <c r="E164" s="22"/>
      <c r="F164" s="22"/>
      <c r="G164" s="22"/>
      <c r="H164" s="22"/>
      <c r="I164" s="22"/>
      <c r="J164" s="22"/>
      <c r="L164" s="646"/>
      <c r="M164" s="646"/>
      <c r="T164" s="94"/>
      <c r="U164" s="94"/>
      <c r="V164" s="94"/>
      <c r="W164" s="94"/>
      <c r="X164" s="94"/>
      <c r="Y164" s="94"/>
      <c r="Z164" s="94"/>
      <c r="AA164" s="94"/>
      <c r="AB164" s="94"/>
      <c r="AC164" s="94"/>
      <c r="AD164" s="94"/>
      <c r="AE164" s="94"/>
      <c r="AF164" s="94"/>
      <c r="AG164" s="94"/>
      <c r="AH164" s="94"/>
      <c r="AI164" s="94"/>
      <c r="AJ164" s="94"/>
      <c r="AK164" s="94"/>
      <c r="AL164" s="94"/>
      <c r="AM164" s="94"/>
      <c r="AN164" s="94"/>
      <c r="AO164" s="94"/>
      <c r="AP164" s="235"/>
    </row>
    <row r="165" spans="1:42" s="30" customFormat="1">
      <c r="A165" s="30" t="s">
        <v>1331</v>
      </c>
      <c r="B165" s="16"/>
      <c r="C165" s="92">
        <v>0.44818162918090798</v>
      </c>
      <c r="D165" s="91">
        <v>0.53766800000000003</v>
      </c>
      <c r="E165" s="91">
        <v>0.49865300000000001</v>
      </c>
      <c r="F165" s="91">
        <v>0.45812399999999998</v>
      </c>
      <c r="G165" s="91">
        <v>0.45334400000000002</v>
      </c>
      <c r="H165" s="91">
        <v>0.44167400000000001</v>
      </c>
      <c r="I165" s="91">
        <v>0.429761</v>
      </c>
      <c r="J165" s="91">
        <v>0.41664600000000002</v>
      </c>
      <c r="L165" s="646"/>
      <c r="M165" s="646"/>
      <c r="N165" s="646"/>
      <c r="O165" s="646"/>
      <c r="P165" s="646"/>
      <c r="Q165" s="646"/>
      <c r="R165" s="646"/>
      <c r="S165" s="646"/>
      <c r="T165" s="94"/>
      <c r="U165" s="94"/>
      <c r="V165" s="94"/>
      <c r="W165" s="94"/>
      <c r="X165" s="94"/>
      <c r="Y165" s="94"/>
      <c r="Z165" s="94"/>
      <c r="AA165" s="94"/>
      <c r="AB165" s="94"/>
      <c r="AC165" s="94"/>
      <c r="AD165" s="94"/>
      <c r="AE165" s="94"/>
      <c r="AF165" s="94"/>
      <c r="AG165" s="94"/>
      <c r="AH165" s="94"/>
      <c r="AI165" s="94"/>
      <c r="AJ165" s="94"/>
      <c r="AK165" s="94"/>
      <c r="AL165" s="94"/>
      <c r="AM165" s="94"/>
      <c r="AN165" s="94"/>
      <c r="AO165" s="94"/>
      <c r="AP165" s="235"/>
    </row>
    <row r="166" spans="1:42" s="30" customFormat="1">
      <c r="A166" s="30" t="s">
        <v>1332</v>
      </c>
      <c r="B166" s="16"/>
      <c r="C166" s="92">
        <v>0.10066375136375399</v>
      </c>
      <c r="D166" s="91">
        <v>1.8530000000000001E-2</v>
      </c>
      <c r="E166" s="91">
        <v>4.731E-3</v>
      </c>
      <c r="F166" s="91">
        <v>4.1539999999999997E-3</v>
      </c>
      <c r="G166" s="91">
        <v>3.7490000000000002E-3</v>
      </c>
      <c r="H166" s="91">
        <v>3.4259999999999998E-3</v>
      </c>
      <c r="I166" s="91">
        <v>3.124E-3</v>
      </c>
      <c r="J166" s="91">
        <v>2.8519999999999999E-3</v>
      </c>
      <c r="L166" s="646"/>
      <c r="M166" s="646"/>
      <c r="N166" s="646"/>
      <c r="O166" s="646"/>
      <c r="P166" s="646"/>
      <c r="Q166" s="646"/>
      <c r="R166" s="646"/>
      <c r="S166" s="646"/>
    </row>
    <row r="167" spans="1:42" s="30" customFormat="1">
      <c r="L167" s="646"/>
      <c r="M167" s="646"/>
    </row>
    <row r="168" spans="1:42" s="30" customFormat="1" ht="13">
      <c r="A168" s="30" t="s">
        <v>1333</v>
      </c>
      <c r="L168" s="648"/>
      <c r="M168" s="648"/>
      <c r="T168" s="94"/>
      <c r="U168" s="94"/>
      <c r="V168" s="94"/>
      <c r="W168" s="94"/>
      <c r="X168" s="94"/>
      <c r="Y168" s="94"/>
      <c r="Z168" s="94"/>
      <c r="AA168" s="94"/>
      <c r="AB168" s="94"/>
      <c r="AC168" s="94"/>
      <c r="AD168" s="94"/>
      <c r="AE168" s="94"/>
      <c r="AF168" s="94"/>
      <c r="AG168" s="94"/>
      <c r="AH168" s="94"/>
      <c r="AI168" s="94"/>
      <c r="AJ168" s="94"/>
      <c r="AK168" s="94"/>
      <c r="AL168" s="94"/>
      <c r="AM168" s="94"/>
      <c r="AN168" s="94"/>
      <c r="AO168" s="94"/>
      <c r="AP168" s="235"/>
    </row>
    <row r="169" spans="1:42" s="30" customFormat="1">
      <c r="A169" s="101" t="s">
        <v>1334</v>
      </c>
      <c r="C169" s="100">
        <f>C127+C144+C153+C159+C165</f>
        <v>5.1129582435161192</v>
      </c>
      <c r="D169" s="91">
        <v>4.8448330000000004</v>
      </c>
      <c r="E169" s="91">
        <v>4.5063139999999997</v>
      </c>
      <c r="F169" s="91">
        <v>4.3566019999999996</v>
      </c>
      <c r="G169" s="91">
        <v>4.2245980000000003</v>
      </c>
      <c r="H169" s="91">
        <v>4.0867969999999998</v>
      </c>
      <c r="I169" s="91">
        <v>3.9454449999999999</v>
      </c>
      <c r="J169" s="91">
        <v>3.8057799999999999</v>
      </c>
      <c r="L169" s="646"/>
      <c r="M169" s="646"/>
      <c r="N169" s="646"/>
      <c r="O169" s="646"/>
      <c r="P169" s="646"/>
      <c r="Q169" s="646"/>
      <c r="R169" s="646"/>
      <c r="S169" s="646"/>
      <c r="T169" s="94"/>
      <c r="U169" s="94"/>
      <c r="V169" s="94"/>
      <c r="W169" s="94"/>
      <c r="X169" s="94"/>
      <c r="Y169" s="94"/>
      <c r="Z169" s="94"/>
      <c r="AA169" s="94"/>
      <c r="AB169" s="94"/>
      <c r="AC169" s="94"/>
      <c r="AD169" s="94"/>
      <c r="AE169" s="94"/>
      <c r="AF169" s="94"/>
      <c r="AG169" s="94"/>
      <c r="AH169" s="94"/>
      <c r="AI169" s="94"/>
      <c r="AJ169" s="94"/>
      <c r="AK169" s="94"/>
      <c r="AL169" s="94"/>
      <c r="AM169" s="94"/>
      <c r="AN169" s="94"/>
      <c r="AO169" s="94"/>
      <c r="AP169" s="235"/>
    </row>
    <row r="170" spans="1:42" s="30" customFormat="1">
      <c r="A170" s="101" t="s">
        <v>1335</v>
      </c>
      <c r="C170" s="92">
        <v>0.821350157260895</v>
      </c>
      <c r="D170" s="91">
        <v>0.84948800000000002</v>
      </c>
      <c r="E170" s="91">
        <v>0.84499599999999997</v>
      </c>
      <c r="F170" s="91">
        <v>0.91059400000000001</v>
      </c>
      <c r="G170" s="91">
        <v>0.99750899999999998</v>
      </c>
      <c r="H170" s="91">
        <v>1.088076</v>
      </c>
      <c r="I170" s="91">
        <v>1.17994</v>
      </c>
      <c r="J170" s="91">
        <v>1.2720849999999999</v>
      </c>
      <c r="L170" s="646"/>
      <c r="M170" s="646"/>
      <c r="N170" s="646"/>
      <c r="O170" s="646"/>
      <c r="P170" s="646"/>
      <c r="Q170" s="646"/>
      <c r="R170" s="646"/>
      <c r="S170" s="646"/>
      <c r="T170" s="94"/>
      <c r="U170" s="94"/>
      <c r="V170" s="94"/>
      <c r="W170" s="94"/>
      <c r="X170" s="94"/>
      <c r="Y170" s="94"/>
      <c r="Z170" s="94"/>
      <c r="AA170" s="94"/>
      <c r="AB170" s="94"/>
      <c r="AC170" s="94"/>
      <c r="AD170" s="94"/>
      <c r="AE170" s="94"/>
      <c r="AF170" s="94"/>
      <c r="AG170" s="94"/>
      <c r="AH170" s="94"/>
      <c r="AI170" s="94"/>
      <c r="AJ170" s="94"/>
      <c r="AK170" s="94"/>
      <c r="AL170" s="94"/>
      <c r="AM170" s="94"/>
      <c r="AN170" s="94"/>
      <c r="AO170" s="94"/>
      <c r="AP170" s="235"/>
    </row>
    <row r="171" spans="1:42" s="30" customFormat="1">
      <c r="A171" s="101" t="s">
        <v>1336</v>
      </c>
      <c r="C171" s="92">
        <v>1.6372220516204801</v>
      </c>
      <c r="D171" s="91">
        <v>1.7677210000000001</v>
      </c>
      <c r="E171" s="91">
        <v>1.771803</v>
      </c>
      <c r="F171" s="91">
        <v>1.7663850000000001</v>
      </c>
      <c r="G171" s="91">
        <v>1.7802089999999999</v>
      </c>
      <c r="H171" s="91">
        <v>1.777379</v>
      </c>
      <c r="I171" s="91">
        <v>1.74109</v>
      </c>
      <c r="J171" s="91">
        <v>1.70512</v>
      </c>
      <c r="L171" s="646"/>
      <c r="M171" s="646"/>
      <c r="N171" s="646"/>
      <c r="O171" s="646"/>
      <c r="P171" s="646"/>
      <c r="Q171" s="646"/>
      <c r="R171" s="646"/>
      <c r="S171" s="646"/>
      <c r="T171" s="94"/>
      <c r="U171" s="94"/>
      <c r="V171" s="94"/>
      <c r="W171" s="94"/>
      <c r="X171" s="94"/>
      <c r="Y171" s="94"/>
      <c r="Z171" s="94"/>
      <c r="AA171" s="94"/>
      <c r="AB171" s="94"/>
      <c r="AC171" s="94"/>
      <c r="AD171" s="94"/>
      <c r="AE171" s="94"/>
      <c r="AF171" s="94"/>
      <c r="AG171" s="94"/>
      <c r="AH171" s="94"/>
      <c r="AI171" s="94"/>
      <c r="AJ171" s="94"/>
      <c r="AK171" s="94"/>
      <c r="AL171" s="94"/>
      <c r="AM171" s="94"/>
      <c r="AN171" s="94"/>
      <c r="AO171" s="94"/>
      <c r="AP171" s="235"/>
    </row>
    <row r="172" spans="1:42" s="30" customFormat="1">
      <c r="A172" s="101" t="s">
        <v>1337</v>
      </c>
      <c r="C172" s="92">
        <v>0.39436101913452098</v>
      </c>
      <c r="D172" s="91">
        <v>0.37790699999999999</v>
      </c>
      <c r="E172" s="91">
        <v>0.37693700000000002</v>
      </c>
      <c r="F172" s="91">
        <v>0.37551299999999999</v>
      </c>
      <c r="G172" s="91">
        <v>0.37684800000000002</v>
      </c>
      <c r="H172" s="91">
        <v>0.38406200000000001</v>
      </c>
      <c r="I172" s="91">
        <v>0.39679799999999998</v>
      </c>
      <c r="J172" s="91">
        <v>0.41375600000000001</v>
      </c>
      <c r="L172" s="646"/>
      <c r="M172" s="646"/>
      <c r="N172" s="646"/>
      <c r="O172" s="646"/>
      <c r="P172" s="646"/>
      <c r="Q172" s="646"/>
      <c r="R172" s="646"/>
      <c r="S172" s="646"/>
      <c r="T172" s="94"/>
      <c r="U172" s="94"/>
      <c r="V172" s="94"/>
      <c r="W172" s="94"/>
      <c r="X172" s="94"/>
      <c r="Y172" s="94"/>
      <c r="Z172" s="94"/>
      <c r="AA172" s="94"/>
      <c r="AB172" s="94"/>
      <c r="AC172" s="94"/>
      <c r="AD172" s="94"/>
      <c r="AE172" s="94"/>
      <c r="AF172" s="94"/>
      <c r="AG172" s="94"/>
      <c r="AH172" s="94"/>
      <c r="AI172" s="94"/>
      <c r="AJ172" s="94"/>
      <c r="AK172" s="94"/>
      <c r="AL172" s="94"/>
      <c r="AM172" s="94"/>
      <c r="AN172" s="94"/>
      <c r="AO172" s="94"/>
      <c r="AP172" s="235"/>
    </row>
    <row r="173" spans="1:42" s="30" customFormat="1">
      <c r="A173" s="101" t="s">
        <v>1338</v>
      </c>
      <c r="C173" s="92">
        <v>0.34996357560157798</v>
      </c>
      <c r="D173" s="91">
        <v>0.344443</v>
      </c>
      <c r="E173" s="91">
        <v>0.34578399999999998</v>
      </c>
      <c r="F173" s="91">
        <v>0.353574</v>
      </c>
      <c r="G173" s="91">
        <v>0.36034899999999997</v>
      </c>
      <c r="H173" s="91">
        <v>0.36871300000000001</v>
      </c>
      <c r="I173" s="91">
        <v>0.37854300000000002</v>
      </c>
      <c r="J173" s="91">
        <v>0.388235</v>
      </c>
      <c r="L173" s="646"/>
      <c r="M173" s="646"/>
      <c r="N173" s="646"/>
      <c r="O173" s="646"/>
      <c r="P173" s="646"/>
      <c r="Q173" s="646"/>
      <c r="R173" s="646"/>
      <c r="S173" s="646"/>
      <c r="T173" s="94"/>
      <c r="U173" s="94"/>
      <c r="V173" s="94"/>
      <c r="W173" s="94"/>
      <c r="X173" s="94"/>
      <c r="Y173" s="94"/>
      <c r="Z173" s="94"/>
      <c r="AA173" s="94"/>
      <c r="AB173" s="94"/>
      <c r="AC173" s="94"/>
      <c r="AD173" s="94"/>
      <c r="AE173" s="94"/>
      <c r="AF173" s="94"/>
      <c r="AG173" s="94"/>
      <c r="AH173" s="94"/>
      <c r="AI173" s="94"/>
      <c r="AJ173" s="94"/>
      <c r="AK173" s="94"/>
      <c r="AL173" s="94"/>
      <c r="AM173" s="94"/>
      <c r="AN173" s="94"/>
      <c r="AO173" s="94"/>
      <c r="AP173" s="235"/>
    </row>
    <row r="174" spans="1:42" s="30" customFormat="1">
      <c r="A174" s="101" t="s">
        <v>1339</v>
      </c>
      <c r="C174" s="92">
        <v>0.32461026310920699</v>
      </c>
      <c r="D174" s="91">
        <v>0.24814700000000001</v>
      </c>
      <c r="E174" s="91">
        <v>0.25657999999999997</v>
      </c>
      <c r="F174" s="91">
        <v>0.265652</v>
      </c>
      <c r="G174" s="91">
        <v>0.27655200000000002</v>
      </c>
      <c r="H174" s="91">
        <v>0.28820899999999999</v>
      </c>
      <c r="I174" s="91">
        <v>0.30056300000000002</v>
      </c>
      <c r="J174" s="91">
        <v>0.313023</v>
      </c>
      <c r="L174" s="646"/>
      <c r="M174" s="646"/>
      <c r="N174" s="646"/>
      <c r="O174" s="646"/>
      <c r="P174" s="646"/>
      <c r="Q174" s="646"/>
      <c r="R174" s="646"/>
      <c r="S174" s="646"/>
      <c r="T174" s="94"/>
      <c r="U174" s="94"/>
      <c r="V174" s="94"/>
      <c r="W174" s="94"/>
      <c r="X174" s="94"/>
      <c r="Y174" s="94"/>
      <c r="Z174" s="94"/>
      <c r="AA174" s="94"/>
      <c r="AB174" s="94"/>
      <c r="AC174" s="94"/>
      <c r="AD174" s="94"/>
      <c r="AE174" s="94"/>
      <c r="AF174" s="94"/>
      <c r="AG174" s="94"/>
      <c r="AH174" s="94"/>
      <c r="AI174" s="94"/>
      <c r="AJ174" s="94"/>
      <c r="AK174" s="94"/>
      <c r="AL174" s="94"/>
      <c r="AM174" s="94"/>
      <c r="AN174" s="94"/>
      <c r="AO174" s="94"/>
      <c r="AP174" s="235"/>
    </row>
    <row r="175" spans="1:42" s="30" customFormat="1">
      <c r="A175" s="101" t="s">
        <v>1340</v>
      </c>
      <c r="C175" s="92">
        <v>8.3529256284236894E-2</v>
      </c>
      <c r="D175" s="91">
        <v>7.9626000000000002E-2</v>
      </c>
      <c r="E175" s="91">
        <v>8.0264000000000002E-2</v>
      </c>
      <c r="F175" s="91">
        <v>7.9727999999999993E-2</v>
      </c>
      <c r="G175" s="91">
        <v>7.8634999999999997E-2</v>
      </c>
      <c r="H175" s="91">
        <v>7.7917E-2</v>
      </c>
      <c r="I175" s="91">
        <v>7.7727000000000004E-2</v>
      </c>
      <c r="J175" s="91">
        <v>7.8753000000000004E-2</v>
      </c>
      <c r="L175" s="646"/>
      <c r="M175" s="646"/>
      <c r="N175" s="646"/>
      <c r="O175" s="646"/>
      <c r="P175" s="646"/>
      <c r="Q175" s="646"/>
      <c r="R175" s="646"/>
      <c r="S175" s="646"/>
      <c r="T175" s="94"/>
      <c r="U175" s="94"/>
      <c r="V175" s="94"/>
      <c r="W175" s="94"/>
      <c r="X175" s="94"/>
      <c r="Y175" s="94"/>
      <c r="Z175" s="94"/>
      <c r="AA175" s="94"/>
      <c r="AB175" s="94"/>
      <c r="AC175" s="94"/>
      <c r="AD175" s="94"/>
      <c r="AE175" s="94"/>
      <c r="AF175" s="94"/>
      <c r="AG175" s="94"/>
      <c r="AH175" s="94"/>
      <c r="AI175" s="94"/>
      <c r="AJ175" s="94"/>
      <c r="AK175" s="94"/>
      <c r="AL175" s="94"/>
      <c r="AM175" s="94"/>
      <c r="AN175" s="94"/>
      <c r="AO175" s="94"/>
      <c r="AP175" s="235"/>
    </row>
    <row r="176" spans="1:42" s="30" customFormat="1">
      <c r="A176" s="101" t="s">
        <v>1341</v>
      </c>
      <c r="C176" s="92">
        <v>0.72674226760864302</v>
      </c>
      <c r="D176" s="91">
        <v>0.63835299999999995</v>
      </c>
      <c r="E176" s="91">
        <v>0.498996</v>
      </c>
      <c r="F176" s="91">
        <v>0.43620599999999998</v>
      </c>
      <c r="G176" s="91">
        <v>0.39062000000000002</v>
      </c>
      <c r="H176" s="91">
        <v>0.34983500000000001</v>
      </c>
      <c r="I176" s="91">
        <v>0.29919800000000002</v>
      </c>
      <c r="J176" s="91">
        <v>0.27627400000000002</v>
      </c>
      <c r="L176" s="646"/>
      <c r="M176" s="646"/>
      <c r="N176" s="646"/>
      <c r="O176" s="646"/>
      <c r="P176" s="646"/>
      <c r="Q176" s="646"/>
      <c r="R176" s="646"/>
      <c r="S176" s="646"/>
      <c r="T176" s="94"/>
      <c r="U176" s="94"/>
      <c r="V176" s="94"/>
      <c r="W176" s="94"/>
      <c r="X176" s="94"/>
      <c r="Y176" s="94"/>
      <c r="Z176" s="94"/>
      <c r="AA176" s="94"/>
      <c r="AB176" s="94"/>
      <c r="AC176" s="94"/>
      <c r="AD176" s="94"/>
      <c r="AE176" s="94"/>
      <c r="AF176" s="94"/>
      <c r="AG176" s="94"/>
      <c r="AH176" s="94"/>
      <c r="AI176" s="94"/>
      <c r="AJ176" s="94"/>
      <c r="AK176" s="94"/>
      <c r="AL176" s="94"/>
      <c r="AM176" s="94"/>
      <c r="AN176" s="94"/>
      <c r="AO176" s="94"/>
      <c r="AP176" s="235"/>
    </row>
    <row r="177" spans="1:42" s="30" customFormat="1">
      <c r="A177" s="101" t="s">
        <v>1342</v>
      </c>
      <c r="C177" s="92">
        <v>3.4679807722568498E-2</v>
      </c>
      <c r="D177" s="91">
        <v>3.1628999999999997E-2</v>
      </c>
      <c r="E177" s="91">
        <v>3.0263000000000002E-2</v>
      </c>
      <c r="F177" s="91">
        <v>2.5973E-2</v>
      </c>
      <c r="G177" s="91">
        <v>2.2155999999999999E-2</v>
      </c>
      <c r="H177" s="91">
        <v>2.0947E-2</v>
      </c>
      <c r="I177" s="91">
        <v>2.147E-2</v>
      </c>
      <c r="J177" s="91">
        <v>2.2419999999999999E-2</v>
      </c>
      <c r="L177" s="646"/>
      <c r="M177" s="646"/>
      <c r="N177" s="646"/>
      <c r="O177" s="646"/>
      <c r="P177" s="646"/>
      <c r="Q177" s="646"/>
      <c r="R177" s="646"/>
      <c r="S177" s="646"/>
      <c r="T177" s="94"/>
      <c r="U177" s="94"/>
      <c r="V177" s="94"/>
      <c r="W177" s="94"/>
      <c r="X177" s="94"/>
      <c r="Y177" s="94"/>
      <c r="Z177" s="94"/>
      <c r="AA177" s="94"/>
      <c r="AB177" s="94"/>
      <c r="AC177" s="94"/>
      <c r="AD177" s="94"/>
      <c r="AE177" s="94"/>
      <c r="AF177" s="94"/>
      <c r="AG177" s="94"/>
      <c r="AH177" s="94"/>
      <c r="AI177" s="94"/>
      <c r="AJ177" s="94"/>
      <c r="AK177" s="94"/>
      <c r="AL177" s="94"/>
      <c r="AM177" s="94"/>
      <c r="AN177" s="94"/>
      <c r="AO177" s="94"/>
      <c r="AP177" s="235"/>
    </row>
    <row r="178" spans="1:42" s="30" customFormat="1">
      <c r="A178" s="101" t="s">
        <v>1343</v>
      </c>
      <c r="C178" s="92">
        <v>9.5851413905620603E-2</v>
      </c>
      <c r="D178" s="91">
        <v>9.9588999999999997E-2</v>
      </c>
      <c r="E178" s="91">
        <v>9.8664000000000002E-2</v>
      </c>
      <c r="F178" s="91">
        <v>9.7799999999999998E-2</v>
      </c>
      <c r="G178" s="91">
        <v>9.7684999999999994E-2</v>
      </c>
      <c r="H178" s="91">
        <v>0.104022</v>
      </c>
      <c r="I178" s="91">
        <v>0.111884</v>
      </c>
      <c r="J178" s="91">
        <v>0.1197</v>
      </c>
      <c r="L178" s="646"/>
      <c r="M178" s="646"/>
      <c r="N178" s="646"/>
      <c r="O178" s="646"/>
      <c r="P178" s="646"/>
      <c r="Q178" s="646"/>
      <c r="R178" s="646"/>
      <c r="S178" s="646"/>
      <c r="T178" s="94"/>
      <c r="U178" s="94"/>
      <c r="V178" s="94"/>
      <c r="W178" s="94"/>
      <c r="X178" s="94"/>
      <c r="Y178" s="94"/>
      <c r="Z178" s="94"/>
      <c r="AA178" s="94"/>
      <c r="AB178" s="94"/>
      <c r="AC178" s="94"/>
      <c r="AD178" s="94"/>
      <c r="AE178" s="94"/>
      <c r="AF178" s="94"/>
      <c r="AG178" s="94"/>
      <c r="AH178" s="94"/>
      <c r="AI178" s="94"/>
      <c r="AJ178" s="94"/>
      <c r="AK178" s="94"/>
      <c r="AL178" s="94"/>
      <c r="AM178" s="94"/>
      <c r="AN178" s="94"/>
      <c r="AO178" s="94"/>
      <c r="AP178" s="235"/>
    </row>
    <row r="179" spans="1:42" s="30" customFormat="1">
      <c r="A179" s="101" t="s">
        <v>1344</v>
      </c>
      <c r="C179" s="92">
        <v>0.29940426349639898</v>
      </c>
      <c r="D179" s="91">
        <v>0.33408399999999999</v>
      </c>
      <c r="E179" s="91">
        <v>0.32941999999999999</v>
      </c>
      <c r="F179" s="91">
        <v>0.32728299999999999</v>
      </c>
      <c r="G179" s="91">
        <v>0.33494699999999999</v>
      </c>
      <c r="H179" s="91">
        <v>0.35036</v>
      </c>
      <c r="I179" s="91">
        <v>0.37098100000000001</v>
      </c>
      <c r="J179" s="91">
        <v>0.38829999999999998</v>
      </c>
      <c r="L179" s="646"/>
      <c r="M179" s="646"/>
      <c r="N179" s="646"/>
      <c r="O179" s="646"/>
      <c r="P179" s="646"/>
      <c r="Q179" s="646"/>
      <c r="R179" s="646"/>
      <c r="S179" s="646"/>
      <c r="T179" s="94"/>
      <c r="U179" s="94"/>
      <c r="V179" s="94"/>
      <c r="W179" s="94"/>
      <c r="X179" s="94"/>
      <c r="Y179" s="94"/>
      <c r="Z179" s="94"/>
      <c r="AA179" s="94"/>
      <c r="AB179" s="94"/>
      <c r="AC179" s="94"/>
      <c r="AD179" s="94"/>
      <c r="AE179" s="94"/>
      <c r="AF179" s="94"/>
      <c r="AG179" s="94"/>
      <c r="AH179" s="94"/>
      <c r="AI179" s="94"/>
      <c r="AJ179" s="94"/>
      <c r="AK179" s="94"/>
      <c r="AL179" s="94"/>
      <c r="AM179" s="94"/>
      <c r="AN179" s="94"/>
      <c r="AO179" s="94"/>
      <c r="AP179" s="235"/>
    </row>
    <row r="180" spans="1:42" s="30" customFormat="1">
      <c r="A180" s="101" t="s">
        <v>1345</v>
      </c>
      <c r="C180" s="92">
        <v>6.5222315490245805E-2</v>
      </c>
      <c r="D180" s="91">
        <v>0.12784400000000001</v>
      </c>
      <c r="E180" s="91">
        <v>0.11465599999999999</v>
      </c>
      <c r="F180" s="91">
        <v>9.7959000000000004E-2</v>
      </c>
      <c r="G180" s="91">
        <v>8.3530999999999994E-2</v>
      </c>
      <c r="H180" s="91">
        <v>7.1593000000000004E-2</v>
      </c>
      <c r="I180" s="91">
        <v>6.1940000000000002E-2</v>
      </c>
      <c r="J180" s="91">
        <v>5.2770999999999998E-2</v>
      </c>
      <c r="L180" s="646"/>
      <c r="M180" s="646"/>
      <c r="N180" s="646"/>
      <c r="O180" s="646"/>
      <c r="P180" s="646"/>
      <c r="Q180" s="646"/>
      <c r="R180" s="646"/>
      <c r="S180" s="646"/>
      <c r="T180" s="94"/>
      <c r="U180" s="94"/>
      <c r="V180" s="94"/>
      <c r="W180" s="94"/>
      <c r="X180" s="94"/>
      <c r="Y180" s="94"/>
      <c r="Z180" s="94"/>
      <c r="AA180" s="94"/>
      <c r="AB180" s="94"/>
      <c r="AC180" s="94"/>
      <c r="AD180" s="94"/>
      <c r="AE180" s="94"/>
      <c r="AF180" s="94"/>
      <c r="AG180" s="94"/>
      <c r="AH180" s="94"/>
      <c r="AI180" s="94"/>
      <c r="AJ180" s="94"/>
      <c r="AK180" s="94"/>
      <c r="AL180" s="94"/>
      <c r="AM180" s="94"/>
      <c r="AN180" s="94"/>
      <c r="AO180" s="94"/>
      <c r="AP180" s="235"/>
    </row>
    <row r="181" spans="1:42" s="30" customFormat="1">
      <c r="A181" s="101" t="s">
        <v>1346</v>
      </c>
      <c r="C181" s="92">
        <v>5.9013724327087402E-2</v>
      </c>
      <c r="D181" s="91">
        <v>0.11804000000000001</v>
      </c>
      <c r="E181" s="91">
        <v>0.113596</v>
      </c>
      <c r="F181" s="91">
        <v>0.115033</v>
      </c>
      <c r="G181" s="91">
        <v>0.116506</v>
      </c>
      <c r="H181" s="91">
        <v>0.117882</v>
      </c>
      <c r="I181" s="91">
        <v>0.118399</v>
      </c>
      <c r="J181" s="91">
        <v>0.118285</v>
      </c>
      <c r="L181" s="646"/>
      <c r="M181" s="646"/>
      <c r="N181" s="646"/>
      <c r="O181" s="646"/>
      <c r="P181" s="646"/>
      <c r="Q181" s="646"/>
      <c r="R181" s="646"/>
      <c r="S181" s="646"/>
      <c r="T181" s="94"/>
      <c r="U181" s="94"/>
      <c r="V181" s="94"/>
      <c r="W181" s="94"/>
      <c r="X181" s="94"/>
      <c r="Y181" s="94"/>
      <c r="Z181" s="94"/>
      <c r="AA181" s="94"/>
      <c r="AB181" s="94"/>
      <c r="AC181" s="94"/>
      <c r="AD181" s="94"/>
      <c r="AE181" s="94"/>
      <c r="AF181" s="94"/>
      <c r="AG181" s="94"/>
      <c r="AH181" s="94"/>
      <c r="AI181" s="94"/>
      <c r="AJ181" s="94"/>
      <c r="AK181" s="94"/>
      <c r="AL181" s="94"/>
      <c r="AM181" s="94"/>
      <c r="AN181" s="94"/>
      <c r="AO181" s="94"/>
      <c r="AP181" s="235"/>
    </row>
    <row r="182" spans="1:42" s="30" customFormat="1" ht="13">
      <c r="A182" s="101" t="s">
        <v>1347</v>
      </c>
      <c r="C182" s="92">
        <v>1.1602649688720701</v>
      </c>
      <c r="D182" s="91">
        <v>1.398703</v>
      </c>
      <c r="E182" s="91">
        <v>1.4423900000000001</v>
      </c>
      <c r="F182" s="91">
        <v>1.5337240000000001</v>
      </c>
      <c r="G182" s="91">
        <v>1.6330979999999999</v>
      </c>
      <c r="H182" s="91">
        <v>1.744796</v>
      </c>
      <c r="I182" s="91">
        <v>1.858017</v>
      </c>
      <c r="J182" s="91">
        <v>1.9823489999999999</v>
      </c>
      <c r="L182" s="646"/>
      <c r="M182" s="646"/>
      <c r="N182" s="646"/>
      <c r="O182" s="646"/>
      <c r="P182" s="646"/>
      <c r="Q182" s="646"/>
      <c r="R182" s="646"/>
      <c r="S182" s="646"/>
      <c r="T182" s="238"/>
      <c r="U182" s="238"/>
      <c r="V182" s="238"/>
      <c r="W182" s="238"/>
      <c r="X182" s="238"/>
      <c r="Y182" s="238"/>
      <c r="Z182" s="238"/>
      <c r="AA182" s="238"/>
      <c r="AB182" s="238"/>
      <c r="AC182" s="238"/>
      <c r="AD182" s="238"/>
      <c r="AE182" s="238"/>
      <c r="AF182" s="238"/>
      <c r="AG182" s="238"/>
      <c r="AH182" s="238"/>
      <c r="AI182" s="238"/>
      <c r="AJ182" s="238"/>
      <c r="AK182" s="238"/>
      <c r="AL182" s="238"/>
      <c r="AM182" s="238"/>
      <c r="AN182" s="238"/>
      <c r="AO182" s="238"/>
      <c r="AP182" s="239"/>
    </row>
    <row r="183" spans="1:42" s="30" customFormat="1" ht="13">
      <c r="A183" s="30" t="s">
        <v>1348</v>
      </c>
      <c r="C183" s="92">
        <v>11.516374588012701</v>
      </c>
      <c r="D183" s="38">
        <v>11.260408999999999</v>
      </c>
      <c r="E183" s="38">
        <v>10.810661</v>
      </c>
      <c r="F183" s="38">
        <v>10.742025999999999</v>
      </c>
      <c r="G183" s="38">
        <v>10.773243000000001</v>
      </c>
      <c r="H183" s="38">
        <v>10.830589</v>
      </c>
      <c r="I183" s="38">
        <v>10.861997000000001</v>
      </c>
      <c r="J183" s="38">
        <v>10.936849</v>
      </c>
      <c r="L183" s="648"/>
      <c r="M183" s="648"/>
      <c r="N183" s="648"/>
      <c r="O183" s="648"/>
      <c r="P183" s="648"/>
      <c r="Q183" s="648"/>
      <c r="R183" s="648"/>
      <c r="S183" s="648"/>
    </row>
    <row r="184" spans="1:42" s="30" customFormat="1" ht="13">
      <c r="L184" s="646"/>
      <c r="M184" s="646"/>
      <c r="T184" s="238"/>
      <c r="U184" s="238"/>
      <c r="V184" s="238"/>
      <c r="W184" s="238"/>
      <c r="X184" s="238"/>
      <c r="Y184" s="238"/>
      <c r="Z184" s="238"/>
      <c r="AA184" s="238"/>
      <c r="AB184" s="238"/>
      <c r="AC184" s="238"/>
      <c r="AD184" s="238"/>
      <c r="AE184" s="238"/>
      <c r="AF184" s="238"/>
      <c r="AG184" s="238"/>
      <c r="AH184" s="238"/>
      <c r="AI184" s="238"/>
      <c r="AJ184" s="238"/>
      <c r="AK184" s="238"/>
      <c r="AL184" s="238"/>
      <c r="AM184" s="238"/>
      <c r="AN184" s="238"/>
      <c r="AO184" s="238"/>
      <c r="AP184" s="239"/>
    </row>
    <row r="185" spans="1:42" s="30" customFormat="1" ht="13">
      <c r="A185" s="30" t="s">
        <v>1349</v>
      </c>
      <c r="C185" s="92">
        <v>10.1245260238647</v>
      </c>
      <c r="D185" s="38">
        <v>10.131798</v>
      </c>
      <c r="E185" s="38">
        <v>9.7391939999999995</v>
      </c>
      <c r="F185" s="38">
        <v>9.6412230000000001</v>
      </c>
      <c r="G185" s="38">
        <v>9.8094280000000005</v>
      </c>
      <c r="H185" s="38">
        <v>10.000724999999999</v>
      </c>
      <c r="I185" s="38">
        <v>10.224086</v>
      </c>
      <c r="J185" s="38">
        <v>10.546246999999999</v>
      </c>
      <c r="L185" s="648"/>
      <c r="M185" s="648"/>
      <c r="N185" s="648"/>
      <c r="O185" s="648"/>
      <c r="P185" s="648"/>
      <c r="Q185" s="648"/>
      <c r="R185" s="648"/>
      <c r="S185" s="648"/>
    </row>
    <row r="186" spans="1:42" s="30" customFormat="1">
      <c r="L186" s="646"/>
      <c r="M186" s="646"/>
    </row>
    <row r="187" spans="1:42" s="30" customFormat="1" ht="13">
      <c r="A187" s="30" t="s">
        <v>1350</v>
      </c>
      <c r="L187" s="648"/>
      <c r="M187" s="648"/>
      <c r="T187" s="94"/>
      <c r="U187" s="94"/>
      <c r="V187" s="94"/>
      <c r="W187" s="94"/>
      <c r="X187" s="94"/>
      <c r="Y187" s="94"/>
      <c r="Z187" s="94"/>
      <c r="AA187" s="94"/>
      <c r="AB187" s="94"/>
      <c r="AC187" s="94"/>
      <c r="AD187" s="94"/>
      <c r="AE187" s="94"/>
      <c r="AF187" s="94"/>
      <c r="AG187" s="94"/>
      <c r="AH187" s="94"/>
      <c r="AI187" s="94"/>
      <c r="AJ187" s="94"/>
      <c r="AK187" s="94"/>
      <c r="AL187" s="94"/>
      <c r="AM187" s="94"/>
      <c r="AN187" s="94"/>
      <c r="AO187" s="94"/>
      <c r="AP187" s="235"/>
    </row>
    <row r="188" spans="1:42" s="30" customFormat="1">
      <c r="A188" s="30" t="s">
        <v>1334</v>
      </c>
      <c r="C188" s="92">
        <v>6.1418976783752397</v>
      </c>
      <c r="D188" s="91">
        <v>5.6260519999999996</v>
      </c>
      <c r="E188" s="91">
        <v>5.2368370000000004</v>
      </c>
      <c r="F188" s="91">
        <v>5.0540130000000003</v>
      </c>
      <c r="G188" s="91">
        <v>4.9045069999999997</v>
      </c>
      <c r="H188" s="91">
        <v>4.740888</v>
      </c>
      <c r="I188" s="91">
        <v>4.5730620000000002</v>
      </c>
      <c r="J188" s="91">
        <v>4.4082090000000003</v>
      </c>
      <c r="L188" s="646"/>
      <c r="M188" s="646"/>
      <c r="N188" s="646"/>
      <c r="O188" s="646"/>
      <c r="P188" s="646"/>
      <c r="Q188" s="646"/>
      <c r="R188" s="646"/>
      <c r="S188" s="646"/>
      <c r="T188" s="94"/>
      <c r="U188" s="94"/>
      <c r="V188" s="94"/>
      <c r="W188" s="94"/>
      <c r="X188" s="94"/>
      <c r="Y188" s="94"/>
      <c r="Z188" s="94"/>
      <c r="AA188" s="94"/>
      <c r="AB188" s="94"/>
      <c r="AC188" s="94"/>
      <c r="AD188" s="94"/>
      <c r="AE188" s="94"/>
      <c r="AF188" s="94"/>
      <c r="AG188" s="94"/>
      <c r="AH188" s="94"/>
      <c r="AI188" s="94"/>
      <c r="AJ188" s="94"/>
      <c r="AK188" s="94"/>
      <c r="AL188" s="94"/>
      <c r="AM188" s="94"/>
      <c r="AN188" s="94"/>
      <c r="AO188" s="94"/>
      <c r="AP188" s="235"/>
    </row>
    <row r="189" spans="1:42" s="30" customFormat="1">
      <c r="A189" s="30" t="s">
        <v>1335</v>
      </c>
      <c r="C189" s="92">
        <v>2.61447978019714</v>
      </c>
      <c r="D189" s="91">
        <v>2.575663</v>
      </c>
      <c r="E189" s="91">
        <v>2.5343770000000001</v>
      </c>
      <c r="F189" s="91">
        <v>2.680145</v>
      </c>
      <c r="G189" s="91">
        <v>2.9100769999999998</v>
      </c>
      <c r="H189" s="91">
        <v>3.1374019999999998</v>
      </c>
      <c r="I189" s="91">
        <v>3.3717700000000002</v>
      </c>
      <c r="J189" s="91">
        <v>3.6086529999999999</v>
      </c>
      <c r="L189" s="646"/>
      <c r="M189" s="646"/>
      <c r="N189" s="646"/>
      <c r="O189" s="646"/>
      <c r="P189" s="646"/>
      <c r="Q189" s="646"/>
      <c r="R189" s="646"/>
      <c r="S189" s="646"/>
      <c r="T189" s="94"/>
      <c r="U189" s="94"/>
      <c r="V189" s="94"/>
      <c r="W189" s="94"/>
      <c r="X189" s="94"/>
      <c r="Y189" s="94"/>
      <c r="Z189" s="94"/>
      <c r="AA189" s="94"/>
      <c r="AB189" s="94"/>
      <c r="AC189" s="94"/>
      <c r="AD189" s="94"/>
      <c r="AE189" s="94"/>
      <c r="AF189" s="94"/>
      <c r="AG189" s="94"/>
      <c r="AH189" s="94"/>
      <c r="AI189" s="94"/>
      <c r="AJ189" s="94"/>
      <c r="AK189" s="94"/>
      <c r="AL189" s="94"/>
      <c r="AM189" s="94"/>
      <c r="AN189" s="94"/>
      <c r="AO189" s="94"/>
      <c r="AP189" s="235"/>
    </row>
    <row r="190" spans="1:42" s="30" customFormat="1">
      <c r="A190" s="30" t="s">
        <v>1336</v>
      </c>
      <c r="C190" s="92">
        <v>2.4715871810913099</v>
      </c>
      <c r="D190" s="91">
        <v>2.680018</v>
      </c>
      <c r="E190" s="91">
        <v>2.7174230000000001</v>
      </c>
      <c r="F190" s="91">
        <v>2.7117589999999998</v>
      </c>
      <c r="G190" s="91">
        <v>2.7428270000000001</v>
      </c>
      <c r="H190" s="91">
        <v>2.7396630000000002</v>
      </c>
      <c r="I190" s="91">
        <v>2.6922350000000002</v>
      </c>
      <c r="J190" s="91">
        <v>2.64872</v>
      </c>
      <c r="L190" s="646"/>
      <c r="M190" s="646"/>
      <c r="N190" s="646"/>
      <c r="O190" s="646"/>
      <c r="P190" s="646"/>
      <c r="Q190" s="646"/>
      <c r="R190" s="646"/>
      <c r="S190" s="646"/>
      <c r="T190" s="94"/>
      <c r="U190" s="94"/>
      <c r="V190" s="94"/>
      <c r="W190" s="94"/>
      <c r="X190" s="94"/>
      <c r="Y190" s="94"/>
      <c r="Z190" s="94"/>
      <c r="AA190" s="94"/>
      <c r="AB190" s="94"/>
      <c r="AC190" s="94"/>
      <c r="AD190" s="94"/>
      <c r="AE190" s="94"/>
      <c r="AF190" s="94"/>
      <c r="AG190" s="94"/>
      <c r="AH190" s="94"/>
      <c r="AI190" s="94"/>
      <c r="AJ190" s="94"/>
      <c r="AK190" s="94"/>
      <c r="AL190" s="94"/>
      <c r="AM190" s="94"/>
      <c r="AN190" s="94"/>
      <c r="AO190" s="94"/>
      <c r="AP190" s="235"/>
    </row>
    <row r="191" spans="1:42" s="30" customFormat="1">
      <c r="A191" s="30" t="s">
        <v>1337</v>
      </c>
      <c r="C191" s="92">
        <v>1.25530982017517</v>
      </c>
      <c r="D191" s="91">
        <v>1.16662</v>
      </c>
      <c r="E191" s="91">
        <v>1.150711</v>
      </c>
      <c r="F191" s="91">
        <v>1.123723</v>
      </c>
      <c r="G191" s="91">
        <v>1.115604</v>
      </c>
      <c r="H191" s="91">
        <v>1.121726</v>
      </c>
      <c r="I191" s="91">
        <v>1.1467970000000001</v>
      </c>
      <c r="J191" s="91">
        <v>1.185754</v>
      </c>
      <c r="L191" s="646"/>
      <c r="M191" s="646"/>
      <c r="N191" s="646"/>
      <c r="O191" s="646"/>
      <c r="P191" s="646"/>
      <c r="Q191" s="646"/>
      <c r="R191" s="646"/>
      <c r="S191" s="646"/>
      <c r="T191" s="94"/>
      <c r="U191" s="94"/>
      <c r="V191" s="94"/>
      <c r="W191" s="94"/>
      <c r="X191" s="94"/>
      <c r="Y191" s="94"/>
      <c r="Z191" s="94"/>
      <c r="AA191" s="94"/>
      <c r="AB191" s="94"/>
      <c r="AC191" s="94"/>
      <c r="AD191" s="94"/>
      <c r="AE191" s="94"/>
      <c r="AF191" s="94"/>
      <c r="AG191" s="94"/>
      <c r="AH191" s="94"/>
      <c r="AI191" s="94"/>
      <c r="AJ191" s="94"/>
      <c r="AK191" s="94"/>
      <c r="AL191" s="94"/>
      <c r="AM191" s="94"/>
      <c r="AN191" s="94"/>
      <c r="AO191" s="94"/>
      <c r="AP191" s="235"/>
    </row>
    <row r="192" spans="1:42" s="30" customFormat="1">
      <c r="A192" s="30" t="s">
        <v>1351</v>
      </c>
      <c r="C192" s="92">
        <v>0.57268238067626998</v>
      </c>
      <c r="D192" s="91">
        <v>0.56416900000000003</v>
      </c>
      <c r="E192" s="91">
        <v>0.56974199999999997</v>
      </c>
      <c r="F192" s="91">
        <v>0.58692800000000001</v>
      </c>
      <c r="G192" s="91">
        <v>0.60456600000000005</v>
      </c>
      <c r="H192" s="91">
        <v>0.62226000000000004</v>
      </c>
      <c r="I192" s="91">
        <v>0.64125500000000002</v>
      </c>
      <c r="J192" s="91">
        <v>0.66046499999999997</v>
      </c>
      <c r="L192" s="646"/>
      <c r="M192" s="646"/>
      <c r="N192" s="646"/>
      <c r="O192" s="646"/>
      <c r="P192" s="646"/>
      <c r="Q192" s="646"/>
      <c r="R192" s="646"/>
      <c r="S192" s="646"/>
      <c r="T192" s="94"/>
      <c r="U192" s="94"/>
      <c r="V192" s="94"/>
      <c r="W192" s="94"/>
      <c r="X192" s="94"/>
      <c r="Y192" s="94"/>
      <c r="Z192" s="94"/>
      <c r="AA192" s="94"/>
      <c r="AB192" s="94"/>
      <c r="AC192" s="94"/>
      <c r="AD192" s="94"/>
      <c r="AE192" s="94"/>
      <c r="AF192" s="94"/>
      <c r="AG192" s="94"/>
      <c r="AH192" s="94"/>
      <c r="AI192" s="94"/>
      <c r="AJ192" s="94"/>
      <c r="AK192" s="94"/>
      <c r="AL192" s="94"/>
      <c r="AM192" s="94"/>
      <c r="AN192" s="94"/>
      <c r="AO192" s="94"/>
      <c r="AP192" s="235"/>
    </row>
    <row r="193" spans="1:42" s="30" customFormat="1">
      <c r="A193" s="30" t="s">
        <v>1352</v>
      </c>
      <c r="C193" s="92">
        <v>0.87609779834747303</v>
      </c>
      <c r="D193" s="91">
        <v>0.66257600000000005</v>
      </c>
      <c r="E193" s="91">
        <v>0.67711200000000005</v>
      </c>
      <c r="F193" s="91">
        <v>0.68670699999999996</v>
      </c>
      <c r="G193" s="91">
        <v>0.70799500000000004</v>
      </c>
      <c r="H193" s="91">
        <v>0.729993</v>
      </c>
      <c r="I193" s="91">
        <v>0.756081</v>
      </c>
      <c r="J193" s="91">
        <v>0.78313600000000005</v>
      </c>
      <c r="L193" s="646"/>
      <c r="M193" s="646"/>
      <c r="N193" s="646"/>
      <c r="O193" s="646"/>
      <c r="P193" s="646"/>
      <c r="Q193" s="646"/>
      <c r="R193" s="646"/>
      <c r="S193" s="646"/>
      <c r="T193" s="94"/>
      <c r="U193" s="94"/>
      <c r="V193" s="94"/>
      <c r="W193" s="94"/>
      <c r="X193" s="94"/>
      <c r="Y193" s="94"/>
      <c r="Z193" s="94"/>
      <c r="AA193" s="94"/>
      <c r="AB193" s="94"/>
      <c r="AC193" s="94"/>
      <c r="AD193" s="94"/>
      <c r="AE193" s="94"/>
      <c r="AF193" s="94"/>
      <c r="AG193" s="94"/>
      <c r="AH193" s="94"/>
      <c r="AI193" s="94"/>
      <c r="AJ193" s="94"/>
      <c r="AK193" s="94"/>
      <c r="AL193" s="94"/>
      <c r="AM193" s="94"/>
      <c r="AN193" s="94"/>
      <c r="AO193" s="94"/>
      <c r="AP193" s="235"/>
    </row>
    <row r="194" spans="1:42" s="30" customFormat="1">
      <c r="A194" s="30" t="s">
        <v>1340</v>
      </c>
      <c r="C194" s="92">
        <v>0.26588606834411599</v>
      </c>
      <c r="D194" s="91">
        <v>0.245808</v>
      </c>
      <c r="E194" s="91">
        <v>0.245028</v>
      </c>
      <c r="F194" s="91">
        <v>0.23858699999999999</v>
      </c>
      <c r="G194" s="91">
        <v>0.23278699999999999</v>
      </c>
      <c r="H194" s="91">
        <v>0.22756999999999999</v>
      </c>
      <c r="I194" s="91">
        <v>0.22464100000000001</v>
      </c>
      <c r="J194" s="91">
        <v>0.225691</v>
      </c>
      <c r="L194" s="646"/>
      <c r="M194" s="646"/>
      <c r="N194" s="646"/>
      <c r="O194" s="646"/>
      <c r="P194" s="646"/>
      <c r="Q194" s="646"/>
      <c r="R194" s="646"/>
      <c r="S194" s="646"/>
      <c r="T194" s="94"/>
      <c r="U194" s="94"/>
      <c r="V194" s="94"/>
      <c r="W194" s="94"/>
      <c r="X194" s="94"/>
      <c r="Y194" s="94"/>
      <c r="Z194" s="94"/>
      <c r="AA194" s="94"/>
      <c r="AB194" s="94"/>
      <c r="AC194" s="94"/>
      <c r="AD194" s="94"/>
      <c r="AE194" s="94"/>
      <c r="AF194" s="94"/>
      <c r="AG194" s="94"/>
      <c r="AH194" s="94"/>
      <c r="AI194" s="94"/>
      <c r="AJ194" s="94"/>
      <c r="AK194" s="94"/>
      <c r="AL194" s="94"/>
      <c r="AM194" s="94"/>
      <c r="AN194" s="94"/>
      <c r="AO194" s="94"/>
      <c r="AP194" s="235"/>
    </row>
    <row r="195" spans="1:42" s="30" customFormat="1">
      <c r="A195" s="30" t="s">
        <v>1341</v>
      </c>
      <c r="C195" s="92">
        <v>2.3133287429809601</v>
      </c>
      <c r="D195" s="91">
        <v>1.970631</v>
      </c>
      <c r="E195" s="91">
        <v>1.5233319999999999</v>
      </c>
      <c r="F195" s="91">
        <v>1.305347</v>
      </c>
      <c r="G195" s="91">
        <v>1.156374</v>
      </c>
      <c r="H195" s="91">
        <v>1.0217590000000001</v>
      </c>
      <c r="I195" s="91">
        <v>0.86472099999999996</v>
      </c>
      <c r="J195" s="91">
        <v>0.79175399999999996</v>
      </c>
      <c r="L195" s="646"/>
      <c r="M195" s="646"/>
      <c r="N195" s="646"/>
      <c r="O195" s="646"/>
      <c r="P195" s="646"/>
      <c r="Q195" s="646"/>
      <c r="R195" s="646"/>
      <c r="S195" s="646"/>
      <c r="T195" s="94"/>
      <c r="U195" s="94"/>
      <c r="V195" s="94"/>
      <c r="W195" s="94"/>
      <c r="X195" s="94"/>
      <c r="Y195" s="94"/>
      <c r="Z195" s="94"/>
      <c r="AA195" s="94"/>
      <c r="AB195" s="94"/>
      <c r="AC195" s="94"/>
      <c r="AD195" s="94"/>
      <c r="AE195" s="94"/>
      <c r="AF195" s="94"/>
      <c r="AG195" s="94"/>
      <c r="AH195" s="94"/>
      <c r="AI195" s="94"/>
      <c r="AJ195" s="94"/>
      <c r="AK195" s="94"/>
      <c r="AL195" s="94"/>
      <c r="AM195" s="94"/>
      <c r="AN195" s="94"/>
      <c r="AO195" s="94"/>
      <c r="AP195" s="235"/>
    </row>
    <row r="196" spans="1:42" s="30" customFormat="1">
      <c r="A196" s="30" t="s">
        <v>1342</v>
      </c>
      <c r="C196" s="92">
        <v>0.110390990972519</v>
      </c>
      <c r="D196" s="91">
        <v>9.7642000000000007E-2</v>
      </c>
      <c r="E196" s="91">
        <v>9.2385999999999996E-2</v>
      </c>
      <c r="F196" s="91">
        <v>7.7723E-2</v>
      </c>
      <c r="G196" s="91">
        <v>6.5588999999999995E-2</v>
      </c>
      <c r="H196" s="91">
        <v>6.1179999999999998E-2</v>
      </c>
      <c r="I196" s="91">
        <v>6.2051000000000002E-2</v>
      </c>
      <c r="J196" s="91">
        <v>6.4252000000000004E-2</v>
      </c>
      <c r="L196" s="646"/>
      <c r="M196" s="646"/>
      <c r="N196" s="646"/>
      <c r="O196" s="646"/>
      <c r="P196" s="646"/>
      <c r="Q196" s="646"/>
      <c r="R196" s="646"/>
      <c r="S196" s="646"/>
      <c r="T196" s="94"/>
      <c r="U196" s="94"/>
      <c r="V196" s="94"/>
      <c r="W196" s="94"/>
      <c r="X196" s="94"/>
      <c r="Y196" s="94"/>
      <c r="Z196" s="94"/>
      <c r="AA196" s="94"/>
      <c r="AB196" s="94"/>
      <c r="AC196" s="94"/>
      <c r="AD196" s="94"/>
      <c r="AE196" s="94"/>
      <c r="AF196" s="94"/>
      <c r="AG196" s="94"/>
      <c r="AH196" s="94"/>
      <c r="AI196" s="94"/>
      <c r="AJ196" s="94"/>
      <c r="AK196" s="94"/>
      <c r="AL196" s="94"/>
      <c r="AM196" s="94"/>
      <c r="AN196" s="94"/>
      <c r="AO196" s="94"/>
      <c r="AP196" s="235"/>
    </row>
    <row r="197" spans="1:42" s="30" customFormat="1">
      <c r="A197" s="30" t="s">
        <v>1343</v>
      </c>
      <c r="C197" s="92">
        <v>0.305109322071075</v>
      </c>
      <c r="D197" s="91">
        <v>0.30743700000000002</v>
      </c>
      <c r="E197" s="91">
        <v>0.30120000000000002</v>
      </c>
      <c r="F197" s="91">
        <v>0.29266599999999998</v>
      </c>
      <c r="G197" s="91">
        <v>0.28918199999999999</v>
      </c>
      <c r="H197" s="91">
        <v>0.303815</v>
      </c>
      <c r="I197" s="91">
        <v>0.32335799999999998</v>
      </c>
      <c r="J197" s="91">
        <v>0.34304099999999998</v>
      </c>
      <c r="L197" s="646"/>
      <c r="M197" s="646"/>
      <c r="N197" s="646"/>
      <c r="O197" s="646"/>
      <c r="P197" s="646"/>
      <c r="Q197" s="646"/>
      <c r="R197" s="646"/>
      <c r="S197" s="646"/>
      <c r="T197" s="94"/>
      <c r="U197" s="94"/>
      <c r="V197" s="94"/>
      <c r="W197" s="94"/>
      <c r="X197" s="94"/>
      <c r="Y197" s="94"/>
      <c r="Z197" s="94"/>
      <c r="AA197" s="94"/>
      <c r="AB197" s="94"/>
      <c r="AC197" s="94"/>
      <c r="AD197" s="94"/>
      <c r="AE197" s="94"/>
      <c r="AF197" s="94"/>
      <c r="AG197" s="94"/>
      <c r="AH197" s="94"/>
      <c r="AI197" s="94"/>
      <c r="AJ197" s="94"/>
      <c r="AK197" s="94"/>
      <c r="AL197" s="94"/>
      <c r="AM197" s="94"/>
      <c r="AN197" s="94"/>
      <c r="AO197" s="94"/>
      <c r="AP197" s="235"/>
    </row>
    <row r="198" spans="1:42" s="30" customFormat="1">
      <c r="A198" s="30" t="s">
        <v>1344</v>
      </c>
      <c r="C198" s="92">
        <v>0.95304834842681896</v>
      </c>
      <c r="D198" s="91">
        <v>1.031336</v>
      </c>
      <c r="E198" s="91">
        <v>1.005652</v>
      </c>
      <c r="F198" s="91">
        <v>0.97939600000000004</v>
      </c>
      <c r="G198" s="91">
        <v>0.99156299999999997</v>
      </c>
      <c r="H198" s="91">
        <v>1.0232920000000001</v>
      </c>
      <c r="I198" s="91">
        <v>1.072184</v>
      </c>
      <c r="J198" s="91">
        <v>1.1128020000000001</v>
      </c>
      <c r="L198" s="646"/>
      <c r="M198" s="646"/>
      <c r="N198" s="646"/>
      <c r="O198" s="646"/>
      <c r="P198" s="646"/>
      <c r="Q198" s="646"/>
      <c r="R198" s="646"/>
      <c r="S198" s="646"/>
      <c r="T198" s="94"/>
      <c r="U198" s="94"/>
      <c r="V198" s="94"/>
      <c r="W198" s="94"/>
      <c r="X198" s="94"/>
      <c r="Y198" s="94"/>
      <c r="Z198" s="94"/>
      <c r="AA198" s="94"/>
      <c r="AB198" s="94"/>
      <c r="AC198" s="94"/>
      <c r="AD198" s="94"/>
      <c r="AE198" s="94"/>
      <c r="AF198" s="94"/>
      <c r="AG198" s="94"/>
      <c r="AH198" s="94"/>
      <c r="AI198" s="94"/>
      <c r="AJ198" s="94"/>
      <c r="AK198" s="94"/>
      <c r="AL198" s="94"/>
      <c r="AM198" s="94"/>
      <c r="AN198" s="94"/>
      <c r="AO198" s="94"/>
      <c r="AP198" s="235"/>
    </row>
    <row r="199" spans="1:42" s="30" customFormat="1">
      <c r="A199" s="30" t="s">
        <v>1345</v>
      </c>
      <c r="C199" s="92">
        <v>0.20761233568191501</v>
      </c>
      <c r="D199" s="91">
        <v>0.39466099999999998</v>
      </c>
      <c r="E199" s="91">
        <v>0.35002100000000003</v>
      </c>
      <c r="F199" s="91">
        <v>0.29314400000000002</v>
      </c>
      <c r="G199" s="91">
        <v>0.247283</v>
      </c>
      <c r="H199" s="91">
        <v>0.20910100000000001</v>
      </c>
      <c r="I199" s="91">
        <v>0.17901500000000001</v>
      </c>
      <c r="J199" s="91">
        <v>0.15123200000000001</v>
      </c>
      <c r="L199" s="646"/>
      <c r="M199" s="646"/>
      <c r="N199" s="646"/>
      <c r="O199" s="646"/>
      <c r="P199" s="646"/>
      <c r="Q199" s="646"/>
      <c r="R199" s="646"/>
      <c r="S199" s="646"/>
      <c r="T199" s="94"/>
      <c r="U199" s="94"/>
      <c r="V199" s="94"/>
      <c r="W199" s="94"/>
      <c r="X199" s="94"/>
      <c r="Y199" s="94"/>
      <c r="Z199" s="94"/>
      <c r="AA199" s="94"/>
      <c r="AB199" s="94"/>
      <c r="AC199" s="94"/>
      <c r="AD199" s="94"/>
      <c r="AE199" s="94"/>
      <c r="AF199" s="94"/>
      <c r="AG199" s="94"/>
      <c r="AH199" s="94"/>
      <c r="AI199" s="94"/>
      <c r="AJ199" s="94"/>
      <c r="AK199" s="94"/>
      <c r="AL199" s="94"/>
      <c r="AM199" s="94"/>
      <c r="AN199" s="94"/>
      <c r="AO199" s="94"/>
      <c r="AP199" s="235"/>
    </row>
    <row r="200" spans="1:42" s="30" customFormat="1">
      <c r="A200" s="30" t="s">
        <v>1353</v>
      </c>
      <c r="C200" s="92">
        <v>0.187849476933479</v>
      </c>
      <c r="D200" s="91">
        <v>0.36439500000000002</v>
      </c>
      <c r="E200" s="91">
        <v>0.34678599999999998</v>
      </c>
      <c r="F200" s="91">
        <v>0.34423599999999999</v>
      </c>
      <c r="G200" s="91">
        <v>0.34489900000000001</v>
      </c>
      <c r="H200" s="91">
        <v>0.34429799999999999</v>
      </c>
      <c r="I200" s="91">
        <v>0.34218900000000002</v>
      </c>
      <c r="J200" s="91">
        <v>0.33898400000000001</v>
      </c>
      <c r="L200" s="646"/>
      <c r="M200" s="646"/>
      <c r="N200" s="646"/>
      <c r="O200" s="646"/>
      <c r="P200" s="646"/>
      <c r="Q200" s="646"/>
      <c r="R200" s="646"/>
      <c r="S200" s="646"/>
      <c r="T200" s="94"/>
      <c r="U200" s="94"/>
      <c r="V200" s="94"/>
      <c r="W200" s="94"/>
      <c r="X200" s="94"/>
      <c r="Y200" s="94"/>
      <c r="Z200" s="94"/>
      <c r="AA200" s="94"/>
      <c r="AB200" s="94"/>
      <c r="AC200" s="94"/>
      <c r="AD200" s="94"/>
      <c r="AE200" s="94"/>
      <c r="AF200" s="94"/>
      <c r="AG200" s="94"/>
      <c r="AH200" s="94"/>
      <c r="AI200" s="94"/>
      <c r="AJ200" s="94"/>
      <c r="AK200" s="94"/>
      <c r="AL200" s="94"/>
      <c r="AM200" s="94"/>
      <c r="AN200" s="94"/>
      <c r="AO200" s="94"/>
      <c r="AP200" s="235"/>
    </row>
    <row r="201" spans="1:42" s="30" customFormat="1" ht="13">
      <c r="A201" s="30" t="s">
        <v>1354</v>
      </c>
      <c r="C201" s="92">
        <v>3.3656198978424099</v>
      </c>
      <c r="D201" s="91">
        <v>3.7051949999999998</v>
      </c>
      <c r="E201" s="91">
        <v>3.7992490000000001</v>
      </c>
      <c r="F201" s="91">
        <v>4.0088739999999996</v>
      </c>
      <c r="G201" s="91">
        <v>4.2694169999999998</v>
      </c>
      <c r="H201" s="91">
        <v>4.5483659999999997</v>
      </c>
      <c r="I201" s="91">
        <v>4.8367230000000001</v>
      </c>
      <c r="J201" s="91">
        <v>5.1604020000000004</v>
      </c>
      <c r="L201" s="646"/>
      <c r="M201" s="646"/>
      <c r="N201" s="646"/>
      <c r="O201" s="646"/>
      <c r="P201" s="646"/>
      <c r="Q201" s="646"/>
      <c r="R201" s="646"/>
      <c r="S201" s="646"/>
      <c r="T201" s="238"/>
      <c r="U201" s="238"/>
      <c r="V201" s="238"/>
      <c r="W201" s="238"/>
      <c r="X201" s="238"/>
      <c r="Y201" s="238"/>
      <c r="Z201" s="238"/>
      <c r="AA201" s="238"/>
      <c r="AB201" s="238"/>
      <c r="AC201" s="238"/>
      <c r="AD201" s="238"/>
      <c r="AE201" s="238"/>
      <c r="AF201" s="238"/>
      <c r="AG201" s="238"/>
      <c r="AH201" s="238"/>
      <c r="AI201" s="238"/>
      <c r="AJ201" s="238"/>
      <c r="AK201" s="238"/>
      <c r="AL201" s="238"/>
      <c r="AM201" s="238"/>
      <c r="AN201" s="238"/>
      <c r="AO201" s="238"/>
      <c r="AP201" s="239"/>
    </row>
    <row r="202" spans="1:42" s="30" customFormat="1" ht="13">
      <c r="A202" s="30" t="s">
        <v>1355</v>
      </c>
      <c r="C202" s="92">
        <v>21.6409015655518</v>
      </c>
      <c r="D202" s="38">
        <v>21.392208</v>
      </c>
      <c r="E202" s="38">
        <v>20.549854</v>
      </c>
      <c r="F202" s="38">
        <v>20.383248999999999</v>
      </c>
      <c r="G202" s="38">
        <v>20.582671999999999</v>
      </c>
      <c r="H202" s="38">
        <v>20.831313999999999</v>
      </c>
      <c r="I202" s="38">
        <v>21.086082000000001</v>
      </c>
      <c r="J202" s="38">
        <v>21.483097000000001</v>
      </c>
      <c r="L202" s="648"/>
      <c r="M202" s="648"/>
      <c r="N202" s="648"/>
      <c r="O202" s="648"/>
      <c r="P202" s="648"/>
      <c r="Q202" s="648"/>
      <c r="R202" s="648"/>
      <c r="S202" s="648"/>
    </row>
    <row r="203" spans="1:42" s="30" customFormat="1">
      <c r="L203" s="646"/>
      <c r="M203" s="646"/>
    </row>
    <row r="204" spans="1:42" s="30" customFormat="1" ht="13">
      <c r="A204" s="30" t="s">
        <v>1356</v>
      </c>
      <c r="L204" s="648"/>
      <c r="M204" s="648"/>
      <c r="T204" s="94"/>
      <c r="U204" s="94"/>
      <c r="V204" s="94"/>
      <c r="W204" s="94"/>
      <c r="X204" s="94"/>
      <c r="Y204" s="94"/>
      <c r="Z204" s="94"/>
      <c r="AA204" s="94"/>
      <c r="AB204" s="94"/>
      <c r="AC204" s="94"/>
      <c r="AD204" s="94"/>
      <c r="AE204" s="94"/>
      <c r="AF204" s="94"/>
      <c r="AG204" s="94"/>
      <c r="AH204" s="94"/>
      <c r="AI204" s="94"/>
      <c r="AJ204" s="94"/>
      <c r="AK204" s="94"/>
      <c r="AL204" s="94"/>
      <c r="AM204" s="94"/>
      <c r="AN204" s="94"/>
      <c r="AO204" s="94"/>
      <c r="AP204" s="235"/>
    </row>
    <row r="205" spans="1:42" s="30" customFormat="1">
      <c r="A205" s="30" t="s">
        <v>1357</v>
      </c>
      <c r="C205" s="92">
        <v>3.2191900536418E-3</v>
      </c>
      <c r="D205" s="91">
        <v>1.0892000000000001E-2</v>
      </c>
      <c r="E205" s="91">
        <v>1.4688E-2</v>
      </c>
      <c r="F205" s="91">
        <v>1.9826E-2</v>
      </c>
      <c r="G205" s="91">
        <v>2.1811000000000001E-2</v>
      </c>
      <c r="H205" s="91">
        <v>2.2950000000000002E-2</v>
      </c>
      <c r="I205" s="91">
        <v>2.3990000000000001E-2</v>
      </c>
      <c r="J205" s="91">
        <v>2.5647E-2</v>
      </c>
      <c r="L205" s="646"/>
      <c r="M205" s="646"/>
      <c r="N205" s="646"/>
      <c r="O205" s="646"/>
      <c r="P205" s="646"/>
      <c r="Q205" s="646"/>
      <c r="R205" s="646"/>
      <c r="S205" s="646"/>
      <c r="T205" s="94"/>
      <c r="U205" s="94"/>
      <c r="V205" s="94"/>
      <c r="W205" s="94"/>
      <c r="X205" s="94"/>
      <c r="Y205" s="94"/>
      <c r="Z205" s="94"/>
      <c r="AA205" s="94"/>
      <c r="AB205" s="94"/>
      <c r="AC205" s="94"/>
      <c r="AD205" s="94"/>
      <c r="AE205" s="94"/>
      <c r="AF205" s="94"/>
      <c r="AG205" s="94"/>
      <c r="AH205" s="94"/>
      <c r="AI205" s="94"/>
      <c r="AJ205" s="94"/>
      <c r="AK205" s="94"/>
      <c r="AL205" s="94"/>
      <c r="AM205" s="94"/>
      <c r="AN205" s="94"/>
      <c r="AO205" s="94"/>
      <c r="AP205" s="235"/>
    </row>
    <row r="206" spans="1:42" s="30" customFormat="1">
      <c r="A206" s="30" t="s">
        <v>1358</v>
      </c>
      <c r="C206" s="92">
        <v>9.8772877827286703E-3</v>
      </c>
      <c r="D206" s="91">
        <v>4.7939999999999997E-3</v>
      </c>
      <c r="E206" s="91">
        <v>9.8549999999999992E-3</v>
      </c>
      <c r="F206" s="91">
        <v>1.111E-2</v>
      </c>
      <c r="G206" s="91">
        <v>1.1153E-2</v>
      </c>
      <c r="H206" s="91">
        <v>1.1258000000000001E-2</v>
      </c>
      <c r="I206" s="91">
        <v>1.1545E-2</v>
      </c>
      <c r="J206" s="91">
        <v>1.1861E-2</v>
      </c>
      <c r="L206" s="646"/>
      <c r="M206" s="646"/>
      <c r="N206" s="646"/>
      <c r="O206" s="646"/>
      <c r="P206" s="646"/>
      <c r="Q206" s="646"/>
      <c r="R206" s="646"/>
      <c r="S206" s="646"/>
      <c r="T206" s="94"/>
      <c r="U206" s="94"/>
      <c r="V206" s="94"/>
      <c r="W206" s="94"/>
      <c r="X206" s="94"/>
      <c r="Y206" s="94"/>
      <c r="Z206" s="94"/>
      <c r="AA206" s="94"/>
      <c r="AB206" s="94"/>
      <c r="AC206" s="94"/>
      <c r="AD206" s="94"/>
      <c r="AE206" s="94"/>
      <c r="AF206" s="94"/>
      <c r="AG206" s="94"/>
      <c r="AH206" s="94"/>
      <c r="AI206" s="94"/>
      <c r="AJ206" s="94"/>
      <c r="AK206" s="94"/>
      <c r="AL206" s="94"/>
      <c r="AM206" s="94"/>
      <c r="AN206" s="94"/>
      <c r="AO206" s="94"/>
      <c r="AP206" s="235"/>
    </row>
    <row r="207" spans="1:42" s="30" customFormat="1">
      <c r="A207" s="30" t="s">
        <v>1359</v>
      </c>
      <c r="C207" s="92">
        <v>1.0117285273736299E-4</v>
      </c>
      <c r="D207" s="91">
        <v>1.5768000000000001E-2</v>
      </c>
      <c r="E207" s="91">
        <v>6.6061999999999996E-2</v>
      </c>
      <c r="F207" s="91">
        <v>9.6735000000000002E-2</v>
      </c>
      <c r="G207" s="91">
        <v>0.115691</v>
      </c>
      <c r="H207" s="91">
        <v>0.14494299999999999</v>
      </c>
      <c r="I207" s="91">
        <v>0.18159900000000001</v>
      </c>
      <c r="J207" s="91">
        <v>0.22465099999999999</v>
      </c>
      <c r="L207" s="646"/>
      <c r="M207" s="646"/>
      <c r="N207" s="646"/>
      <c r="O207" s="646"/>
      <c r="P207" s="646"/>
      <c r="Q207" s="646"/>
      <c r="R207" s="646"/>
      <c r="S207" s="646"/>
      <c r="T207" s="94"/>
      <c r="U207" s="94"/>
      <c r="V207" s="94"/>
      <c r="W207" s="94"/>
      <c r="X207" s="94"/>
      <c r="Y207" s="94"/>
      <c r="Z207" s="94"/>
      <c r="AA207" s="94"/>
      <c r="AB207" s="94"/>
      <c r="AC207" s="94"/>
      <c r="AD207" s="94"/>
      <c r="AE207" s="94"/>
      <c r="AF207" s="94"/>
      <c r="AG207" s="94"/>
      <c r="AH207" s="94"/>
      <c r="AI207" s="94"/>
      <c r="AJ207" s="94"/>
      <c r="AK207" s="94"/>
      <c r="AL207" s="94"/>
      <c r="AM207" s="94"/>
      <c r="AN207" s="94"/>
      <c r="AO207" s="94"/>
      <c r="AP207" s="235"/>
    </row>
    <row r="208" spans="1:42" s="30" customFormat="1" ht="13">
      <c r="A208" s="30" t="s">
        <v>1360</v>
      </c>
      <c r="C208" s="92"/>
      <c r="D208" s="91">
        <v>5.7700000000000004E-4</v>
      </c>
      <c r="E208" s="91">
        <v>5.6470000000000001E-3</v>
      </c>
      <c r="F208" s="91">
        <v>7.9830000000000005E-3</v>
      </c>
      <c r="G208" s="91">
        <v>7.9830000000000005E-3</v>
      </c>
      <c r="H208" s="91">
        <v>7.9830000000000005E-3</v>
      </c>
      <c r="I208" s="91">
        <v>8.0180000000000008E-3</v>
      </c>
      <c r="J208" s="91">
        <v>8.2620000000000002E-3</v>
      </c>
      <c r="L208" s="646"/>
      <c r="M208" s="646"/>
      <c r="N208" s="646"/>
      <c r="O208" s="646"/>
      <c r="P208" s="646"/>
      <c r="Q208" s="646"/>
      <c r="R208" s="646"/>
      <c r="S208" s="646"/>
      <c r="T208" s="238"/>
      <c r="U208" s="238"/>
      <c r="V208" s="238"/>
      <c r="W208" s="238"/>
      <c r="X208" s="238"/>
      <c r="Y208" s="238"/>
      <c r="Z208" s="238"/>
      <c r="AA208" s="238"/>
      <c r="AB208" s="238"/>
      <c r="AC208" s="238"/>
      <c r="AD208" s="238"/>
      <c r="AE208" s="238"/>
      <c r="AF208" s="238"/>
      <c r="AG208" s="238"/>
      <c r="AH208" s="238"/>
      <c r="AI208" s="238"/>
      <c r="AJ208" s="238"/>
      <c r="AK208" s="238"/>
      <c r="AL208" s="238"/>
      <c r="AM208" s="238"/>
      <c r="AN208" s="238"/>
      <c r="AO208" s="238"/>
      <c r="AP208" s="246"/>
    </row>
    <row r="209" spans="1:36" s="30" customFormat="1" ht="13">
      <c r="A209" s="30" t="s">
        <v>1355</v>
      </c>
      <c r="C209" s="92">
        <v>1.3197651132941199E-2</v>
      </c>
      <c r="D209" s="38">
        <v>3.2031999999999998E-2</v>
      </c>
      <c r="E209" s="38">
        <v>9.6252000000000004E-2</v>
      </c>
      <c r="F209" s="38">
        <v>0.135653</v>
      </c>
      <c r="G209" s="38">
        <v>0.156638</v>
      </c>
      <c r="H209" s="38">
        <v>0.18713299999999999</v>
      </c>
      <c r="I209" s="38">
        <v>0.22515099999999999</v>
      </c>
      <c r="J209" s="38">
        <v>0.27041999999999999</v>
      </c>
      <c r="L209" s="648"/>
      <c r="M209" s="648"/>
      <c r="N209" s="648"/>
      <c r="O209" s="648"/>
      <c r="P209" s="648"/>
      <c r="Q209" s="648"/>
      <c r="R209" s="648"/>
      <c r="S209" s="648"/>
    </row>
    <row r="210" spans="1:36" s="30" customFormat="1">
      <c r="L210" s="646"/>
      <c r="M210" s="646"/>
    </row>
    <row r="211" spans="1:36" s="30" customFormat="1" ht="13">
      <c r="L211" s="648"/>
      <c r="M211" s="648"/>
    </row>
    <row r="212" spans="1:36">
      <c r="A212" s="30"/>
      <c r="B212" s="30"/>
      <c r="C212" s="30"/>
      <c r="D212" s="30"/>
      <c r="E212" s="30"/>
      <c r="F212" s="30"/>
      <c r="G212" s="30"/>
      <c r="H212" s="30"/>
      <c r="I212" s="30"/>
      <c r="J212" s="30"/>
      <c r="K212" s="30"/>
      <c r="L212" s="646"/>
      <c r="M212" s="646"/>
      <c r="N212" s="646"/>
      <c r="O212" s="646"/>
      <c r="P212" s="646"/>
      <c r="Q212" s="646"/>
      <c r="R212" s="646"/>
      <c r="S212" s="646"/>
      <c r="T212" s="646"/>
      <c r="U212" s="646"/>
      <c r="V212" s="646"/>
      <c r="W212" s="646"/>
      <c r="X212" s="646"/>
      <c r="Y212" s="646"/>
      <c r="Z212" s="646"/>
      <c r="AA212" s="646"/>
      <c r="AB212" s="646"/>
      <c r="AC212" s="646"/>
      <c r="AD212" s="646"/>
      <c r="AE212" s="646"/>
      <c r="AF212" s="646"/>
      <c r="AG212" s="646"/>
      <c r="AH212" s="646"/>
      <c r="AI212" s="646"/>
      <c r="AJ212" s="646"/>
    </row>
    <row r="214" spans="1:36" ht="13">
      <c r="A214" s="673" t="s">
        <v>1361</v>
      </c>
      <c r="B214" s="673"/>
      <c r="C214" s="649">
        <v>2005</v>
      </c>
      <c r="D214" s="649">
        <v>2010</v>
      </c>
      <c r="E214" s="649">
        <v>2015</v>
      </c>
      <c r="F214" s="649">
        <v>2020</v>
      </c>
      <c r="G214" s="649">
        <v>2025</v>
      </c>
      <c r="H214" s="649">
        <v>2030</v>
      </c>
      <c r="I214" s="649">
        <v>2035</v>
      </c>
      <c r="J214" s="649">
        <v>2040</v>
      </c>
      <c r="K214" s="646"/>
      <c r="L214" s="646"/>
      <c r="M214" s="646"/>
      <c r="N214" s="646"/>
      <c r="O214" s="646"/>
      <c r="P214" s="646"/>
      <c r="Q214" s="646"/>
      <c r="R214" s="646"/>
      <c r="S214" s="646"/>
      <c r="T214" s="646"/>
      <c r="U214" s="646"/>
      <c r="V214" s="646"/>
      <c r="W214" s="646"/>
      <c r="X214" s="646"/>
      <c r="Y214" s="646"/>
      <c r="Z214" s="646"/>
      <c r="AA214" s="646"/>
      <c r="AB214" s="646"/>
      <c r="AC214" s="646"/>
      <c r="AD214" s="646"/>
      <c r="AE214" s="646"/>
      <c r="AF214" s="646"/>
      <c r="AG214" s="646"/>
      <c r="AH214" s="646"/>
      <c r="AI214" s="646"/>
      <c r="AJ214" s="646"/>
    </row>
    <row r="215" spans="1:36">
      <c r="A215" s="646"/>
      <c r="B215" s="30" t="s">
        <v>1351</v>
      </c>
      <c r="C215" s="247">
        <f>C131/(C131+C147)</f>
        <v>0.32031787925660898</v>
      </c>
      <c r="D215" s="247">
        <f t="shared" ref="D215:J216" si="56">D131/(D131+D147)</f>
        <v>0.33423176314469483</v>
      </c>
      <c r="E215" s="247">
        <f t="shared" si="56"/>
        <v>0.33996934876008922</v>
      </c>
      <c r="F215" s="247">
        <f t="shared" si="56"/>
        <v>0.33237319101286089</v>
      </c>
      <c r="G215" s="247">
        <f t="shared" si="56"/>
        <v>0.32713376705021247</v>
      </c>
      <c r="H215" s="247">
        <f t="shared" si="56"/>
        <v>0.31621597823841541</v>
      </c>
      <c r="I215" s="247">
        <f t="shared" si="56"/>
        <v>0.30872622965665264</v>
      </c>
      <c r="J215" s="247">
        <f t="shared" si="56"/>
        <v>0.29865893753676859</v>
      </c>
      <c r="K215" s="646"/>
      <c r="L215" s="646"/>
      <c r="M215" s="646"/>
      <c r="N215" s="646"/>
      <c r="O215" s="646"/>
      <c r="P215" s="646"/>
      <c r="Q215" s="646"/>
      <c r="R215" s="646"/>
      <c r="S215" s="646"/>
      <c r="T215" s="646"/>
      <c r="U215" s="646"/>
      <c r="V215" s="646"/>
      <c r="W215" s="646"/>
      <c r="X215" s="646"/>
      <c r="Y215" s="646"/>
      <c r="Z215" s="646"/>
      <c r="AA215" s="646"/>
      <c r="AB215" s="646"/>
      <c r="AC215" s="646"/>
      <c r="AD215" s="646"/>
      <c r="AE215" s="646"/>
      <c r="AF215" s="646"/>
      <c r="AG215" s="646"/>
      <c r="AH215" s="646"/>
      <c r="AI215" s="646"/>
      <c r="AJ215" s="646"/>
    </row>
    <row r="216" spans="1:36">
      <c r="A216" s="646"/>
      <c r="B216" s="30" t="s">
        <v>1352</v>
      </c>
      <c r="C216" s="247">
        <f>C132/(C132+C148)</f>
        <v>0.77819802323483911</v>
      </c>
      <c r="D216" s="247">
        <f t="shared" si="56"/>
        <v>0.80021519502552918</v>
      </c>
      <c r="E216" s="247">
        <f t="shared" si="56"/>
        <v>0.79671089082547331</v>
      </c>
      <c r="F216" s="247">
        <f t="shared" si="56"/>
        <v>0.78392444852972221</v>
      </c>
      <c r="G216" s="247">
        <f t="shared" si="56"/>
        <v>0.77388714015995952</v>
      </c>
      <c r="H216" s="247">
        <f t="shared" si="56"/>
        <v>0.76135590556454935</v>
      </c>
      <c r="I216" s="247">
        <f t="shared" si="56"/>
        <v>0.75368936414029242</v>
      </c>
      <c r="J216" s="247">
        <f t="shared" si="56"/>
        <v>0.74305472168477404</v>
      </c>
      <c r="K216" s="646"/>
      <c r="L216" s="646"/>
      <c r="M216" s="646"/>
      <c r="N216" s="646"/>
      <c r="O216" s="646"/>
      <c r="P216" s="646"/>
      <c r="Q216" s="646"/>
      <c r="R216" s="646"/>
      <c r="S216" s="646"/>
      <c r="T216" s="646"/>
      <c r="U216" s="646"/>
      <c r="V216" s="646"/>
      <c r="W216" s="646"/>
      <c r="X216" s="646"/>
      <c r="Y216" s="646"/>
      <c r="Z216" s="646"/>
      <c r="AA216" s="646"/>
      <c r="AB216" s="646"/>
      <c r="AC216" s="646"/>
      <c r="AD216" s="646"/>
      <c r="AE216" s="646"/>
      <c r="AF216" s="646"/>
      <c r="AG216" s="646"/>
      <c r="AH216" s="646"/>
      <c r="AI216" s="646"/>
      <c r="AJ216" s="646"/>
    </row>
    <row r="217" spans="1:36">
      <c r="A217" s="646"/>
      <c r="B217" s="30" t="s">
        <v>1362</v>
      </c>
      <c r="C217" s="247">
        <f>C140/(C140+C149+C155+C162)</f>
        <v>0.77102234896099586</v>
      </c>
      <c r="D217" s="247">
        <f t="shared" ref="D217:J217" si="57">D140/(D140+D149+D155+D162)</f>
        <v>0.79011856690193216</v>
      </c>
      <c r="E217" s="247">
        <f t="shared" si="57"/>
        <v>0.79188270960162344</v>
      </c>
      <c r="F217" s="247">
        <f t="shared" si="57"/>
        <v>0.79007337096587615</v>
      </c>
      <c r="G217" s="247">
        <f t="shared" si="57"/>
        <v>0.78863366992043615</v>
      </c>
      <c r="H217" s="247">
        <f t="shared" si="57"/>
        <v>0.7837358167789098</v>
      </c>
      <c r="I217" s="247">
        <f t="shared" si="57"/>
        <v>0.78241823864662174</v>
      </c>
      <c r="J217" s="247">
        <f t="shared" si="57"/>
        <v>0.77884906448002877</v>
      </c>
      <c r="K217" s="646"/>
      <c r="L217" s="646"/>
      <c r="M217" s="646"/>
      <c r="N217" s="646"/>
      <c r="O217" s="646"/>
      <c r="P217" s="646"/>
      <c r="Q217" s="646"/>
      <c r="R217" s="646"/>
      <c r="S217" s="646"/>
      <c r="T217" s="646"/>
      <c r="U217" s="646"/>
      <c r="V217" s="646"/>
      <c r="W217" s="646"/>
      <c r="X217" s="646"/>
      <c r="Y217" s="646"/>
      <c r="Z217" s="646"/>
      <c r="AA217" s="646"/>
      <c r="AB217" s="646"/>
      <c r="AC217" s="646"/>
      <c r="AD217" s="646"/>
      <c r="AE217" s="646"/>
      <c r="AF217" s="646"/>
      <c r="AG217" s="646"/>
      <c r="AH217" s="646"/>
      <c r="AI217" s="646"/>
      <c r="AJ217" s="30" t="s">
        <v>1291</v>
      </c>
    </row>
    <row r="218" spans="1:36">
      <c r="A218" s="646"/>
      <c r="B218" s="646"/>
      <c r="C218" s="646"/>
      <c r="D218" s="646"/>
      <c r="E218" s="646"/>
      <c r="F218" s="646"/>
      <c r="G218" s="646"/>
      <c r="H218" s="646"/>
      <c r="I218" s="646"/>
      <c r="J218" s="646"/>
      <c r="K218" s="646"/>
      <c r="L218" s="646"/>
      <c r="M218" s="646"/>
      <c r="N218" s="646"/>
      <c r="O218" s="646"/>
      <c r="P218" s="646"/>
      <c r="Q218" s="646"/>
      <c r="R218" s="646"/>
      <c r="S218" s="646"/>
      <c r="T218" s="646"/>
      <c r="U218" s="646"/>
      <c r="V218" s="646"/>
      <c r="W218" s="646"/>
      <c r="X218" s="646"/>
      <c r="Y218" s="646"/>
      <c r="Z218" s="646"/>
      <c r="AA218" s="646"/>
      <c r="AB218" s="646"/>
      <c r="AC218" s="646"/>
      <c r="AD218" s="646"/>
      <c r="AE218" s="646"/>
      <c r="AF218" s="646"/>
      <c r="AG218" s="646"/>
      <c r="AH218" s="646"/>
      <c r="AI218" s="646"/>
      <c r="AJ218" s="30" t="s">
        <v>1363</v>
      </c>
    </row>
    <row r="219" spans="1:36" ht="13">
      <c r="A219" s="646"/>
      <c r="B219" s="646"/>
      <c r="C219" s="646"/>
      <c r="D219" s="646"/>
      <c r="E219" s="646"/>
      <c r="F219" s="646"/>
      <c r="G219" s="646"/>
      <c r="H219" s="646"/>
      <c r="I219" s="646"/>
      <c r="J219" s="646"/>
      <c r="K219" s="646"/>
      <c r="L219" s="646"/>
      <c r="M219" s="646"/>
      <c r="N219" s="646"/>
      <c r="O219" s="646"/>
      <c r="P219" s="646"/>
      <c r="Q219" s="646"/>
      <c r="R219" s="646"/>
      <c r="S219" s="646"/>
      <c r="T219" s="30"/>
      <c r="U219" s="647"/>
      <c r="V219" s="646"/>
      <c r="W219" s="646"/>
      <c r="X219" s="646"/>
      <c r="Y219" s="646"/>
      <c r="Z219" s="646"/>
      <c r="AA219" s="646"/>
      <c r="AB219" s="646"/>
      <c r="AC219" s="646"/>
      <c r="AD219" s="646"/>
      <c r="AE219" s="646"/>
      <c r="AF219" s="646"/>
      <c r="AG219" s="646"/>
      <c r="AH219" s="646"/>
      <c r="AI219" s="646"/>
      <c r="AJ219" s="646"/>
    </row>
    <row r="220" spans="1:36" ht="12.75" customHeight="1">
      <c r="A220" s="674" t="s">
        <v>1364</v>
      </c>
      <c r="B220" s="674"/>
      <c r="C220" s="674"/>
      <c r="D220" s="674"/>
      <c r="E220" s="674"/>
      <c r="F220" s="674"/>
      <c r="G220" s="674"/>
      <c r="H220" s="37"/>
      <c r="I220" s="646"/>
      <c r="J220" s="30"/>
      <c r="K220" s="646"/>
      <c r="L220" s="646"/>
      <c r="M220" s="646"/>
      <c r="N220" s="646"/>
      <c r="O220" s="646"/>
      <c r="P220" s="646"/>
      <c r="Q220" s="646"/>
      <c r="R220" s="646"/>
      <c r="S220" s="646"/>
      <c r="T220" s="647"/>
      <c r="U220" s="647"/>
      <c r="V220" s="646"/>
      <c r="W220" s="646"/>
      <c r="X220" s="646"/>
      <c r="Y220" s="646"/>
      <c r="Z220" s="646"/>
      <c r="AA220" s="646"/>
      <c r="AB220" s="646"/>
      <c r="AC220" s="646"/>
      <c r="AD220" s="646"/>
      <c r="AE220" s="646"/>
      <c r="AF220" s="646"/>
      <c r="AG220" s="646"/>
      <c r="AH220" s="646"/>
      <c r="AI220" s="646"/>
      <c r="AJ220" s="646"/>
    </row>
    <row r="221" spans="1:36" ht="13">
      <c r="A221" s="248"/>
      <c r="B221" s="248"/>
      <c r="C221" s="248"/>
      <c r="D221" s="248"/>
      <c r="E221" s="248"/>
      <c r="F221" s="248"/>
      <c r="G221" s="248"/>
      <c r="H221" s="248"/>
      <c r="I221" s="646">
        <v>2035</v>
      </c>
      <c r="J221" s="30"/>
      <c r="K221" s="646"/>
      <c r="L221" s="648"/>
      <c r="M221" s="648"/>
      <c r="N221" s="648"/>
      <c r="O221" s="648"/>
      <c r="P221" s="648"/>
      <c r="Q221" s="648"/>
      <c r="R221" s="648"/>
      <c r="S221" s="648"/>
      <c r="T221" s="30"/>
      <c r="U221" s="30"/>
      <c r="V221" s="646"/>
      <c r="W221" s="646"/>
      <c r="X221" s="646"/>
      <c r="Y221" s="646"/>
      <c r="Z221" s="646"/>
      <c r="AA221" s="646"/>
      <c r="AB221" s="646"/>
      <c r="AC221" s="646"/>
      <c r="AD221" s="646"/>
      <c r="AE221" s="646"/>
      <c r="AF221" s="646"/>
      <c r="AG221" s="646"/>
      <c r="AH221" s="646"/>
      <c r="AI221" s="646"/>
      <c r="AJ221" s="646"/>
    </row>
    <row r="222" spans="1:36" ht="13">
      <c r="A222" s="647" t="s">
        <v>1365</v>
      </c>
      <c r="B222" s="646"/>
      <c r="C222" s="30"/>
      <c r="D222" s="30"/>
      <c r="E222" s="30"/>
      <c r="F222" s="30"/>
      <c r="G222" s="30"/>
      <c r="H222" s="646"/>
      <c r="I222" s="646"/>
      <c r="J222" s="646"/>
      <c r="K222" s="646"/>
      <c r="L222" s="646"/>
      <c r="M222" s="646"/>
      <c r="N222" s="30"/>
      <c r="O222" s="30"/>
      <c r="P222" s="30"/>
      <c r="Q222" s="30"/>
      <c r="R222" s="30"/>
      <c r="S222" s="30"/>
      <c r="T222" s="94"/>
      <c r="U222" s="30"/>
      <c r="V222" s="646"/>
      <c r="W222" s="646"/>
      <c r="X222" s="646"/>
      <c r="Y222" s="646"/>
      <c r="Z222" s="646"/>
      <c r="AA222" s="646"/>
      <c r="AB222" s="646"/>
      <c r="AC222" s="646"/>
      <c r="AD222" s="646"/>
      <c r="AE222" s="646"/>
      <c r="AF222" s="646"/>
      <c r="AG222" s="646"/>
      <c r="AH222" s="646"/>
      <c r="AI222" s="646"/>
      <c r="AJ222" s="646"/>
    </row>
    <row r="223" spans="1:36" ht="13">
      <c r="A223" s="647" t="s">
        <v>1366</v>
      </c>
      <c r="B223" s="646"/>
      <c r="C223" s="30"/>
      <c r="D223" s="30"/>
      <c r="E223" s="30"/>
      <c r="F223" s="30"/>
      <c r="G223" s="30"/>
      <c r="H223" s="646"/>
      <c r="I223" s="646"/>
      <c r="J223" s="646"/>
      <c r="K223" s="646"/>
      <c r="L223" s="648"/>
      <c r="M223" s="648"/>
      <c r="N223" s="30"/>
      <c r="O223" s="30"/>
      <c r="P223" s="30"/>
      <c r="Q223" s="30"/>
      <c r="R223" s="30"/>
      <c r="S223" s="30"/>
      <c r="T223" s="94"/>
      <c r="U223" s="235"/>
      <c r="V223" s="646"/>
      <c r="W223" s="646"/>
      <c r="X223" s="646"/>
      <c r="Y223" s="646"/>
      <c r="Z223" s="646"/>
      <c r="AA223" s="646"/>
      <c r="AB223" s="646"/>
      <c r="AC223" s="646"/>
      <c r="AD223" s="646"/>
      <c r="AE223" s="646"/>
      <c r="AF223" s="646"/>
      <c r="AG223" s="646"/>
      <c r="AH223" s="646"/>
      <c r="AI223" s="646"/>
      <c r="AJ223" s="646"/>
    </row>
    <row r="224" spans="1:36">
      <c r="A224" s="30" t="s">
        <v>1367</v>
      </c>
      <c r="B224" s="646"/>
      <c r="C224" s="92">
        <v>9.0129785537719709</v>
      </c>
      <c r="D224" s="91">
        <v>9.4284479999999995</v>
      </c>
      <c r="E224" s="91">
        <v>10.782083999999999</v>
      </c>
      <c r="F224" s="91">
        <v>13.210682</v>
      </c>
      <c r="G224" s="91">
        <v>15.564698999999999</v>
      </c>
      <c r="H224" s="91">
        <v>17.948681000000001</v>
      </c>
      <c r="I224" s="91">
        <v>20.221375999999999</v>
      </c>
      <c r="J224" s="91">
        <v>22.454535</v>
      </c>
      <c r="K224" s="646"/>
      <c r="L224" s="646"/>
      <c r="M224" s="646"/>
      <c r="N224" s="646"/>
      <c r="O224" s="646"/>
      <c r="P224" s="646"/>
      <c r="Q224" s="646"/>
      <c r="R224" s="646"/>
      <c r="S224" s="646"/>
      <c r="T224" s="235"/>
      <c r="U224" s="646"/>
      <c r="V224" s="646"/>
      <c r="W224" s="646"/>
      <c r="X224" s="646"/>
      <c r="Y224" s="646"/>
      <c r="Z224" s="646"/>
      <c r="AA224" s="646"/>
      <c r="AB224" s="646"/>
      <c r="AC224" s="646"/>
      <c r="AD224" s="646"/>
      <c r="AE224" s="646"/>
      <c r="AF224" s="646"/>
      <c r="AG224" s="646"/>
      <c r="AH224" s="646"/>
      <c r="AI224" s="646"/>
      <c r="AJ224" s="646"/>
    </row>
    <row r="225" spans="1:20">
      <c r="A225" s="30" t="s">
        <v>1368</v>
      </c>
      <c r="B225" s="646"/>
      <c r="C225" s="92">
        <v>24.643083572387699</v>
      </c>
      <c r="D225" s="91">
        <v>29.383524000000001</v>
      </c>
      <c r="E225" s="91">
        <v>29.266096000000001</v>
      </c>
      <c r="F225" s="91">
        <v>29.599385999999999</v>
      </c>
      <c r="G225" s="91">
        <v>29.984966</v>
      </c>
      <c r="H225" s="91">
        <v>30.457101999999999</v>
      </c>
      <c r="I225" s="91">
        <v>30.938476999999999</v>
      </c>
      <c r="J225" s="91">
        <v>31.437695999999999</v>
      </c>
      <c r="K225" s="646"/>
      <c r="L225" s="646"/>
      <c r="M225" s="646"/>
      <c r="N225" s="646"/>
      <c r="O225" s="646"/>
      <c r="P225" s="646"/>
      <c r="Q225" s="646"/>
      <c r="R225" s="646"/>
      <c r="S225" s="646"/>
      <c r="T225" s="244"/>
    </row>
    <row r="226" spans="1:20">
      <c r="A226" s="30" t="s">
        <v>1369</v>
      </c>
      <c r="B226" s="646"/>
      <c r="C226" s="92">
        <v>0</v>
      </c>
      <c r="D226" s="91">
        <v>0.40661399999999998</v>
      </c>
      <c r="E226" s="91">
        <v>0.40098899999999998</v>
      </c>
      <c r="F226" s="91">
        <v>0.39396999999999999</v>
      </c>
      <c r="G226" s="91">
        <v>0.38708300000000001</v>
      </c>
      <c r="H226" s="91">
        <v>0.38032700000000003</v>
      </c>
      <c r="I226" s="91">
        <v>0.373695</v>
      </c>
      <c r="J226" s="91">
        <v>0.36718699999999999</v>
      </c>
      <c r="K226" s="646"/>
      <c r="L226" s="646"/>
      <c r="M226" s="646"/>
      <c r="N226" s="646"/>
      <c r="O226" s="646"/>
      <c r="P226" s="646"/>
      <c r="Q226" s="646"/>
      <c r="R226" s="646"/>
      <c r="S226" s="646"/>
      <c r="T226" s="235"/>
    </row>
    <row r="227" spans="1:20">
      <c r="A227" s="30" t="s">
        <v>1370</v>
      </c>
      <c r="B227" s="646"/>
      <c r="C227" s="92">
        <v>58.612491607666001</v>
      </c>
      <c r="D227" s="91">
        <v>56.362037999999998</v>
      </c>
      <c r="E227" s="91">
        <v>57.758724000000001</v>
      </c>
      <c r="F227" s="91">
        <v>60.771011000000001</v>
      </c>
      <c r="G227" s="91">
        <v>63.648304000000003</v>
      </c>
      <c r="H227" s="91">
        <v>66.507378000000003</v>
      </c>
      <c r="I227" s="91">
        <v>69.147659000000004</v>
      </c>
      <c r="J227" s="91">
        <v>71.724120999999997</v>
      </c>
      <c r="K227" s="646"/>
      <c r="L227" s="646"/>
      <c r="M227" s="646"/>
      <c r="N227" s="646"/>
      <c r="O227" s="646"/>
      <c r="P227" s="646"/>
      <c r="Q227" s="646"/>
      <c r="R227" s="646"/>
      <c r="S227" s="646"/>
      <c r="T227" s="235"/>
    </row>
    <row r="228" spans="1:20">
      <c r="A228" s="30" t="s">
        <v>1371</v>
      </c>
      <c r="B228" s="646"/>
      <c r="C228" s="92">
        <v>7.76714992523193</v>
      </c>
      <c r="D228" s="91">
        <v>6.7947689999999996</v>
      </c>
      <c r="E228" s="91">
        <v>6.5325879999999996</v>
      </c>
      <c r="F228" s="91">
        <v>6.2292730000000001</v>
      </c>
      <c r="G228" s="91">
        <v>5.9322910000000002</v>
      </c>
      <c r="H228" s="91">
        <v>5.6429720000000003</v>
      </c>
      <c r="I228" s="91">
        <v>5.3817180000000002</v>
      </c>
      <c r="J228" s="91">
        <v>5.1507170000000002</v>
      </c>
      <c r="K228" s="646"/>
      <c r="L228" s="646"/>
      <c r="M228" s="646"/>
      <c r="N228" s="646"/>
      <c r="O228" s="646"/>
      <c r="P228" s="646"/>
      <c r="Q228" s="646"/>
      <c r="R228" s="646"/>
      <c r="S228" s="646"/>
      <c r="T228" s="235"/>
    </row>
    <row r="229" spans="1:20">
      <c r="A229" s="30" t="s">
        <v>1372</v>
      </c>
      <c r="B229" s="646"/>
      <c r="C229" s="92">
        <v>6.0340309143066397</v>
      </c>
      <c r="D229" s="91">
        <v>5.5439420000000004</v>
      </c>
      <c r="E229" s="91">
        <v>5.4402140000000001</v>
      </c>
      <c r="F229" s="91">
        <v>5.3711200000000003</v>
      </c>
      <c r="G229" s="91">
        <v>5.3105890000000002</v>
      </c>
      <c r="H229" s="91">
        <v>5.2659539999999998</v>
      </c>
      <c r="I229" s="91">
        <v>5.2271320000000001</v>
      </c>
      <c r="J229" s="91">
        <v>5.1974900000000002</v>
      </c>
      <c r="K229" s="646"/>
      <c r="L229" s="646"/>
      <c r="M229" s="646"/>
      <c r="N229" s="646"/>
      <c r="O229" s="646"/>
      <c r="P229" s="646"/>
      <c r="Q229" s="646"/>
      <c r="R229" s="646"/>
      <c r="S229" s="646"/>
      <c r="T229" s="235"/>
    </row>
    <row r="230" spans="1:20">
      <c r="A230" s="30" t="s">
        <v>1373</v>
      </c>
      <c r="B230" s="646"/>
      <c r="C230" s="92">
        <v>0.68602198362350497</v>
      </c>
      <c r="D230" s="91">
        <v>0.48496600000000001</v>
      </c>
      <c r="E230" s="91">
        <v>0.464974</v>
      </c>
      <c r="F230" s="91">
        <v>0.45170500000000002</v>
      </c>
      <c r="G230" s="91">
        <v>0.43881900000000001</v>
      </c>
      <c r="H230" s="91">
        <v>0.426759</v>
      </c>
      <c r="I230" s="91">
        <v>0.414599</v>
      </c>
      <c r="J230" s="91">
        <v>0.40295300000000001</v>
      </c>
      <c r="K230" s="646"/>
      <c r="L230" s="646"/>
      <c r="M230" s="646"/>
      <c r="N230" s="646"/>
      <c r="O230" s="646"/>
      <c r="P230" s="646"/>
      <c r="Q230" s="646"/>
      <c r="R230" s="646"/>
      <c r="S230" s="646"/>
      <c r="T230" s="235"/>
    </row>
    <row r="231" spans="1:20">
      <c r="A231" s="30" t="s">
        <v>1374</v>
      </c>
      <c r="B231" s="646"/>
      <c r="C231" s="92">
        <v>2.8879349231720002</v>
      </c>
      <c r="D231" s="91">
        <v>2.8175810000000001</v>
      </c>
      <c r="E231" s="91">
        <v>2.7498459999999998</v>
      </c>
      <c r="F231" s="91">
        <v>2.674153</v>
      </c>
      <c r="G231" s="91">
        <v>2.6052550000000001</v>
      </c>
      <c r="H231" s="91">
        <v>2.5417290000000001</v>
      </c>
      <c r="I231" s="91">
        <v>2.4828260000000002</v>
      </c>
      <c r="J231" s="91">
        <v>2.427972</v>
      </c>
      <c r="K231" s="646"/>
      <c r="L231" s="646"/>
      <c r="M231" s="646"/>
      <c r="N231" s="646"/>
      <c r="O231" s="646"/>
      <c r="P231" s="646"/>
      <c r="Q231" s="646"/>
      <c r="R231" s="646"/>
      <c r="S231" s="646"/>
      <c r="T231" s="235"/>
    </row>
    <row r="232" spans="1:20" ht="13">
      <c r="A232" s="30" t="s">
        <v>1375</v>
      </c>
      <c r="B232" s="646"/>
      <c r="C232" s="92">
        <v>0.15187999606132499</v>
      </c>
      <c r="D232" s="91">
        <v>0.79883800000000005</v>
      </c>
      <c r="E232" s="91">
        <v>1.157117</v>
      </c>
      <c r="F232" s="91">
        <v>1.6737040000000001</v>
      </c>
      <c r="G232" s="91">
        <v>1.962008</v>
      </c>
      <c r="H232" s="91">
        <v>2.1602030000000001</v>
      </c>
      <c r="I232" s="91">
        <v>2.303741</v>
      </c>
      <c r="J232" s="91">
        <v>2.4254709999999999</v>
      </c>
      <c r="K232" s="646"/>
      <c r="L232" s="646"/>
      <c r="M232" s="646"/>
      <c r="N232" s="646"/>
      <c r="O232" s="646"/>
      <c r="P232" s="646"/>
      <c r="Q232" s="646"/>
      <c r="R232" s="646"/>
      <c r="S232" s="646"/>
      <c r="T232" s="239"/>
    </row>
    <row r="233" spans="1:20" ht="13">
      <c r="A233" s="30" t="s">
        <v>1190</v>
      </c>
      <c r="B233" s="646"/>
      <c r="C233" s="102">
        <v>109.79556274414099</v>
      </c>
      <c r="D233" s="38">
        <v>112.02072099999999</v>
      </c>
      <c r="E233" s="38">
        <v>114.552635</v>
      </c>
      <c r="F233" s="38">
        <v>120.37500799999999</v>
      </c>
      <c r="G233" s="38">
        <v>125.834007</v>
      </c>
      <c r="H233" s="38">
        <v>131.33109999999999</v>
      </c>
      <c r="I233" s="38">
        <v>136.49121099999999</v>
      </c>
      <c r="J233" s="38">
        <v>141.58815000000001</v>
      </c>
      <c r="K233" s="646"/>
      <c r="L233" s="648"/>
      <c r="M233" s="648"/>
      <c r="N233" s="648"/>
      <c r="O233" s="648"/>
      <c r="P233" s="648"/>
      <c r="Q233" s="648"/>
      <c r="R233" s="648"/>
      <c r="S233" s="648"/>
      <c r="T233" s="30"/>
    </row>
    <row r="234" spans="1:20">
      <c r="A234" s="30"/>
      <c r="B234" s="646"/>
      <c r="C234" s="30"/>
      <c r="D234" s="30"/>
      <c r="E234" s="30"/>
      <c r="F234" s="30"/>
      <c r="G234" s="30"/>
      <c r="H234" s="30"/>
      <c r="I234" s="30"/>
      <c r="J234" s="30"/>
      <c r="K234" s="646"/>
      <c r="L234" s="646"/>
      <c r="M234" s="646"/>
      <c r="N234" s="30"/>
      <c r="O234" s="30"/>
      <c r="P234" s="30"/>
      <c r="Q234" s="30"/>
      <c r="R234" s="30"/>
      <c r="S234" s="30"/>
      <c r="T234" s="30"/>
    </row>
    <row r="235" spans="1:20" ht="13">
      <c r="A235" s="647" t="s">
        <v>1376</v>
      </c>
      <c r="B235" s="646"/>
      <c r="C235" s="30"/>
      <c r="D235" s="30"/>
      <c r="E235" s="30"/>
      <c r="F235" s="30"/>
      <c r="G235" s="30"/>
      <c r="H235" s="30"/>
      <c r="I235" s="30"/>
      <c r="J235" s="30"/>
      <c r="K235" s="646"/>
      <c r="L235" s="648"/>
      <c r="M235" s="648"/>
      <c r="N235" s="30"/>
      <c r="O235" s="30"/>
      <c r="P235" s="30"/>
      <c r="Q235" s="30"/>
      <c r="R235" s="30"/>
      <c r="S235" s="30"/>
      <c r="T235" s="235"/>
    </row>
    <row r="236" spans="1:20">
      <c r="A236" s="30" t="s">
        <v>1367</v>
      </c>
      <c r="B236" s="646"/>
      <c r="C236" s="92">
        <v>9.0129785537719709</v>
      </c>
      <c r="D236" s="91">
        <v>9.4284490000000005</v>
      </c>
      <c r="E236" s="91">
        <v>10.782088</v>
      </c>
      <c r="F236" s="91">
        <v>13.210680999999999</v>
      </c>
      <c r="G236" s="91">
        <v>15.564704000000001</v>
      </c>
      <c r="H236" s="91">
        <v>17.948687</v>
      </c>
      <c r="I236" s="91">
        <v>20.221384</v>
      </c>
      <c r="J236" s="91">
        <v>22.454535</v>
      </c>
      <c r="K236" s="646"/>
      <c r="L236" s="646"/>
      <c r="M236" s="646"/>
      <c r="N236" s="646"/>
      <c r="O236" s="646"/>
      <c r="P236" s="646"/>
      <c r="Q236" s="646"/>
      <c r="R236" s="646"/>
      <c r="S236" s="646"/>
      <c r="T236" s="244"/>
    </row>
    <row r="237" spans="1:20">
      <c r="A237" s="30" t="s">
        <v>1369</v>
      </c>
      <c r="B237" s="646"/>
      <c r="C237" s="92">
        <v>9.9999999747524292E-7</v>
      </c>
      <c r="D237" s="91">
        <v>0.40661399999999998</v>
      </c>
      <c r="E237" s="91">
        <v>0.40098899999999998</v>
      </c>
      <c r="F237" s="91">
        <v>0.39396999999999999</v>
      </c>
      <c r="G237" s="91">
        <v>0.38708300000000001</v>
      </c>
      <c r="H237" s="91">
        <v>0.38032700000000003</v>
      </c>
      <c r="I237" s="91">
        <v>0.373695</v>
      </c>
      <c r="J237" s="91">
        <v>0.36718699999999999</v>
      </c>
      <c r="K237" s="646"/>
      <c r="L237" s="646"/>
      <c r="M237" s="646"/>
      <c r="N237" s="646"/>
      <c r="O237" s="646"/>
      <c r="P237" s="646"/>
      <c r="Q237" s="646"/>
      <c r="R237" s="646"/>
      <c r="S237" s="646"/>
      <c r="T237" s="235"/>
    </row>
    <row r="238" spans="1:20">
      <c r="A238" s="30" t="s">
        <v>1375</v>
      </c>
      <c r="B238" s="646"/>
      <c r="C238" s="92">
        <v>0.15187999606132499</v>
      </c>
      <c r="D238" s="91">
        <v>0.79883800000000005</v>
      </c>
      <c r="E238" s="91">
        <v>1.157117</v>
      </c>
      <c r="F238" s="91">
        <v>1.6737029999999999</v>
      </c>
      <c r="G238" s="91">
        <v>1.962008</v>
      </c>
      <c r="H238" s="91">
        <v>2.1602030000000001</v>
      </c>
      <c r="I238" s="91">
        <v>2.3037420000000002</v>
      </c>
      <c r="J238" s="91">
        <v>2.4254720000000001</v>
      </c>
      <c r="K238" s="646"/>
      <c r="L238" s="646"/>
      <c r="M238" s="646"/>
      <c r="N238" s="646"/>
      <c r="O238" s="646"/>
      <c r="P238" s="646"/>
      <c r="Q238" s="646"/>
      <c r="R238" s="646"/>
      <c r="S238" s="646"/>
      <c r="T238" s="235"/>
    </row>
    <row r="239" spans="1:20">
      <c r="A239" s="30" t="s">
        <v>1377</v>
      </c>
      <c r="B239" s="646"/>
      <c r="C239" s="92">
        <v>56.698097229003899</v>
      </c>
      <c r="D239" s="91">
        <v>63.027839999999998</v>
      </c>
      <c r="E239" s="91">
        <v>67.554817</v>
      </c>
      <c r="F239" s="91">
        <v>74.527168000000003</v>
      </c>
      <c r="G239" s="91">
        <v>81.311194999999998</v>
      </c>
      <c r="H239" s="91">
        <v>88.018906000000001</v>
      </c>
      <c r="I239" s="91">
        <v>94.422957999999994</v>
      </c>
      <c r="J239" s="91">
        <v>100.67227200000001</v>
      </c>
      <c r="K239" s="646"/>
      <c r="L239" s="646"/>
      <c r="M239" s="646"/>
      <c r="N239" s="646"/>
      <c r="O239" s="646"/>
      <c r="P239" s="646"/>
      <c r="Q239" s="646"/>
      <c r="R239" s="646"/>
      <c r="S239" s="646"/>
      <c r="T239" s="235"/>
    </row>
    <row r="240" spans="1:20" ht="13">
      <c r="A240" s="30" t="s">
        <v>1378</v>
      </c>
      <c r="B240" s="646"/>
      <c r="C240" s="92">
        <v>51.317440032958999</v>
      </c>
      <c r="D240" s="91">
        <v>48.668446000000003</v>
      </c>
      <c r="E240" s="91">
        <v>48.105705</v>
      </c>
      <c r="F240" s="91">
        <v>47.775635000000001</v>
      </c>
      <c r="G240" s="91">
        <v>47.474727999999999</v>
      </c>
      <c r="H240" s="91">
        <v>47.236697999999997</v>
      </c>
      <c r="I240" s="91">
        <v>47.008338999999999</v>
      </c>
      <c r="J240" s="91">
        <v>46.804248999999999</v>
      </c>
      <c r="K240" s="646"/>
      <c r="L240" s="646"/>
      <c r="M240" s="646"/>
      <c r="N240" s="646"/>
      <c r="O240" s="646"/>
      <c r="P240" s="646"/>
      <c r="Q240" s="646"/>
      <c r="R240" s="646"/>
      <c r="S240" s="646"/>
      <c r="T240" s="239"/>
    </row>
    <row r="241" spans="1:20" ht="13">
      <c r="A241" s="30" t="s">
        <v>1190</v>
      </c>
      <c r="B241" s="646"/>
      <c r="C241" s="249">
        <f>SUM(C236:C240)</f>
        <v>117.18039681179619</v>
      </c>
      <c r="D241" s="249">
        <f t="shared" ref="D241:J241" si="58">SUM(D236:D240)</f>
        <v>122.330187</v>
      </c>
      <c r="E241" s="249">
        <f t="shared" si="58"/>
        <v>128.00071600000001</v>
      </c>
      <c r="F241" s="249">
        <f t="shared" si="58"/>
        <v>137.58115699999999</v>
      </c>
      <c r="G241" s="249">
        <f t="shared" si="58"/>
        <v>146.69971799999999</v>
      </c>
      <c r="H241" s="249">
        <f t="shared" si="58"/>
        <v>155.744821</v>
      </c>
      <c r="I241" s="249">
        <f t="shared" si="58"/>
        <v>164.330118</v>
      </c>
      <c r="J241" s="249">
        <f t="shared" si="58"/>
        <v>172.723715</v>
      </c>
      <c r="K241" s="646"/>
      <c r="L241" s="648"/>
      <c r="M241" s="648"/>
      <c r="N241" s="648"/>
      <c r="O241" s="648"/>
      <c r="P241" s="648"/>
      <c r="Q241" s="648"/>
      <c r="R241" s="648"/>
      <c r="S241" s="648"/>
      <c r="T241" s="30"/>
    </row>
    <row r="242" spans="1:20">
      <c r="A242" s="30"/>
      <c r="B242" s="646"/>
      <c r="C242" s="30"/>
      <c r="D242" s="30"/>
      <c r="E242" s="30"/>
      <c r="F242" s="30"/>
      <c r="G242" s="30"/>
      <c r="H242" s="30"/>
      <c r="I242" s="30"/>
      <c r="J242" s="30"/>
      <c r="K242" s="646"/>
      <c r="L242" s="646"/>
      <c r="M242" s="646"/>
      <c r="N242" s="30"/>
      <c r="O242" s="30"/>
      <c r="P242" s="30"/>
      <c r="Q242" s="30"/>
      <c r="R242" s="30"/>
      <c r="S242" s="30"/>
      <c r="T242" s="30"/>
    </row>
    <row r="243" spans="1:20" ht="13">
      <c r="A243" s="647" t="s">
        <v>1379</v>
      </c>
      <c r="B243" s="646"/>
      <c r="C243" s="30"/>
      <c r="D243" s="30"/>
      <c r="E243" s="30"/>
      <c r="F243" s="30"/>
      <c r="G243" s="30"/>
      <c r="H243" s="30"/>
      <c r="I243" s="30"/>
      <c r="J243" s="30"/>
      <c r="K243" s="646"/>
      <c r="L243" s="648"/>
      <c r="M243" s="648"/>
      <c r="N243" s="30"/>
      <c r="O243" s="30"/>
      <c r="P243" s="30"/>
      <c r="Q243" s="30"/>
      <c r="R243" s="30"/>
      <c r="S243" s="30"/>
      <c r="T243" s="235"/>
    </row>
    <row r="244" spans="1:20">
      <c r="A244" s="30" t="s">
        <v>1380</v>
      </c>
      <c r="B244" s="646"/>
      <c r="C244" s="92">
        <v>43.052391052246101</v>
      </c>
      <c r="D244" s="91">
        <v>47.497748999999999</v>
      </c>
      <c r="E244" s="91">
        <v>50.246932999999999</v>
      </c>
      <c r="F244" s="91">
        <v>54.931561000000002</v>
      </c>
      <c r="G244" s="91">
        <v>59.051430000000003</v>
      </c>
      <c r="H244" s="91">
        <v>63.069358999999999</v>
      </c>
      <c r="I244" s="91">
        <v>66.807533000000006</v>
      </c>
      <c r="J244" s="91">
        <v>70.429862999999997</v>
      </c>
      <c r="K244" s="646"/>
      <c r="L244" s="646"/>
      <c r="M244" s="646"/>
      <c r="N244" s="646"/>
      <c r="O244" s="646"/>
      <c r="P244" s="646"/>
      <c r="Q244" s="646"/>
      <c r="R244" s="646"/>
      <c r="S244" s="646"/>
      <c r="T244" s="235"/>
    </row>
    <row r="245" spans="1:20">
      <c r="A245" s="30" t="s">
        <v>1381</v>
      </c>
      <c r="B245" s="646"/>
      <c r="C245" s="92">
        <v>58.660655975341797</v>
      </c>
      <c r="D245" s="91">
        <v>58.053196</v>
      </c>
      <c r="E245" s="91">
        <v>58.583553000000002</v>
      </c>
      <c r="F245" s="91">
        <v>60.630791000000002</v>
      </c>
      <c r="G245" s="91">
        <v>62.595528000000002</v>
      </c>
      <c r="H245" s="91">
        <v>64.532852000000005</v>
      </c>
      <c r="I245" s="91">
        <v>66.265884</v>
      </c>
      <c r="J245" s="91">
        <v>67.936592000000005</v>
      </c>
      <c r="K245" s="646"/>
      <c r="L245" s="646"/>
      <c r="M245" s="646"/>
      <c r="N245" s="646"/>
      <c r="O245" s="646"/>
      <c r="P245" s="646"/>
      <c r="Q245" s="646"/>
      <c r="R245" s="646"/>
      <c r="S245" s="646"/>
      <c r="T245" s="235"/>
    </row>
    <row r="246" spans="1:20">
      <c r="A246" s="30" t="s">
        <v>1371</v>
      </c>
      <c r="B246" s="646"/>
      <c r="C246" s="92">
        <v>4.0430588722229004</v>
      </c>
      <c r="D246" s="91">
        <v>3.3306969999999998</v>
      </c>
      <c r="E246" s="91">
        <v>2.7731840000000001</v>
      </c>
      <c r="F246" s="91">
        <v>2.2372459999999998</v>
      </c>
      <c r="G246" s="91">
        <v>1.9014990000000001</v>
      </c>
      <c r="H246" s="91">
        <v>1.6495230000000001</v>
      </c>
      <c r="I246" s="91">
        <v>1.4673179999999999</v>
      </c>
      <c r="J246" s="91">
        <v>1.3398429999999999</v>
      </c>
      <c r="K246" s="646"/>
      <c r="L246" s="646"/>
      <c r="M246" s="646"/>
      <c r="N246" s="646"/>
      <c r="O246" s="646"/>
      <c r="P246" s="646"/>
      <c r="Q246" s="646"/>
      <c r="R246" s="646"/>
      <c r="S246" s="646"/>
      <c r="T246" s="235"/>
    </row>
    <row r="247" spans="1:20">
      <c r="A247" s="30" t="s">
        <v>1372</v>
      </c>
      <c r="B247" s="646"/>
      <c r="C247" s="92">
        <v>4.0272889137268102</v>
      </c>
      <c r="D247" s="91">
        <v>3.8712740000000001</v>
      </c>
      <c r="E247" s="91">
        <v>3.2968899999999999</v>
      </c>
      <c r="F247" s="91">
        <v>2.8075749999999999</v>
      </c>
      <c r="G247" s="91">
        <v>2.490259</v>
      </c>
      <c r="H247" s="91">
        <v>2.2539639999999999</v>
      </c>
      <c r="I247" s="91">
        <v>2.0837430000000001</v>
      </c>
      <c r="J247" s="91">
        <v>1.9728140000000001</v>
      </c>
      <c r="K247" s="646"/>
      <c r="L247" s="646"/>
      <c r="M247" s="646"/>
      <c r="N247" s="646"/>
      <c r="O247" s="646"/>
      <c r="P247" s="646"/>
      <c r="Q247" s="646"/>
      <c r="R247" s="646"/>
      <c r="S247" s="646"/>
      <c r="T247" s="235"/>
    </row>
    <row r="248" spans="1:20" ht="13">
      <c r="A248" s="30" t="s">
        <v>1382</v>
      </c>
      <c r="B248" s="646"/>
      <c r="C248" s="92">
        <v>0.17044399678707101</v>
      </c>
      <c r="D248" s="91">
        <v>0.35251500000000002</v>
      </c>
      <c r="E248" s="91">
        <v>0.71553900000000004</v>
      </c>
      <c r="F248" s="91">
        <v>0.80603499999999995</v>
      </c>
      <c r="G248" s="91">
        <v>0.80945999999999996</v>
      </c>
      <c r="H248" s="91">
        <v>0.81655800000000001</v>
      </c>
      <c r="I248" s="91">
        <v>0.83592900000000003</v>
      </c>
      <c r="J248" s="91">
        <v>0.857124</v>
      </c>
      <c r="K248" s="646"/>
      <c r="L248" s="646"/>
      <c r="M248" s="646"/>
      <c r="N248" s="646"/>
      <c r="O248" s="646"/>
      <c r="P248" s="646"/>
      <c r="Q248" s="646"/>
      <c r="R248" s="646"/>
      <c r="S248" s="646"/>
      <c r="T248" s="239"/>
    </row>
    <row r="249" spans="1:20" ht="13">
      <c r="A249" s="30" t="s">
        <v>1190</v>
      </c>
      <c r="B249" s="646"/>
      <c r="C249" s="249">
        <f>SUM(C244:C248)</f>
        <v>109.95383881032467</v>
      </c>
      <c r="D249" s="249">
        <f t="shared" ref="D249:J249" si="59">SUM(D244:D248)</f>
        <v>113.105431</v>
      </c>
      <c r="E249" s="249">
        <f t="shared" si="59"/>
        <v>115.61609900000002</v>
      </c>
      <c r="F249" s="249">
        <f t="shared" si="59"/>
        <v>121.413208</v>
      </c>
      <c r="G249" s="249">
        <f t="shared" si="59"/>
        <v>126.84817600000001</v>
      </c>
      <c r="H249" s="249">
        <f t="shared" si="59"/>
        <v>132.32225599999998</v>
      </c>
      <c r="I249" s="249">
        <f t="shared" si="59"/>
        <v>137.460407</v>
      </c>
      <c r="J249" s="249">
        <f t="shared" si="59"/>
        <v>142.536236</v>
      </c>
      <c r="K249" s="646"/>
      <c r="L249" s="648"/>
      <c r="M249" s="648"/>
      <c r="N249" s="648"/>
      <c r="O249" s="648"/>
      <c r="P249" s="648"/>
      <c r="Q249" s="648"/>
      <c r="R249" s="648"/>
      <c r="S249" s="648"/>
      <c r="T249" s="30"/>
    </row>
    <row r="250" spans="1:20">
      <c r="A250" s="30"/>
      <c r="B250" s="646"/>
      <c r="C250" s="30"/>
      <c r="D250" s="30"/>
      <c r="E250" s="30"/>
      <c r="F250" s="30"/>
      <c r="G250" s="30"/>
      <c r="H250" s="30"/>
      <c r="I250" s="30"/>
      <c r="J250" s="30"/>
      <c r="K250" s="646"/>
      <c r="L250" s="646"/>
      <c r="M250" s="646"/>
      <c r="N250" s="30"/>
      <c r="O250" s="30"/>
      <c r="P250" s="30"/>
      <c r="Q250" s="30"/>
      <c r="R250" s="30"/>
      <c r="S250" s="30"/>
      <c r="T250" s="30"/>
    </row>
    <row r="251" spans="1:20" ht="13">
      <c r="A251" s="647" t="s">
        <v>1383</v>
      </c>
      <c r="B251" s="646"/>
      <c r="C251" s="30"/>
      <c r="D251" s="30"/>
      <c r="E251" s="30"/>
      <c r="F251" s="30"/>
      <c r="G251" s="30"/>
      <c r="H251" s="30"/>
      <c r="I251" s="30"/>
      <c r="J251" s="30"/>
      <c r="K251" s="646"/>
      <c r="L251" s="648"/>
      <c r="M251" s="648"/>
      <c r="N251" s="30"/>
      <c r="O251" s="30"/>
      <c r="P251" s="30"/>
      <c r="Q251" s="30"/>
      <c r="R251" s="30"/>
      <c r="S251" s="30"/>
      <c r="T251" s="235"/>
    </row>
    <row r="252" spans="1:20">
      <c r="A252" s="30" t="s">
        <v>1380</v>
      </c>
      <c r="B252" s="646"/>
      <c r="C252" s="92">
        <v>65.712928771972699</v>
      </c>
      <c r="D252" s="91">
        <v>68.440392000000003</v>
      </c>
      <c r="E252" s="91">
        <v>70.955269000000001</v>
      </c>
      <c r="F252" s="91">
        <v>76.152602999999999</v>
      </c>
      <c r="G252" s="91">
        <v>81.020904999999999</v>
      </c>
      <c r="H252" s="91">
        <v>85.902023</v>
      </c>
      <c r="I252" s="91">
        <v>90.517882999999998</v>
      </c>
      <c r="J252" s="91">
        <v>95.074959000000007</v>
      </c>
      <c r="K252" s="646"/>
      <c r="L252" s="646"/>
      <c r="M252" s="646"/>
      <c r="N252" s="646"/>
      <c r="O252" s="646"/>
      <c r="P252" s="646"/>
      <c r="Q252" s="646"/>
      <c r="R252" s="646"/>
      <c r="S252" s="646"/>
      <c r="T252" s="235"/>
    </row>
    <row r="253" spans="1:20">
      <c r="A253" s="30" t="s">
        <v>1381</v>
      </c>
      <c r="B253" s="646"/>
      <c r="C253" s="92">
        <v>38.655399322509801</v>
      </c>
      <c r="D253" s="91">
        <v>38.221214000000003</v>
      </c>
      <c r="E253" s="91">
        <v>38.450915999999999</v>
      </c>
      <c r="F253" s="91">
        <v>39.286732000000001</v>
      </c>
      <c r="G253" s="91">
        <v>40.089008</v>
      </c>
      <c r="H253" s="91">
        <v>40.882496000000003</v>
      </c>
      <c r="I253" s="91">
        <v>41.560799000000003</v>
      </c>
      <c r="J253" s="91">
        <v>42.239319000000002</v>
      </c>
      <c r="K253" s="646"/>
      <c r="L253" s="646"/>
      <c r="M253" s="646"/>
      <c r="N253" s="646"/>
      <c r="O253" s="646"/>
      <c r="P253" s="646"/>
      <c r="Q253" s="646"/>
      <c r="R253" s="646"/>
      <c r="S253" s="646"/>
      <c r="T253" s="235"/>
    </row>
    <row r="254" spans="1:20" ht="13">
      <c r="A254" s="30" t="s">
        <v>1372</v>
      </c>
      <c r="B254" s="646"/>
      <c r="C254" s="92">
        <v>5.6207227706909197</v>
      </c>
      <c r="D254" s="91">
        <v>5.338425</v>
      </c>
      <c r="E254" s="91">
        <v>5.1353</v>
      </c>
      <c r="F254" s="91">
        <v>4.9346410000000001</v>
      </c>
      <c r="G254" s="91">
        <v>4.73156</v>
      </c>
      <c r="H254" s="91">
        <v>4.5610169999999997</v>
      </c>
      <c r="I254" s="91">
        <v>4.4326970000000001</v>
      </c>
      <c r="J254" s="91">
        <v>4.298832</v>
      </c>
      <c r="K254" s="646"/>
      <c r="L254" s="646"/>
      <c r="M254" s="646"/>
      <c r="N254" s="646"/>
      <c r="O254" s="646"/>
      <c r="P254" s="646"/>
      <c r="Q254" s="646"/>
      <c r="R254" s="646"/>
      <c r="S254" s="646"/>
      <c r="T254" s="239"/>
    </row>
    <row r="255" spans="1:20" ht="13">
      <c r="A255" s="30" t="s">
        <v>1190</v>
      </c>
      <c r="B255" s="646"/>
      <c r="C255" s="249">
        <f>SUM(C252:C254)</f>
        <v>109.98905086517343</v>
      </c>
      <c r="D255" s="249">
        <f t="shared" ref="D255:J255" si="60">SUM(D252:D254)</f>
        <v>112.00003100000001</v>
      </c>
      <c r="E255" s="249">
        <f t="shared" si="60"/>
        <v>114.54148499999999</v>
      </c>
      <c r="F255" s="249">
        <f t="shared" si="60"/>
        <v>120.373976</v>
      </c>
      <c r="G255" s="249">
        <f t="shared" si="60"/>
        <v>125.84147300000001</v>
      </c>
      <c r="H255" s="249">
        <f t="shared" si="60"/>
        <v>131.34553600000001</v>
      </c>
      <c r="I255" s="249">
        <f t="shared" si="60"/>
        <v>136.51137900000001</v>
      </c>
      <c r="J255" s="249">
        <f t="shared" si="60"/>
        <v>141.61311000000001</v>
      </c>
      <c r="K255" s="646"/>
      <c r="L255" s="648"/>
      <c r="M255" s="648"/>
      <c r="N255" s="648"/>
      <c r="O255" s="648"/>
      <c r="P255" s="648"/>
      <c r="Q255" s="648"/>
      <c r="R255" s="648"/>
      <c r="S255" s="648"/>
      <c r="T255" s="30"/>
    </row>
    <row r="256" spans="1:20">
      <c r="A256" s="30"/>
      <c r="B256" s="646"/>
      <c r="C256" s="30"/>
      <c r="D256" s="30"/>
      <c r="E256" s="30"/>
      <c r="F256" s="30"/>
      <c r="G256" s="30"/>
      <c r="H256" s="30"/>
      <c r="I256" s="30"/>
      <c r="J256" s="30"/>
      <c r="K256" s="646"/>
      <c r="L256" s="646"/>
      <c r="M256" s="646"/>
      <c r="N256" s="30"/>
      <c r="O256" s="30"/>
      <c r="P256" s="30"/>
      <c r="Q256" s="30"/>
      <c r="R256" s="30"/>
      <c r="S256" s="30"/>
      <c r="T256" s="30"/>
    </row>
    <row r="257" spans="1:20" ht="13">
      <c r="A257" s="647" t="s">
        <v>1384</v>
      </c>
      <c r="B257" s="646"/>
      <c r="C257" s="30"/>
      <c r="D257" s="30"/>
      <c r="E257" s="30"/>
      <c r="F257" s="30"/>
      <c r="G257" s="30"/>
      <c r="H257" s="30"/>
      <c r="I257" s="30"/>
      <c r="J257" s="30"/>
      <c r="K257" s="646"/>
      <c r="L257" s="648"/>
      <c r="M257" s="648"/>
      <c r="N257" s="30"/>
      <c r="O257" s="30"/>
      <c r="P257" s="30"/>
      <c r="Q257" s="30"/>
      <c r="R257" s="30"/>
      <c r="S257" s="30"/>
      <c r="T257" s="235"/>
    </row>
    <row r="258" spans="1:20">
      <c r="A258" s="30" t="s">
        <v>1380</v>
      </c>
      <c r="B258" s="646"/>
      <c r="C258" s="92">
        <v>67.225288391113295</v>
      </c>
      <c r="D258" s="91">
        <v>72.276854999999998</v>
      </c>
      <c r="E258" s="91">
        <v>75.299537999999998</v>
      </c>
      <c r="F258" s="91">
        <v>81.210144</v>
      </c>
      <c r="G258" s="91">
        <v>86.877662999999998</v>
      </c>
      <c r="H258" s="91">
        <v>92.593520999999996</v>
      </c>
      <c r="I258" s="91">
        <v>98.021736000000004</v>
      </c>
      <c r="J258" s="91">
        <v>103.37975299999999</v>
      </c>
      <c r="K258" s="646"/>
      <c r="L258" s="646"/>
      <c r="M258" s="646"/>
      <c r="N258" s="646"/>
      <c r="O258" s="646"/>
      <c r="P258" s="646"/>
      <c r="Q258" s="646"/>
      <c r="R258" s="646"/>
      <c r="S258" s="646"/>
      <c r="T258" s="235"/>
    </row>
    <row r="259" spans="1:20" ht="13">
      <c r="A259" s="30" t="s">
        <v>1381</v>
      </c>
      <c r="B259" s="646"/>
      <c r="C259" s="92">
        <v>19.374872207641602</v>
      </c>
      <c r="D259" s="91">
        <v>17.526484</v>
      </c>
      <c r="E259" s="91">
        <v>18.012087000000001</v>
      </c>
      <c r="F259" s="91">
        <v>18.997999</v>
      </c>
      <c r="G259" s="91">
        <v>19.903658</v>
      </c>
      <c r="H259" s="91">
        <v>20.775611999999999</v>
      </c>
      <c r="I259" s="91">
        <v>21.578047000000002</v>
      </c>
      <c r="J259" s="91">
        <v>22.370708</v>
      </c>
      <c r="K259" s="646"/>
      <c r="L259" s="646"/>
      <c r="M259" s="646"/>
      <c r="N259" s="646"/>
      <c r="O259" s="646"/>
      <c r="P259" s="646"/>
      <c r="Q259" s="646"/>
      <c r="R259" s="646"/>
      <c r="S259" s="646"/>
      <c r="T259" s="239"/>
    </row>
    <row r="260" spans="1:20" ht="13">
      <c r="A260" s="30" t="s">
        <v>1190</v>
      </c>
      <c r="B260" s="646"/>
      <c r="C260" s="249">
        <f>SUM(C258:C259)</f>
        <v>86.600160598754897</v>
      </c>
      <c r="D260" s="249">
        <f t="shared" ref="D260:J260" si="61">SUM(D258:D259)</f>
        <v>89.803338999999994</v>
      </c>
      <c r="E260" s="249">
        <f t="shared" si="61"/>
        <v>93.311624999999992</v>
      </c>
      <c r="F260" s="249">
        <f t="shared" si="61"/>
        <v>100.20814300000001</v>
      </c>
      <c r="G260" s="249">
        <f t="shared" si="61"/>
        <v>106.78132099999999</v>
      </c>
      <c r="H260" s="249">
        <f t="shared" si="61"/>
        <v>113.36913299999999</v>
      </c>
      <c r="I260" s="249">
        <f t="shared" si="61"/>
        <v>119.599783</v>
      </c>
      <c r="J260" s="249">
        <f t="shared" si="61"/>
        <v>125.750461</v>
      </c>
      <c r="K260" s="646"/>
      <c r="L260" s="648"/>
      <c r="M260" s="648"/>
      <c r="N260" s="648"/>
      <c r="O260" s="648"/>
      <c r="P260" s="648"/>
      <c r="Q260" s="648"/>
      <c r="R260" s="648"/>
      <c r="S260" s="648"/>
      <c r="T260" s="30"/>
    </row>
    <row r="261" spans="1:20">
      <c r="A261" s="30"/>
      <c r="B261" s="646"/>
      <c r="C261" s="30"/>
      <c r="D261" s="30"/>
      <c r="E261" s="30"/>
      <c r="F261" s="30"/>
      <c r="G261" s="30"/>
      <c r="H261" s="30"/>
      <c r="I261" s="30"/>
      <c r="J261" s="30"/>
      <c r="K261" s="646"/>
      <c r="L261" s="646"/>
      <c r="M261" s="646"/>
      <c r="N261" s="30"/>
      <c r="O261" s="30"/>
      <c r="P261" s="30"/>
      <c r="Q261" s="30"/>
      <c r="R261" s="30"/>
      <c r="S261" s="30"/>
      <c r="T261" s="30"/>
    </row>
    <row r="262" spans="1:20" ht="13">
      <c r="A262" s="647" t="s">
        <v>1385</v>
      </c>
      <c r="B262" s="646"/>
      <c r="C262" s="30"/>
      <c r="D262" s="30"/>
      <c r="E262" s="30"/>
      <c r="F262" s="30"/>
      <c r="G262" s="30"/>
      <c r="H262" s="30"/>
      <c r="I262" s="30"/>
      <c r="J262" s="30"/>
      <c r="K262" s="646"/>
      <c r="L262" s="648"/>
      <c r="M262" s="648"/>
      <c r="N262" s="30"/>
      <c r="O262" s="30"/>
      <c r="P262" s="30"/>
      <c r="Q262" s="30"/>
      <c r="R262" s="30"/>
      <c r="S262" s="30"/>
      <c r="T262" s="235"/>
    </row>
    <row r="263" spans="1:20" ht="13">
      <c r="A263" s="30" t="s">
        <v>1386</v>
      </c>
      <c r="B263" s="646"/>
      <c r="C263" s="102">
        <v>137.59495544433599</v>
      </c>
      <c r="D263" s="91">
        <v>142.74478099999999</v>
      </c>
      <c r="E263" s="91">
        <v>146.25145000000001</v>
      </c>
      <c r="F263" s="91">
        <v>154.08332799999999</v>
      </c>
      <c r="G263" s="91">
        <v>161.34394800000001</v>
      </c>
      <c r="H263" s="91">
        <v>168.56379699999999</v>
      </c>
      <c r="I263" s="91">
        <v>175.27842699999999</v>
      </c>
      <c r="J263" s="91">
        <v>181.908264</v>
      </c>
      <c r="K263" s="646"/>
      <c r="L263" s="646"/>
      <c r="M263" s="646"/>
      <c r="N263" s="646"/>
      <c r="O263" s="646"/>
      <c r="P263" s="646"/>
      <c r="Q263" s="646"/>
      <c r="R263" s="646"/>
      <c r="S263" s="646"/>
      <c r="T263" s="235"/>
    </row>
    <row r="264" spans="1:20" ht="13">
      <c r="A264" s="30" t="s">
        <v>1311</v>
      </c>
      <c r="B264" s="646"/>
      <c r="C264" s="102">
        <v>38.425449371337898</v>
      </c>
      <c r="D264" s="91">
        <v>38.009281000000001</v>
      </c>
      <c r="E264" s="91">
        <v>38.799267</v>
      </c>
      <c r="F264" s="91">
        <v>40.689968</v>
      </c>
      <c r="G264" s="91">
        <v>42.401108000000001</v>
      </c>
      <c r="H264" s="91">
        <v>44.059565999999997</v>
      </c>
      <c r="I264" s="91">
        <v>45.560253000000003</v>
      </c>
      <c r="J264" s="91">
        <v>47.049377</v>
      </c>
      <c r="K264" s="646"/>
      <c r="L264" s="646"/>
      <c r="M264" s="646"/>
      <c r="N264" s="646"/>
      <c r="O264" s="646"/>
      <c r="P264" s="646"/>
      <c r="Q264" s="646"/>
      <c r="R264" s="646"/>
      <c r="S264" s="646"/>
      <c r="T264" s="30"/>
    </row>
    <row r="265" spans="1:20">
      <c r="A265" s="30"/>
      <c r="B265" s="646"/>
      <c r="C265" s="30"/>
      <c r="D265" s="30"/>
      <c r="E265" s="30"/>
      <c r="F265" s="30"/>
      <c r="G265" s="30"/>
      <c r="H265" s="30"/>
      <c r="I265" s="646"/>
      <c r="J265" s="646"/>
      <c r="K265" s="646"/>
      <c r="L265" s="646"/>
      <c r="M265" s="646"/>
      <c r="N265" s="30"/>
      <c r="O265" s="30"/>
      <c r="P265" s="30"/>
      <c r="Q265" s="30"/>
      <c r="R265" s="30"/>
      <c r="S265" s="30"/>
      <c r="T265" s="30"/>
    </row>
    <row r="266" spans="1:20" ht="13">
      <c r="A266" s="647" t="s">
        <v>1387</v>
      </c>
      <c r="B266" s="646"/>
      <c r="C266" s="30"/>
      <c r="D266" s="30"/>
      <c r="E266" s="30"/>
      <c r="F266" s="30"/>
      <c r="G266" s="30"/>
      <c r="H266" s="30"/>
      <c r="I266" s="646"/>
      <c r="J266" s="646"/>
      <c r="K266" s="646"/>
      <c r="L266" s="648"/>
      <c r="M266" s="648"/>
      <c r="N266" s="30"/>
      <c r="O266" s="30"/>
      <c r="P266" s="30"/>
      <c r="Q266" s="30"/>
      <c r="R266" s="30"/>
      <c r="S266" s="30"/>
      <c r="T266" s="30"/>
    </row>
    <row r="267" spans="1:20" ht="13">
      <c r="A267" s="647" t="s">
        <v>1366</v>
      </c>
      <c r="B267" s="646"/>
      <c r="C267" s="30"/>
      <c r="D267" s="30"/>
      <c r="E267" s="30"/>
      <c r="F267" s="30"/>
      <c r="G267" s="30"/>
      <c r="H267" s="30"/>
      <c r="I267" s="646"/>
      <c r="J267" s="646"/>
      <c r="K267" s="646"/>
      <c r="L267" s="648"/>
      <c r="M267" s="648"/>
      <c r="N267" s="30"/>
      <c r="O267" s="30"/>
      <c r="P267" s="30"/>
      <c r="Q267" s="30"/>
      <c r="R267" s="30"/>
      <c r="S267" s="30"/>
      <c r="T267" s="235"/>
    </row>
    <row r="268" spans="1:20">
      <c r="A268" s="30" t="s">
        <v>1388</v>
      </c>
      <c r="B268" s="646"/>
      <c r="C268" s="92">
        <v>7.73056840896606</v>
      </c>
      <c r="D268" s="91">
        <v>7.4495990000000001</v>
      </c>
      <c r="E268" s="52">
        <v>7.628679</v>
      </c>
      <c r="F268" s="52">
        <v>7.964467</v>
      </c>
      <c r="G268" s="52">
        <v>8.1679739999999992</v>
      </c>
      <c r="H268" s="52">
        <v>8.2638839999999991</v>
      </c>
      <c r="I268" s="52">
        <v>8.287077</v>
      </c>
      <c r="J268" s="52">
        <v>8.2947190000000006</v>
      </c>
      <c r="K268" s="233"/>
      <c r="L268" s="233"/>
      <c r="M268" s="233"/>
      <c r="N268" s="233"/>
      <c r="O268" s="233"/>
      <c r="P268" s="233"/>
      <c r="Q268" s="646"/>
      <c r="R268" s="646"/>
      <c r="S268" s="646"/>
      <c r="T268" s="235"/>
    </row>
    <row r="269" spans="1:20" ht="48" customHeight="1">
      <c r="A269" s="103" t="s">
        <v>1389</v>
      </c>
      <c r="B269" s="250"/>
      <c r="C269" s="251">
        <f t="shared" ref="C269:J269" si="62">C268/3.412</f>
        <v>2.2657000026278018</v>
      </c>
      <c r="D269" s="251">
        <f t="shared" si="62"/>
        <v>2.1833525791324737</v>
      </c>
      <c r="E269" s="251">
        <f t="shared" si="62"/>
        <v>2.2358379249706917</v>
      </c>
      <c r="F269" s="251">
        <f t="shared" si="62"/>
        <v>2.334251758499414</v>
      </c>
      <c r="G269" s="251">
        <f t="shared" si="62"/>
        <v>2.3938962485345838</v>
      </c>
      <c r="H269" s="251">
        <f t="shared" si="62"/>
        <v>2.4220058616647124</v>
      </c>
      <c r="I269" s="251">
        <f t="shared" si="62"/>
        <v>2.4288033411488863</v>
      </c>
      <c r="J269" s="251">
        <f t="shared" si="62"/>
        <v>2.4310430832356391</v>
      </c>
      <c r="K269" s="676" t="s">
        <v>1390</v>
      </c>
      <c r="L269" s="676"/>
      <c r="M269" s="676"/>
      <c r="N269" s="676"/>
      <c r="O269" s="676"/>
      <c r="P269" s="676"/>
      <c r="Q269" s="676"/>
      <c r="R269" s="646"/>
      <c r="S269" s="646"/>
      <c r="T269" s="235"/>
    </row>
    <row r="270" spans="1:20">
      <c r="A270" s="30" t="s">
        <v>1391</v>
      </c>
      <c r="B270" s="646"/>
      <c r="C270" s="231">
        <v>1.29999995231628</v>
      </c>
      <c r="D270" s="227">
        <v>1.3</v>
      </c>
      <c r="E270" s="227">
        <v>1.3</v>
      </c>
      <c r="F270" s="227">
        <v>1.31</v>
      </c>
      <c r="G270" s="227">
        <v>1.34</v>
      </c>
      <c r="H270" s="227">
        <v>1.38</v>
      </c>
      <c r="I270" s="227">
        <v>1.4</v>
      </c>
      <c r="J270" s="252">
        <v>1.397397</v>
      </c>
      <c r="K270" s="233"/>
      <c r="L270" s="233"/>
      <c r="M270" s="233"/>
      <c r="N270" s="233"/>
      <c r="O270" s="233"/>
      <c r="P270" s="233"/>
      <c r="Q270" s="646"/>
      <c r="R270" s="646"/>
      <c r="S270" s="646"/>
      <c r="T270" s="235"/>
    </row>
    <row r="271" spans="1:20">
      <c r="A271" s="30" t="s">
        <v>1392</v>
      </c>
      <c r="B271" s="646"/>
      <c r="C271" s="231">
        <v>3.2999999523162802</v>
      </c>
      <c r="D271" s="227">
        <v>3.33</v>
      </c>
      <c r="E271" s="227">
        <v>3.34</v>
      </c>
      <c r="F271" s="227">
        <v>3.34</v>
      </c>
      <c r="G271" s="227">
        <v>3.34</v>
      </c>
      <c r="H271" s="227">
        <v>3.36</v>
      </c>
      <c r="I271" s="227">
        <v>3.37</v>
      </c>
      <c r="J271" s="252">
        <v>3.3813490000000002</v>
      </c>
      <c r="K271" s="253">
        <v>2005</v>
      </c>
      <c r="L271" s="253">
        <v>2010</v>
      </c>
      <c r="M271" s="253">
        <v>2015</v>
      </c>
      <c r="N271" s="253">
        <v>2020</v>
      </c>
      <c r="O271" s="253">
        <v>2025</v>
      </c>
      <c r="P271" s="253">
        <v>2030</v>
      </c>
      <c r="Q271" s="253">
        <v>2035</v>
      </c>
      <c r="R271" s="646"/>
      <c r="S271" s="646"/>
      <c r="T271" s="235"/>
    </row>
    <row r="272" spans="1:20">
      <c r="A272" s="30" t="s">
        <v>1393</v>
      </c>
      <c r="B272" s="646"/>
      <c r="C272" s="231">
        <v>0.81440001726150502</v>
      </c>
      <c r="D272" s="227">
        <v>0.84</v>
      </c>
      <c r="E272" s="227">
        <v>0.85</v>
      </c>
      <c r="F272" s="227">
        <v>0.87</v>
      </c>
      <c r="G272" s="227">
        <v>0.89</v>
      </c>
      <c r="H272" s="227">
        <v>0.89</v>
      </c>
      <c r="I272" s="227">
        <v>0.89</v>
      </c>
      <c r="J272" s="252">
        <v>0.86960499999999996</v>
      </c>
      <c r="K272" s="233"/>
      <c r="L272" s="233">
        <f>(D274-C274)/C274</f>
        <v>1.9374376611273069E-2</v>
      </c>
      <c r="M272" s="233">
        <f t="shared" ref="M272:Q272" si="63">(E274-D274)/D274</f>
        <v>3.8574895145423171E-2</v>
      </c>
      <c r="N272" s="233">
        <f t="shared" si="63"/>
        <v>4.5372775401902932E-2</v>
      </c>
      <c r="O272" s="233">
        <f t="shared" si="63"/>
        <v>3.3479412157636425E-2</v>
      </c>
      <c r="P272" s="233">
        <f t="shared" si="63"/>
        <v>2.4878432978693896E-2</v>
      </c>
      <c r="Q272" s="233">
        <f t="shared" si="63"/>
        <v>1.7796770479363067E-2</v>
      </c>
      <c r="R272" s="646"/>
      <c r="S272" s="646"/>
      <c r="T272" s="235"/>
    </row>
    <row r="273" spans="1:24">
      <c r="A273" s="30" t="s">
        <v>1394</v>
      </c>
      <c r="B273" s="646"/>
      <c r="C273" s="231">
        <v>0.81739997863769498</v>
      </c>
      <c r="D273" s="227">
        <v>0.85</v>
      </c>
      <c r="E273" s="227">
        <v>0.88</v>
      </c>
      <c r="F273" s="227">
        <v>0.91</v>
      </c>
      <c r="G273" s="227">
        <v>0.92</v>
      </c>
      <c r="H273" s="227">
        <v>0.92</v>
      </c>
      <c r="I273" s="227">
        <v>0.92</v>
      </c>
      <c r="J273" s="252">
        <v>0.89261299999999999</v>
      </c>
      <c r="K273" s="646"/>
      <c r="L273" s="254">
        <f>1+L272</f>
        <v>1.0193743766112731</v>
      </c>
      <c r="M273" s="254">
        <f t="shared" ref="M273:Q273" si="64">1+M272</f>
        <v>1.0385748951454232</v>
      </c>
      <c r="N273" s="254">
        <f t="shared" si="64"/>
        <v>1.0453727754019029</v>
      </c>
      <c r="O273" s="254">
        <f t="shared" si="64"/>
        <v>1.0334794121576365</v>
      </c>
      <c r="P273" s="254">
        <f t="shared" si="64"/>
        <v>1.024878432978694</v>
      </c>
      <c r="Q273" s="254">
        <f t="shared" si="64"/>
        <v>1.0177967704793631</v>
      </c>
      <c r="R273" s="233"/>
      <c r="S273" s="646"/>
      <c r="T273" s="30"/>
      <c r="U273" s="646"/>
      <c r="V273" s="646"/>
      <c r="W273" s="646"/>
      <c r="X273" s="646"/>
    </row>
    <row r="274" spans="1:24" ht="13">
      <c r="A274" s="30"/>
      <c r="B274" s="199" t="s">
        <v>1395</v>
      </c>
      <c r="C274" s="255">
        <v>0.981853056187732</v>
      </c>
      <c r="D274" s="255">
        <v>1.0008758470752426</v>
      </c>
      <c r="E274" s="255">
        <v>1.0394845279297567</v>
      </c>
      <c r="F274" s="255">
        <v>1.0866488259492666</v>
      </c>
      <c r="G274" s="255">
        <v>1.1230291898638338</v>
      </c>
      <c r="H274" s="255">
        <v>1.1509683962969781</v>
      </c>
      <c r="I274" s="255">
        <v>1.171451916674876</v>
      </c>
      <c r="J274" s="231">
        <v>1.1891003642149611</v>
      </c>
      <c r="K274" s="256">
        <f>0.87</f>
        <v>0.87</v>
      </c>
      <c r="L274" s="256">
        <f>K274*L273</f>
        <v>0.88685570765180755</v>
      </c>
      <c r="M274" s="256">
        <f t="shared" ref="M274:Q274" si="65">L274*M273</f>
        <v>0.92106607358359616</v>
      </c>
      <c r="N274" s="256">
        <f t="shared" si="65"/>
        <v>0.96285739767061718</v>
      </c>
      <c r="O274" s="256">
        <f t="shared" si="65"/>
        <v>0.99509329733626106</v>
      </c>
      <c r="P274" s="256">
        <f t="shared" si="65"/>
        <v>1.0198496592415889</v>
      </c>
      <c r="Q274" s="256">
        <f t="shared" si="65"/>
        <v>1.0379996895505681</v>
      </c>
      <c r="R274" s="257"/>
      <c r="S274" s="646"/>
      <c r="T274" s="30"/>
      <c r="U274" s="646"/>
      <c r="V274" s="646"/>
      <c r="W274" s="646"/>
      <c r="X274" s="646"/>
    </row>
    <row r="275" spans="1:24" ht="13">
      <c r="A275" s="30"/>
      <c r="B275" s="199"/>
      <c r="C275" s="258"/>
      <c r="D275" s="258"/>
      <c r="E275" s="258"/>
      <c r="F275" s="258"/>
      <c r="G275" s="258"/>
      <c r="H275" s="258"/>
      <c r="I275" s="258"/>
      <c r="J275" s="30"/>
      <c r="K275" s="222"/>
      <c r="L275" s="222"/>
      <c r="M275" s="222"/>
      <c r="N275" s="94"/>
      <c r="O275" s="94"/>
      <c r="P275" s="94"/>
      <c r="Q275" s="94"/>
      <c r="R275" s="94"/>
      <c r="S275" s="94"/>
      <c r="T275" s="94"/>
      <c r="U275" s="222"/>
      <c r="V275" s="646"/>
      <c r="W275" s="646"/>
      <c r="X275" s="646"/>
    </row>
    <row r="276" spans="1:24" ht="13">
      <c r="A276" s="647" t="s">
        <v>1335</v>
      </c>
      <c r="B276" s="646"/>
      <c r="C276" s="30"/>
      <c r="D276" s="30"/>
      <c r="E276" s="30"/>
      <c r="F276" s="30"/>
      <c r="G276" s="30"/>
      <c r="H276" s="30"/>
      <c r="I276" s="30"/>
      <c r="J276" s="30"/>
      <c r="K276" s="646"/>
      <c r="L276" s="648"/>
      <c r="M276" s="648"/>
      <c r="N276" s="30"/>
      <c r="O276" s="30"/>
      <c r="P276" s="30"/>
      <c r="Q276" s="30"/>
      <c r="R276" s="30"/>
      <c r="S276" s="30"/>
      <c r="T276" s="235"/>
      <c r="U276" s="646"/>
      <c r="V276" s="646"/>
      <c r="W276" s="646"/>
      <c r="X276" s="646"/>
    </row>
    <row r="277" spans="1:24">
      <c r="A277" s="30" t="s">
        <v>1396</v>
      </c>
      <c r="B277" s="646"/>
      <c r="C277" s="226">
        <v>11.3684425354004</v>
      </c>
      <c r="D277" s="646">
        <v>12.490154</v>
      </c>
      <c r="E277" s="646">
        <v>12.887708</v>
      </c>
      <c r="F277" s="646">
        <v>13.589295</v>
      </c>
      <c r="G277" s="646">
        <v>13.989630999999999</v>
      </c>
      <c r="H277" s="646">
        <v>14.168240000000001</v>
      </c>
      <c r="I277" s="646">
        <v>14.204084</v>
      </c>
      <c r="J277" s="259">
        <v>14.216915999999999</v>
      </c>
      <c r="K277" s="646"/>
      <c r="L277" s="646"/>
      <c r="M277" s="646"/>
      <c r="N277" s="646"/>
      <c r="O277" s="646"/>
      <c r="P277" s="646"/>
      <c r="Q277" s="646"/>
      <c r="R277" s="646"/>
      <c r="S277" s="646"/>
      <c r="T277" s="235"/>
      <c r="U277" s="646"/>
      <c r="V277" s="646"/>
      <c r="W277" s="646"/>
      <c r="X277" s="646"/>
    </row>
    <row r="278" spans="1:24">
      <c r="A278" s="103" t="s">
        <v>1389</v>
      </c>
      <c r="B278" s="250"/>
      <c r="C278" s="260">
        <v>2.9980069977321731</v>
      </c>
      <c r="D278" s="260">
        <v>3.2938169831223632</v>
      </c>
      <c r="E278" s="260">
        <v>3.3986571729957809</v>
      </c>
      <c r="F278" s="260">
        <v>3.5836748417721522</v>
      </c>
      <c r="G278" s="260">
        <v>3.6892486814345991</v>
      </c>
      <c r="H278" s="260">
        <v>3.7363502109704645</v>
      </c>
      <c r="I278" s="260">
        <v>3.7458027426160339</v>
      </c>
      <c r="J278" s="259">
        <v>3.7491867088607593</v>
      </c>
      <c r="K278" s="646"/>
      <c r="L278" s="646"/>
      <c r="M278" s="646"/>
      <c r="N278" s="646"/>
      <c r="O278" s="646"/>
      <c r="P278" s="646"/>
      <c r="Q278" s="646"/>
      <c r="R278" s="646"/>
      <c r="S278" s="646"/>
      <c r="T278" s="235"/>
      <c r="U278" s="646"/>
      <c r="V278" s="646"/>
      <c r="W278" s="646"/>
      <c r="X278" s="646"/>
    </row>
    <row r="279" spans="1:24">
      <c r="A279" s="30" t="s">
        <v>1391</v>
      </c>
      <c r="B279" s="646"/>
      <c r="C279" s="226">
        <v>0.67000001668930098</v>
      </c>
      <c r="D279" s="646">
        <v>0.66283599999999998</v>
      </c>
      <c r="E279" s="646">
        <v>0.64683299999999999</v>
      </c>
      <c r="F279" s="646">
        <v>0.63121400000000005</v>
      </c>
      <c r="G279" s="646">
        <v>0.64742500000000003</v>
      </c>
      <c r="H279" s="646">
        <v>0.66974</v>
      </c>
      <c r="I279" s="646">
        <v>0.68790200000000001</v>
      </c>
      <c r="J279" s="259">
        <v>0.69718599999999997</v>
      </c>
      <c r="K279" s="646"/>
      <c r="L279" s="646"/>
      <c r="M279" s="646"/>
      <c r="N279" s="646"/>
      <c r="O279" s="646"/>
      <c r="P279" s="646"/>
      <c r="Q279" s="646"/>
      <c r="R279" s="646"/>
      <c r="S279" s="646"/>
      <c r="T279" s="235"/>
      <c r="U279" s="646"/>
      <c r="V279" s="646"/>
      <c r="W279" s="646"/>
      <c r="X279" s="646"/>
    </row>
    <row r="280" spans="1:24">
      <c r="A280" s="30" t="s">
        <v>1397</v>
      </c>
      <c r="B280" s="646"/>
      <c r="C280" s="226">
        <v>13.800000190734901</v>
      </c>
      <c r="D280" s="646">
        <v>14.202239000000001</v>
      </c>
      <c r="E280" s="646">
        <v>14.325847</v>
      </c>
      <c r="F280" s="646">
        <v>14.372543</v>
      </c>
      <c r="G280" s="646">
        <v>14.437117000000001</v>
      </c>
      <c r="H280" s="646">
        <v>14.503729999999999</v>
      </c>
      <c r="I280" s="646">
        <v>14.572488</v>
      </c>
      <c r="J280" s="259">
        <v>14.633620000000001</v>
      </c>
      <c r="K280" s="646"/>
      <c r="L280" s="646"/>
      <c r="M280" s="646"/>
      <c r="N280" s="646"/>
      <c r="O280" s="646"/>
      <c r="P280" s="646"/>
      <c r="Q280" s="646"/>
      <c r="R280" s="646"/>
      <c r="S280" s="646"/>
      <c r="T280" s="235"/>
      <c r="U280" s="646"/>
      <c r="V280" s="646"/>
      <c r="W280" s="646"/>
      <c r="X280" s="646"/>
    </row>
    <row r="281" spans="1:24">
      <c r="A281" s="103" t="s">
        <v>1392</v>
      </c>
      <c r="B281" s="250"/>
      <c r="C281" s="260">
        <v>4.0433636656123353</v>
      </c>
      <c r="D281" s="260">
        <v>4.161218576032816</v>
      </c>
      <c r="E281" s="260">
        <v>4.1974353940814533</v>
      </c>
      <c r="F281" s="260">
        <v>4.2111171989452094</v>
      </c>
      <c r="G281" s="260">
        <v>4.2300372106651043</v>
      </c>
      <c r="H281" s="260">
        <v>4.2495546440082039</v>
      </c>
      <c r="I281" s="260">
        <v>4.2697005566949899</v>
      </c>
      <c r="J281" s="259">
        <v>4.287612071491357</v>
      </c>
      <c r="K281" s="646"/>
      <c r="L281" s="646"/>
      <c r="M281" s="646"/>
      <c r="N281" s="646"/>
      <c r="O281" s="646"/>
      <c r="P281" s="646"/>
      <c r="Q281" s="646"/>
      <c r="R281" s="646"/>
      <c r="S281" s="646"/>
      <c r="T281" s="235"/>
      <c r="U281" s="646"/>
      <c r="V281" s="646"/>
      <c r="W281" s="646"/>
      <c r="X281" s="646"/>
    </row>
    <row r="282" spans="1:24">
      <c r="A282" s="30" t="s">
        <v>1398</v>
      </c>
      <c r="B282" s="646"/>
      <c r="C282" s="226">
        <v>11.0634098052979</v>
      </c>
      <c r="D282" s="646">
        <v>13.09069</v>
      </c>
      <c r="E282" s="646">
        <v>13.508846999999999</v>
      </c>
      <c r="F282" s="646">
        <v>14.031323</v>
      </c>
      <c r="G282" s="646">
        <v>14.363262000000001</v>
      </c>
      <c r="H282" s="646">
        <v>14.497761000000001</v>
      </c>
      <c r="I282" s="646">
        <v>14.52397</v>
      </c>
      <c r="J282" s="259">
        <v>14.546241</v>
      </c>
      <c r="K282" s="646"/>
      <c r="L282" s="646"/>
      <c r="M282" s="646"/>
      <c r="N282" s="646"/>
      <c r="O282" s="646"/>
      <c r="P282" s="646"/>
      <c r="Q282" s="646"/>
      <c r="R282" s="646"/>
      <c r="S282" s="646"/>
      <c r="T282" s="235"/>
      <c r="U282" s="646"/>
      <c r="V282" s="646"/>
      <c r="W282" s="646"/>
      <c r="X282" s="646"/>
    </row>
    <row r="283" spans="1:24">
      <c r="A283" s="103" t="s">
        <v>1399</v>
      </c>
      <c r="B283" s="250"/>
      <c r="C283" s="260">
        <v>2.9175658769245518</v>
      </c>
      <c r="D283" s="260">
        <v>3.4521861814345995</v>
      </c>
      <c r="E283" s="260">
        <v>3.5624596518987341</v>
      </c>
      <c r="F283" s="260">
        <v>3.7002434071729962</v>
      </c>
      <c r="G283" s="260">
        <v>3.7877800632911396</v>
      </c>
      <c r="H283" s="260">
        <v>3.8232492088607599</v>
      </c>
      <c r="I283" s="260">
        <v>3.8301608649789034</v>
      </c>
      <c r="J283" s="259">
        <v>3.8360340189873421</v>
      </c>
      <c r="K283" s="646"/>
      <c r="L283" s="646"/>
      <c r="M283" s="646"/>
      <c r="N283" s="646"/>
      <c r="O283" s="646"/>
      <c r="P283" s="646"/>
      <c r="Q283" s="646"/>
      <c r="R283" s="646"/>
      <c r="S283" s="646"/>
      <c r="T283" s="235"/>
      <c r="U283" s="646"/>
      <c r="V283" s="646"/>
      <c r="W283" s="646"/>
      <c r="X283" s="646"/>
    </row>
    <row r="284" spans="1:24">
      <c r="A284" s="30" t="s">
        <v>1400</v>
      </c>
      <c r="B284" s="646"/>
      <c r="C284" s="226">
        <v>9.36389255523682</v>
      </c>
      <c r="D284" s="646">
        <v>9.8480220000000003</v>
      </c>
      <c r="E284" s="646">
        <v>10.179399999999999</v>
      </c>
      <c r="F284" s="646">
        <v>10.866448999999999</v>
      </c>
      <c r="G284" s="646">
        <v>11.33005</v>
      </c>
      <c r="H284" s="646">
        <v>11.462763000000001</v>
      </c>
      <c r="I284" s="646">
        <v>11.567854000000001</v>
      </c>
      <c r="J284" s="259">
        <v>11.628211</v>
      </c>
      <c r="K284" s="646"/>
      <c r="L284" s="233">
        <f>(D286-C286)/C286</f>
        <v>0.12588012664599041</v>
      </c>
      <c r="M284" s="233">
        <f t="shared" ref="M284:Q284" si="66">(E286-D286)/D286</f>
        <v>3.6672567128408294E-2</v>
      </c>
      <c r="N284" s="233">
        <f t="shared" si="66"/>
        <v>5.4146579287512694E-2</v>
      </c>
      <c r="O284" s="233">
        <f t="shared" si="66"/>
        <v>3.32099572461435E-2</v>
      </c>
      <c r="P284" s="233">
        <f t="shared" si="66"/>
        <v>1.3008582388782573E-2</v>
      </c>
      <c r="Q284" s="233">
        <f t="shared" si="66"/>
        <v>6.067543491466122E-3</v>
      </c>
      <c r="R284" s="646"/>
      <c r="S284" s="646"/>
      <c r="T284" s="235"/>
      <c r="U284" s="646"/>
      <c r="V284" s="646"/>
      <c r="W284" s="646"/>
      <c r="X284" s="646"/>
    </row>
    <row r="285" spans="1:24">
      <c r="A285" s="103" t="s">
        <v>1401</v>
      </c>
      <c r="B285" s="250"/>
      <c r="C285" s="260">
        <v>2.7435958263219513</v>
      </c>
      <c r="D285" s="260">
        <v>2.8854444769997074</v>
      </c>
      <c r="E285" s="260">
        <v>2.9825373571637854</v>
      </c>
      <c r="F285" s="260">
        <v>3.1838409024318781</v>
      </c>
      <c r="G285" s="260">
        <v>3.3196747729270437</v>
      </c>
      <c r="H285" s="260">
        <v>3.3585593319660125</v>
      </c>
      <c r="I285" s="260">
        <v>3.3893507178435396</v>
      </c>
      <c r="J285" s="94">
        <v>3.4070351596835633</v>
      </c>
      <c r="K285" s="646"/>
      <c r="L285" s="254">
        <f>1+L284</f>
        <v>1.1258801266459904</v>
      </c>
      <c r="M285" s="254">
        <f t="shared" ref="M285:Q285" si="67">1+M284</f>
        <v>1.0366725671284083</v>
      </c>
      <c r="N285" s="254">
        <f t="shared" si="67"/>
        <v>1.0541465792875127</v>
      </c>
      <c r="O285" s="254">
        <f t="shared" si="67"/>
        <v>1.0332099572461435</v>
      </c>
      <c r="P285" s="254">
        <f t="shared" si="67"/>
        <v>1.0130085823887827</v>
      </c>
      <c r="Q285" s="254">
        <f t="shared" si="67"/>
        <v>1.0060675434914661</v>
      </c>
      <c r="R285" s="646"/>
      <c r="S285" s="646"/>
      <c r="T285" s="30"/>
      <c r="U285" s="646"/>
      <c r="V285" s="646"/>
      <c r="W285" s="646"/>
      <c r="X285" s="646"/>
    </row>
    <row r="286" spans="1:24" ht="13">
      <c r="A286" s="30"/>
      <c r="B286" s="199" t="s">
        <v>1395</v>
      </c>
      <c r="C286" s="258">
        <f t="shared" ref="C286:J286" si="68">C278*C236/C241 + C281*C238/C241 + C283*C239/C241 + C285*C240/C241</f>
        <v>2.8490245465055812</v>
      </c>
      <c r="D286" s="258">
        <f t="shared" si="68"/>
        <v>3.2076601172372392</v>
      </c>
      <c r="E286" s="258">
        <f t="shared" si="68"/>
        <v>3.3252932482117399</v>
      </c>
      <c r="F286" s="258">
        <f t="shared" si="68"/>
        <v>3.5053465027302675</v>
      </c>
      <c r="G286" s="258">
        <f t="shared" si="68"/>
        <v>3.6217589102188583</v>
      </c>
      <c r="H286" s="258">
        <f t="shared" si="68"/>
        <v>3.6688728593947477</v>
      </c>
      <c r="I286" s="258">
        <f t="shared" si="68"/>
        <v>3.691133905033785</v>
      </c>
      <c r="J286" s="258">
        <f t="shared" si="68"/>
        <v>3.706680980826774</v>
      </c>
      <c r="K286" s="261">
        <v>2.89</v>
      </c>
      <c r="L286" s="262">
        <f>K286*L285</f>
        <v>3.2537935660069124</v>
      </c>
      <c r="M286" s="262">
        <f t="shared" ref="M286:Q286" si="69">L286*M285</f>
        <v>3.3731185289782837</v>
      </c>
      <c r="N286" s="262">
        <f t="shared" si="69"/>
        <v>3.5557613588537844</v>
      </c>
      <c r="O286" s="262">
        <f t="shared" si="69"/>
        <v>3.673848041558808</v>
      </c>
      <c r="P286" s="262">
        <f t="shared" si="69"/>
        <v>3.7216395964912934</v>
      </c>
      <c r="Q286" s="262">
        <f t="shared" si="69"/>
        <v>3.7442208066025668</v>
      </c>
      <c r="R286" s="646"/>
      <c r="S286" s="646"/>
      <c r="T286" s="30"/>
      <c r="U286" s="30"/>
      <c r="V286" s="30"/>
      <c r="W286" s="30"/>
      <c r="X286" s="30"/>
    </row>
    <row r="287" spans="1:24">
      <c r="A287" s="646"/>
      <c r="B287" s="250" t="s">
        <v>1402</v>
      </c>
      <c r="C287" s="263">
        <f t="shared" ref="C287:J287" si="70">C278/C269</f>
        <v>1.3232144565719326</v>
      </c>
      <c r="D287" s="263">
        <f t="shared" si="70"/>
        <v>1.5086051673940439</v>
      </c>
      <c r="E287" s="263">
        <f t="shared" si="70"/>
        <v>1.5200820842326179</v>
      </c>
      <c r="F287" s="263">
        <f t="shared" si="70"/>
        <v>1.535256353014782</v>
      </c>
      <c r="G287" s="263">
        <f t="shared" si="70"/>
        <v>1.5411063381267927</v>
      </c>
      <c r="H287" s="263">
        <f t="shared" si="70"/>
        <v>1.5426676995745858</v>
      </c>
      <c r="I287" s="263">
        <f t="shared" si="70"/>
        <v>1.5422420906437706</v>
      </c>
      <c r="J287" s="263">
        <f t="shared" si="70"/>
        <v>1.5422131901795479</v>
      </c>
      <c r="K287" s="222"/>
      <c r="L287" s="646"/>
      <c r="M287" s="646"/>
      <c r="N287" s="30"/>
      <c r="O287" s="30"/>
      <c r="P287" s="30"/>
      <c r="Q287" s="30"/>
      <c r="R287" s="30"/>
      <c r="S287" s="30"/>
      <c r="T287" s="30"/>
      <c r="U287" s="646"/>
      <c r="V287" s="646"/>
      <c r="W287" s="646"/>
      <c r="X287" s="646"/>
    </row>
    <row r="288" spans="1:24" ht="13">
      <c r="A288" s="30"/>
      <c r="B288" s="199"/>
      <c r="C288" s="258"/>
      <c r="D288" s="258"/>
      <c r="E288" s="258"/>
      <c r="F288" s="258"/>
      <c r="G288" s="258"/>
      <c r="H288" s="258"/>
      <c r="I288" s="258"/>
      <c r="J288" s="30"/>
      <c r="K288" s="646"/>
      <c r="L288" s="646"/>
      <c r="M288" s="646"/>
      <c r="N288" s="30"/>
      <c r="O288" s="30"/>
      <c r="P288" s="30"/>
      <c r="Q288" s="30"/>
      <c r="R288" s="30"/>
      <c r="S288" s="30"/>
      <c r="T288" s="30"/>
      <c r="U288" s="646"/>
      <c r="V288" s="646"/>
      <c r="W288" s="646"/>
      <c r="X288" s="646"/>
    </row>
    <row r="289" spans="1:20" ht="13">
      <c r="A289" s="647" t="s">
        <v>1403</v>
      </c>
      <c r="B289" s="646"/>
      <c r="C289" s="30"/>
      <c r="D289" s="30"/>
      <c r="E289" s="30"/>
      <c r="F289" s="30"/>
      <c r="G289" s="30"/>
      <c r="H289" s="30"/>
      <c r="I289" s="30"/>
      <c r="J289" s="30"/>
      <c r="K289" s="646"/>
      <c r="L289" s="648"/>
      <c r="M289" s="648"/>
      <c r="N289" s="30"/>
      <c r="O289" s="30"/>
      <c r="P289" s="30"/>
      <c r="Q289" s="30"/>
      <c r="R289" s="30"/>
      <c r="S289" s="30"/>
      <c r="T289" s="235"/>
    </row>
    <row r="290" spans="1:20">
      <c r="A290" s="30" t="s">
        <v>1404</v>
      </c>
      <c r="B290" s="646"/>
      <c r="C290" s="92">
        <v>0.88819998502731301</v>
      </c>
      <c r="D290" s="91">
        <v>0.894876</v>
      </c>
      <c r="E290" s="91">
        <v>0.90670899999999999</v>
      </c>
      <c r="F290" s="91">
        <v>0.94383300000000003</v>
      </c>
      <c r="G290" s="91">
        <v>0.97332099999999999</v>
      </c>
      <c r="H290" s="91">
        <v>0.99224900000000005</v>
      </c>
      <c r="I290" s="91">
        <v>0.99913300000000005</v>
      </c>
      <c r="J290" s="91">
        <v>1.0006139999999999</v>
      </c>
      <c r="K290" s="646"/>
      <c r="L290" s="646"/>
      <c r="M290" s="646"/>
      <c r="N290" s="646"/>
      <c r="O290" s="646"/>
      <c r="P290" s="646"/>
      <c r="Q290" s="646"/>
      <c r="R290" s="646"/>
      <c r="S290" s="646"/>
      <c r="T290" s="235"/>
    </row>
    <row r="291" spans="1:20">
      <c r="A291" s="30" t="s">
        <v>1405</v>
      </c>
      <c r="B291" s="646"/>
      <c r="C291" s="92">
        <v>0.57569998502731301</v>
      </c>
      <c r="D291" s="91">
        <v>0.60911400000000004</v>
      </c>
      <c r="E291" s="91">
        <v>0.60935300000000003</v>
      </c>
      <c r="F291" s="91">
        <v>0.62057200000000001</v>
      </c>
      <c r="G291" s="91">
        <v>0.62537799999999999</v>
      </c>
      <c r="H291" s="91">
        <v>0.62715299999999996</v>
      </c>
      <c r="I291" s="91">
        <v>0.62755099999999997</v>
      </c>
      <c r="J291" s="91">
        <v>0.62778400000000001</v>
      </c>
      <c r="K291" s="646"/>
      <c r="L291" s="646"/>
      <c r="M291" s="646"/>
      <c r="N291" s="646"/>
      <c r="O291" s="646"/>
      <c r="P291" s="646"/>
      <c r="Q291" s="646"/>
      <c r="R291" s="646"/>
      <c r="S291" s="646"/>
      <c r="T291" s="235"/>
    </row>
    <row r="292" spans="1:20">
      <c r="A292" s="30" t="s">
        <v>1406</v>
      </c>
      <c r="B292" s="646"/>
      <c r="C292" s="92">
        <v>0.54500001668930098</v>
      </c>
      <c r="D292" s="91">
        <v>0.57744099999999998</v>
      </c>
      <c r="E292" s="91">
        <v>0.59846500000000002</v>
      </c>
      <c r="F292" s="91">
        <v>0.63297300000000001</v>
      </c>
      <c r="G292" s="91">
        <v>0.64751599999999998</v>
      </c>
      <c r="H292" s="91">
        <v>0.65087899999999999</v>
      </c>
      <c r="I292" s="91">
        <v>0.65167299999999995</v>
      </c>
      <c r="J292" s="91">
        <v>0.65205100000000005</v>
      </c>
      <c r="K292" s="646"/>
      <c r="L292" s="233">
        <f>(D294-C294)/C294</f>
        <v>4.7926658118872915E-2</v>
      </c>
      <c r="M292" s="233">
        <f t="shared" ref="M292:Q292" si="71">(E294-D294)/D294</f>
        <v>1.5166164052768355E-2</v>
      </c>
      <c r="N292" s="233">
        <f t="shared" si="71"/>
        <v>3.7716465746918566E-2</v>
      </c>
      <c r="O292" s="233">
        <f t="shared" si="71"/>
        <v>2.6033641163661504E-2</v>
      </c>
      <c r="P292" s="233">
        <f t="shared" si="71"/>
        <v>1.717610442329582E-2</v>
      </c>
      <c r="Q292" s="233">
        <f t="shared" si="71"/>
        <v>8.5778917508377607E-3</v>
      </c>
      <c r="R292" s="646"/>
      <c r="S292" s="646"/>
      <c r="T292" s="235"/>
    </row>
    <row r="293" spans="1:20">
      <c r="A293" s="30" t="s">
        <v>1407</v>
      </c>
      <c r="B293" s="646"/>
      <c r="C293" s="92">
        <v>0.57480001449585005</v>
      </c>
      <c r="D293" s="91">
        <v>0.65538200000000002</v>
      </c>
      <c r="E293" s="91">
        <v>0.65606699999999996</v>
      </c>
      <c r="F293" s="91">
        <v>0.64164500000000002</v>
      </c>
      <c r="G293" s="91">
        <v>0.62695800000000002</v>
      </c>
      <c r="H293" s="91">
        <v>0.62204000000000004</v>
      </c>
      <c r="I293" s="91">
        <v>0.62138800000000005</v>
      </c>
      <c r="J293" s="91">
        <v>0.62141900000000005</v>
      </c>
      <c r="K293" s="646"/>
      <c r="L293" s="254">
        <f>1+L292</f>
        <v>1.0479266581188729</v>
      </c>
      <c r="M293" s="254">
        <f t="shared" ref="M293:Q293" si="72">1+M292</f>
        <v>1.0151661640527683</v>
      </c>
      <c r="N293" s="254">
        <f t="shared" si="72"/>
        <v>1.0377164657469187</v>
      </c>
      <c r="O293" s="254">
        <f t="shared" si="72"/>
        <v>1.0260336411636615</v>
      </c>
      <c r="P293" s="254">
        <f t="shared" si="72"/>
        <v>1.0171761044232959</v>
      </c>
      <c r="Q293" s="254">
        <f t="shared" si="72"/>
        <v>1.0085778917508377</v>
      </c>
      <c r="R293" s="646"/>
      <c r="S293" s="646"/>
      <c r="T293" s="30"/>
    </row>
    <row r="294" spans="1:20" ht="13">
      <c r="A294" s="30"/>
      <c r="B294" s="199" t="s">
        <v>1395</v>
      </c>
      <c r="C294" s="258">
        <v>0.65</v>
      </c>
      <c r="D294" s="258">
        <v>0.68115232777726742</v>
      </c>
      <c r="E294" s="258">
        <v>0.6914827957252625</v>
      </c>
      <c r="F294" s="258">
        <v>0.71756308290481785</v>
      </c>
      <c r="G294" s="258">
        <v>0.73624386271745257</v>
      </c>
      <c r="H294" s="258">
        <v>0.7488896641844982</v>
      </c>
      <c r="I294" s="258">
        <v>0.75531355865719407</v>
      </c>
      <c r="J294" s="258">
        <v>0.75886479891283121</v>
      </c>
      <c r="K294" s="258">
        <v>0.75886479891283121</v>
      </c>
      <c r="L294" s="262">
        <f>K294*L293</f>
        <v>0.79523465268877369</v>
      </c>
      <c r="M294" s="262">
        <f t="shared" ref="M294:Q294" si="73">L294*M293</f>
        <v>0.80729531189189785</v>
      </c>
      <c r="N294" s="262">
        <f t="shared" si="73"/>
        <v>0.83774363787051664</v>
      </c>
      <c r="O294" s="262">
        <f t="shared" si="73"/>
        <v>0.85955315512597807</v>
      </c>
      <c r="P294" s="262">
        <f t="shared" si="73"/>
        <v>0.87431692987579535</v>
      </c>
      <c r="Q294" s="262">
        <f t="shared" si="73"/>
        <v>0.88181672585619464</v>
      </c>
      <c r="R294" s="30"/>
      <c r="S294" s="30"/>
      <c r="T294" s="30"/>
    </row>
    <row r="295" spans="1:20" ht="13">
      <c r="A295" s="30"/>
      <c r="B295" s="199"/>
      <c r="C295" s="258"/>
      <c r="D295" s="258"/>
      <c r="E295" s="258"/>
      <c r="F295" s="258"/>
      <c r="G295" s="258"/>
      <c r="H295" s="258"/>
      <c r="I295" s="258"/>
      <c r="J295" s="30"/>
      <c r="K295" s="646"/>
      <c r="L295" s="646"/>
      <c r="M295" s="646"/>
      <c r="N295" s="30"/>
      <c r="O295" s="30"/>
      <c r="P295" s="30"/>
      <c r="Q295" s="30"/>
      <c r="R295" s="30"/>
      <c r="S295" s="30"/>
      <c r="T295" s="30"/>
    </row>
    <row r="296" spans="1:20" ht="13">
      <c r="A296" s="647" t="s">
        <v>1408</v>
      </c>
      <c r="B296" s="646"/>
      <c r="C296" s="30"/>
      <c r="D296" s="30"/>
      <c r="E296" s="30"/>
      <c r="F296" s="30"/>
      <c r="G296" s="30"/>
      <c r="H296" s="30"/>
      <c r="I296" s="30"/>
      <c r="J296" s="30"/>
      <c r="K296" s="646"/>
      <c r="L296" s="648"/>
      <c r="M296" s="648"/>
      <c r="N296" s="30"/>
      <c r="O296" s="30"/>
      <c r="P296" s="30"/>
      <c r="Q296" s="30"/>
      <c r="R296" s="30"/>
      <c r="S296" s="30"/>
      <c r="T296" s="235"/>
    </row>
    <row r="297" spans="1:20">
      <c r="A297" s="30" t="s">
        <v>1386</v>
      </c>
      <c r="B297" s="646"/>
      <c r="C297" s="92">
        <v>673.06201171875</v>
      </c>
      <c r="D297" s="91">
        <v>618.44274900000005</v>
      </c>
      <c r="E297" s="91">
        <v>601.20519999999999</v>
      </c>
      <c r="F297" s="91">
        <v>565.92767300000003</v>
      </c>
      <c r="G297" s="91">
        <v>538.84704599999998</v>
      </c>
      <c r="H297" s="91">
        <v>521.03576699999996</v>
      </c>
      <c r="I297" s="91">
        <v>512.76214600000003</v>
      </c>
      <c r="J297" s="91">
        <v>510.818085</v>
      </c>
      <c r="K297" s="646"/>
      <c r="L297" s="646"/>
      <c r="M297" s="646"/>
      <c r="N297" s="646"/>
      <c r="O297" s="646"/>
      <c r="P297" s="646"/>
      <c r="Q297" s="646"/>
      <c r="R297" s="646"/>
      <c r="S297" s="646"/>
      <c r="T297" s="235"/>
    </row>
    <row r="298" spans="1:20">
      <c r="A298" s="30" t="s">
        <v>1311</v>
      </c>
      <c r="B298" s="646"/>
      <c r="C298" s="92">
        <v>481.41000366210898</v>
      </c>
      <c r="D298" s="91">
        <v>516.68060300000002</v>
      </c>
      <c r="E298" s="91">
        <v>510.20761099999999</v>
      </c>
      <c r="F298" s="91">
        <v>483.23846400000002</v>
      </c>
      <c r="G298" s="91">
        <v>457.36019900000002</v>
      </c>
      <c r="H298" s="91">
        <v>436.10687300000001</v>
      </c>
      <c r="I298" s="91">
        <v>420.70077500000002</v>
      </c>
      <c r="J298" s="91">
        <v>412.74560500000001</v>
      </c>
      <c r="K298" s="646"/>
      <c r="L298" s="646"/>
      <c r="M298" s="646"/>
      <c r="N298" s="646"/>
      <c r="O298" s="646"/>
      <c r="P298" s="646"/>
      <c r="Q298" s="646"/>
      <c r="R298" s="646"/>
      <c r="S298" s="646"/>
      <c r="T298" s="30"/>
    </row>
    <row r="299" spans="1:20">
      <c r="A299" s="30"/>
      <c r="B299" s="646"/>
      <c r="C299" s="30"/>
      <c r="D299" s="30"/>
      <c r="E299" s="30"/>
      <c r="F299" s="30"/>
      <c r="G299" s="30"/>
      <c r="H299" s="30"/>
      <c r="I299" s="30"/>
      <c r="J299" s="646"/>
      <c r="K299" s="646"/>
      <c r="L299" s="646"/>
      <c r="M299" s="646"/>
      <c r="N299" s="30"/>
      <c r="O299" s="30"/>
      <c r="P299" s="30"/>
      <c r="Q299" s="30"/>
      <c r="R299" s="30"/>
      <c r="S299" s="30"/>
      <c r="T299" s="30"/>
    </row>
    <row r="300" spans="1:20" ht="13">
      <c r="A300" s="647" t="s">
        <v>1409</v>
      </c>
      <c r="B300" s="646"/>
      <c r="C300" s="30"/>
      <c r="D300" s="30"/>
      <c r="E300" s="30"/>
      <c r="F300" s="30"/>
      <c r="G300" s="30"/>
      <c r="H300" s="30"/>
      <c r="I300" s="30"/>
      <c r="J300" s="646"/>
      <c r="K300" s="646"/>
      <c r="L300" s="648"/>
      <c r="M300" s="648"/>
      <c r="N300" s="30"/>
      <c r="O300" s="30"/>
      <c r="P300" s="30"/>
      <c r="Q300" s="30"/>
      <c r="R300" s="30"/>
      <c r="S300" s="30"/>
      <c r="T300" s="30"/>
    </row>
    <row r="301" spans="1:20" ht="13">
      <c r="A301" s="647" t="s">
        <v>1334</v>
      </c>
      <c r="B301" s="646"/>
      <c r="C301" s="30"/>
      <c r="D301" s="30"/>
      <c r="E301" s="30"/>
      <c r="F301" s="30"/>
      <c r="G301" s="30"/>
      <c r="H301" s="30"/>
      <c r="I301" s="30"/>
      <c r="J301" s="646"/>
      <c r="K301" s="646"/>
      <c r="L301" s="648"/>
      <c r="M301" s="648"/>
      <c r="N301" s="30"/>
      <c r="O301" s="30"/>
      <c r="P301" s="30"/>
      <c r="Q301" s="30"/>
      <c r="R301" s="30"/>
      <c r="S301" s="30"/>
      <c r="T301" s="235"/>
    </row>
    <row r="302" spans="1:20">
      <c r="A302" s="30" t="s">
        <v>1410</v>
      </c>
      <c r="B302" s="646"/>
      <c r="C302" s="104">
        <v>0.97422799999999998</v>
      </c>
      <c r="D302" s="52">
        <v>0.91</v>
      </c>
      <c r="E302" s="91">
        <v>0.95128100000000004</v>
      </c>
      <c r="F302" s="91">
        <v>0.92034499999999997</v>
      </c>
      <c r="G302" s="91">
        <v>0.88965899999999998</v>
      </c>
      <c r="H302" s="91">
        <v>0.85840499999999997</v>
      </c>
      <c r="I302" s="91">
        <v>0.82547899999999996</v>
      </c>
      <c r="J302" s="91">
        <v>0.79220100000000004</v>
      </c>
      <c r="K302" s="646"/>
      <c r="L302" s="646"/>
      <c r="M302" s="646"/>
      <c r="N302" s="646"/>
      <c r="O302" s="646"/>
      <c r="P302" s="646"/>
      <c r="Q302" s="646"/>
      <c r="R302" s="646"/>
      <c r="S302" s="646"/>
      <c r="T302" s="235"/>
    </row>
    <row r="303" spans="1:20">
      <c r="A303" s="30" t="s">
        <v>1411</v>
      </c>
      <c r="B303" s="646"/>
      <c r="C303" s="22">
        <v>1.0231920000000001</v>
      </c>
      <c r="D303" s="52">
        <v>0.86</v>
      </c>
      <c r="E303" s="91">
        <v>0.95008300000000001</v>
      </c>
      <c r="F303" s="91">
        <v>0.91624399999999995</v>
      </c>
      <c r="G303" s="91">
        <v>0.92264299999999999</v>
      </c>
      <c r="H303" s="91">
        <v>0.932307</v>
      </c>
      <c r="I303" s="91">
        <v>0.93074699999999999</v>
      </c>
      <c r="J303" s="91">
        <v>0.92602300000000004</v>
      </c>
      <c r="K303" s="646"/>
      <c r="L303" s="646"/>
      <c r="M303" s="646"/>
      <c r="N303" s="646"/>
      <c r="O303" s="646"/>
      <c r="P303" s="646"/>
      <c r="Q303" s="646"/>
      <c r="R303" s="646"/>
      <c r="S303" s="646"/>
      <c r="T303" s="235"/>
    </row>
    <row r="304" spans="1:20">
      <c r="A304" s="30" t="s">
        <v>1412</v>
      </c>
      <c r="B304" s="646"/>
      <c r="C304" s="22">
        <v>0.97457899999999997</v>
      </c>
      <c r="D304" s="52">
        <v>0.9</v>
      </c>
      <c r="E304" s="91">
        <v>0.95341200000000004</v>
      </c>
      <c r="F304" s="91">
        <v>0.92342500000000005</v>
      </c>
      <c r="G304" s="91">
        <v>0.89810599999999996</v>
      </c>
      <c r="H304" s="91">
        <v>0.87608200000000003</v>
      </c>
      <c r="I304" s="91">
        <v>0.85571900000000001</v>
      </c>
      <c r="J304" s="91">
        <v>0.83712399999999998</v>
      </c>
      <c r="K304" s="646"/>
      <c r="L304" s="646"/>
      <c r="M304" s="646"/>
      <c r="N304" s="646"/>
      <c r="O304" s="646"/>
      <c r="P304" s="646"/>
      <c r="Q304" s="646"/>
      <c r="R304" s="646"/>
      <c r="S304" s="646"/>
      <c r="T304" s="30"/>
    </row>
    <row r="305" spans="1:20">
      <c r="A305" s="30"/>
      <c r="B305" s="646"/>
      <c r="C305" s="30"/>
      <c r="D305" s="30"/>
      <c r="E305" s="30"/>
      <c r="F305" s="30"/>
      <c r="G305" s="30"/>
      <c r="H305" s="30"/>
      <c r="I305" s="30"/>
      <c r="J305" s="30"/>
      <c r="K305" s="646"/>
      <c r="L305" s="646"/>
      <c r="M305" s="646"/>
      <c r="N305" s="30"/>
      <c r="O305" s="30"/>
      <c r="P305" s="30"/>
      <c r="Q305" s="30"/>
      <c r="R305" s="30"/>
      <c r="S305" s="30"/>
      <c r="T305" s="30"/>
    </row>
    <row r="306" spans="1:20" ht="13">
      <c r="A306" s="647" t="s">
        <v>1335</v>
      </c>
      <c r="B306" s="646"/>
      <c r="C306" s="30"/>
      <c r="D306" s="30"/>
      <c r="E306" s="30"/>
      <c r="F306" s="30"/>
      <c r="G306" s="30"/>
      <c r="H306" s="30"/>
      <c r="I306" s="30"/>
      <c r="J306" s="30"/>
      <c r="K306" s="646"/>
      <c r="L306" s="648"/>
      <c r="M306" s="648"/>
      <c r="N306" s="30"/>
      <c r="O306" s="30"/>
      <c r="P306" s="30"/>
      <c r="Q306" s="30"/>
      <c r="R306" s="30"/>
      <c r="S306" s="30"/>
      <c r="T306" s="235"/>
    </row>
    <row r="307" spans="1:20">
      <c r="A307" s="30" t="s">
        <v>1410</v>
      </c>
      <c r="B307" s="646"/>
      <c r="C307" s="104">
        <v>0.985433</v>
      </c>
      <c r="D307" s="52">
        <v>0.96</v>
      </c>
      <c r="E307" s="91">
        <v>0.97746200000000005</v>
      </c>
      <c r="F307" s="91">
        <v>0.96739200000000003</v>
      </c>
      <c r="G307" s="91">
        <v>0.95709200000000005</v>
      </c>
      <c r="H307" s="91">
        <v>0.94655800000000001</v>
      </c>
      <c r="I307" s="91">
        <v>0.93499399999999999</v>
      </c>
      <c r="J307" s="91">
        <v>0.92303800000000003</v>
      </c>
      <c r="K307" s="646"/>
      <c r="L307" s="646"/>
      <c r="M307" s="646"/>
      <c r="N307" s="646"/>
      <c r="O307" s="646"/>
      <c r="P307" s="646"/>
      <c r="Q307" s="646"/>
      <c r="R307" s="646"/>
      <c r="S307" s="646"/>
      <c r="T307" s="235"/>
    </row>
    <row r="308" spans="1:20">
      <c r="A308" s="30" t="s">
        <v>1411</v>
      </c>
      <c r="B308" s="646"/>
      <c r="C308" s="22">
        <v>1.0663450000000001</v>
      </c>
      <c r="D308" s="52">
        <v>0.98</v>
      </c>
      <c r="E308" s="91">
        <v>1.0298560000000001</v>
      </c>
      <c r="F308" s="91">
        <v>1.009806</v>
      </c>
      <c r="G308" s="91">
        <v>1.013566</v>
      </c>
      <c r="H308" s="91">
        <v>1.0193810000000001</v>
      </c>
      <c r="I308" s="91">
        <v>1.020062</v>
      </c>
      <c r="J308" s="91">
        <v>1.0193559999999999</v>
      </c>
      <c r="K308" s="646"/>
      <c r="L308" s="646"/>
      <c r="M308" s="646"/>
      <c r="N308" s="646"/>
      <c r="O308" s="646"/>
      <c r="P308" s="646"/>
      <c r="Q308" s="646"/>
      <c r="R308" s="646"/>
      <c r="S308" s="646"/>
      <c r="T308" s="235"/>
    </row>
    <row r="309" spans="1:20">
      <c r="A309" s="30" t="s">
        <v>1412</v>
      </c>
      <c r="B309" s="646"/>
      <c r="C309" s="22">
        <v>0.98617900000000003</v>
      </c>
      <c r="D309" s="52">
        <v>0.96</v>
      </c>
      <c r="E309" s="91">
        <v>0.98068299999999997</v>
      </c>
      <c r="F309" s="91">
        <v>0.97319900000000004</v>
      </c>
      <c r="G309" s="91">
        <v>0.96629900000000002</v>
      </c>
      <c r="H309" s="91">
        <v>0.95999199999999996</v>
      </c>
      <c r="I309" s="91">
        <v>0.95335899999999996</v>
      </c>
      <c r="J309" s="91">
        <v>0.94671799999999995</v>
      </c>
      <c r="K309" s="646"/>
      <c r="L309" s="646"/>
      <c r="M309" s="646"/>
      <c r="N309" s="646"/>
      <c r="O309" s="646"/>
      <c r="P309" s="646"/>
      <c r="Q309" s="646"/>
      <c r="R309" s="646"/>
      <c r="S309" s="646"/>
      <c r="T309" s="30"/>
    </row>
    <row r="310" spans="1:20">
      <c r="A310" s="30"/>
      <c r="B310" s="646"/>
      <c r="C310" s="223"/>
      <c r="D310" s="223"/>
      <c r="E310" s="223"/>
      <c r="F310" s="223"/>
      <c r="G310" s="223"/>
      <c r="H310" s="223"/>
      <c r="I310" s="646"/>
      <c r="J310" s="646"/>
      <c r="K310" s="646"/>
      <c r="L310" s="30"/>
      <c r="M310" s="30"/>
      <c r="N310" s="30"/>
      <c r="O310" s="30"/>
      <c r="P310" s="30"/>
      <c r="Q310" s="30"/>
      <c r="R310" s="30"/>
      <c r="S310" s="235"/>
      <c r="T310" s="30"/>
    </row>
    <row r="311" spans="1:20" s="264" customFormat="1" ht="15" customHeight="1">
      <c r="A311" s="675" t="s">
        <v>1413</v>
      </c>
      <c r="B311" s="675"/>
      <c r="C311" s="675"/>
      <c r="D311" s="675"/>
      <c r="E311" s="675"/>
      <c r="F311" s="675"/>
      <c r="G311" s="675"/>
      <c r="H311" s="675"/>
    </row>
    <row r="312" spans="1:20" s="30" customFormat="1" ht="15" customHeight="1">
      <c r="A312" s="670" t="s">
        <v>1414</v>
      </c>
      <c r="B312" s="670"/>
      <c r="C312" s="670"/>
      <c r="D312" s="670"/>
      <c r="E312" s="670"/>
      <c r="F312" s="670"/>
      <c r="G312" s="670"/>
      <c r="H312" s="670"/>
    </row>
    <row r="313" spans="1:20" s="30" customFormat="1" ht="15" customHeight="1">
      <c r="A313" s="670" t="s">
        <v>1415</v>
      </c>
      <c r="B313" s="670"/>
      <c r="C313" s="670"/>
      <c r="D313" s="670"/>
      <c r="E313" s="670"/>
      <c r="F313" s="670"/>
      <c r="G313" s="670"/>
      <c r="H313" s="670"/>
    </row>
    <row r="314" spans="1:20" s="30" customFormat="1" ht="15" customHeight="1">
      <c r="A314" s="670" t="s">
        <v>1416</v>
      </c>
      <c r="B314" s="670"/>
      <c r="C314" s="670"/>
      <c r="D314" s="670"/>
      <c r="E314" s="670"/>
      <c r="F314" s="670"/>
      <c r="G314" s="670"/>
      <c r="H314" s="670"/>
    </row>
    <row r="315" spans="1:20" s="30" customFormat="1" ht="15" customHeight="1">
      <c r="A315" s="670" t="s">
        <v>1417</v>
      </c>
      <c r="B315" s="670"/>
      <c r="C315" s="670"/>
      <c r="D315" s="670"/>
      <c r="E315" s="670"/>
      <c r="F315" s="670"/>
      <c r="G315" s="670"/>
      <c r="H315" s="670"/>
    </row>
    <row r="316" spans="1:20" s="30" customFormat="1" ht="15" customHeight="1">
      <c r="A316" s="670" t="s">
        <v>1418</v>
      </c>
      <c r="B316" s="670"/>
      <c r="C316" s="670"/>
      <c r="D316" s="670"/>
      <c r="E316" s="670"/>
      <c r="F316" s="670"/>
      <c r="G316" s="670"/>
      <c r="H316" s="670"/>
    </row>
    <row r="317" spans="1:20" s="30" customFormat="1" ht="15" customHeight="1">
      <c r="A317" s="670" t="s">
        <v>1419</v>
      </c>
      <c r="B317" s="670"/>
      <c r="C317" s="670"/>
      <c r="D317" s="670"/>
      <c r="E317" s="670"/>
      <c r="F317" s="670"/>
      <c r="G317" s="670"/>
      <c r="H317" s="670"/>
    </row>
    <row r="318" spans="1:20" s="30" customFormat="1" ht="15" customHeight="1">
      <c r="A318" s="670" t="s">
        <v>1420</v>
      </c>
      <c r="B318" s="670"/>
      <c r="C318" s="670"/>
      <c r="D318" s="670"/>
      <c r="E318" s="670"/>
      <c r="F318" s="670"/>
      <c r="G318" s="670"/>
      <c r="H318" s="670"/>
    </row>
    <row r="319" spans="1:20" s="30" customFormat="1" ht="15" customHeight="1">
      <c r="A319" s="670" t="s">
        <v>1421</v>
      </c>
      <c r="B319" s="670"/>
      <c r="C319" s="670"/>
      <c r="D319" s="670"/>
      <c r="E319" s="670"/>
      <c r="F319" s="670"/>
      <c r="G319" s="670"/>
      <c r="H319" s="670"/>
    </row>
    <row r="320" spans="1:20" s="30" customFormat="1" ht="15" customHeight="1">
      <c r="A320" s="670" t="s">
        <v>1422</v>
      </c>
      <c r="B320" s="670"/>
      <c r="C320" s="670"/>
      <c r="D320" s="670"/>
      <c r="E320" s="670"/>
      <c r="F320" s="670"/>
      <c r="G320" s="670"/>
      <c r="H320" s="670"/>
    </row>
    <row r="321" spans="1:8" s="30" customFormat="1" ht="15" customHeight="1">
      <c r="A321" s="670" t="s">
        <v>1423</v>
      </c>
      <c r="B321" s="670"/>
      <c r="C321" s="670"/>
      <c r="D321" s="670"/>
      <c r="E321" s="670"/>
      <c r="F321" s="670"/>
      <c r="G321" s="670"/>
      <c r="H321" s="670"/>
    </row>
    <row r="322" spans="1:8" s="30" customFormat="1" ht="15" customHeight="1">
      <c r="A322" s="670" t="s">
        <v>1424</v>
      </c>
      <c r="B322" s="670"/>
      <c r="C322" s="670"/>
      <c r="D322" s="670"/>
      <c r="E322" s="670"/>
      <c r="F322" s="670"/>
      <c r="G322" s="670"/>
      <c r="H322" s="670"/>
    </row>
    <row r="323" spans="1:8" s="30" customFormat="1" ht="15" customHeight="1">
      <c r="A323" s="670" t="s">
        <v>1425</v>
      </c>
      <c r="B323" s="670"/>
      <c r="C323" s="670"/>
      <c r="D323" s="670"/>
      <c r="E323" s="670"/>
      <c r="F323" s="670"/>
      <c r="G323" s="670"/>
      <c r="H323" s="670"/>
    </row>
    <row r="324" spans="1:8" s="30" customFormat="1" ht="15" customHeight="1">
      <c r="A324" s="670" t="s">
        <v>1426</v>
      </c>
      <c r="B324" s="670"/>
      <c r="C324" s="670"/>
      <c r="D324" s="670"/>
      <c r="E324" s="670"/>
      <c r="F324" s="670"/>
      <c r="G324" s="670"/>
      <c r="H324" s="670"/>
    </row>
    <row r="325" spans="1:8" s="30" customFormat="1" ht="15" customHeight="1">
      <c r="A325" s="670" t="s">
        <v>1427</v>
      </c>
      <c r="B325" s="670"/>
      <c r="C325" s="670"/>
      <c r="D325" s="670"/>
      <c r="E325" s="670"/>
      <c r="F325" s="670"/>
      <c r="G325" s="670"/>
      <c r="H325" s="670"/>
    </row>
    <row r="326" spans="1:8" s="30" customFormat="1" ht="15" customHeight="1">
      <c r="A326" s="670" t="s">
        <v>1428</v>
      </c>
      <c r="B326" s="670"/>
      <c r="C326" s="670"/>
      <c r="D326" s="670"/>
      <c r="E326" s="670"/>
      <c r="F326" s="670"/>
      <c r="G326" s="670"/>
      <c r="H326" s="670"/>
    </row>
    <row r="327" spans="1:8" s="30" customFormat="1" ht="15" customHeight="1">
      <c r="A327" s="670" t="s">
        <v>1429</v>
      </c>
      <c r="B327" s="670"/>
      <c r="C327" s="670"/>
      <c r="D327" s="670"/>
      <c r="E327" s="670"/>
      <c r="F327" s="670"/>
      <c r="G327" s="670"/>
      <c r="H327" s="670"/>
    </row>
    <row r="328" spans="1:8" s="30" customFormat="1" ht="15" customHeight="1">
      <c r="A328" s="670" t="s">
        <v>1430</v>
      </c>
      <c r="B328" s="670"/>
      <c r="C328" s="670"/>
      <c r="D328" s="670"/>
      <c r="E328" s="670"/>
      <c r="F328" s="670"/>
      <c r="G328" s="670"/>
      <c r="H328" s="670"/>
    </row>
    <row r="329" spans="1:8" s="30" customFormat="1" ht="15" customHeight="1">
      <c r="A329" s="670" t="s">
        <v>1431</v>
      </c>
      <c r="B329" s="670"/>
      <c r="C329" s="670"/>
      <c r="D329" s="670"/>
      <c r="E329" s="670"/>
      <c r="F329" s="670"/>
      <c r="G329" s="670"/>
      <c r="H329" s="670"/>
    </row>
    <row r="330" spans="1:8" s="30" customFormat="1" ht="15" customHeight="1">
      <c r="A330" s="670" t="s">
        <v>1432</v>
      </c>
      <c r="B330" s="670"/>
      <c r="C330" s="670"/>
      <c r="D330" s="670"/>
      <c r="E330" s="670"/>
      <c r="F330" s="670"/>
      <c r="G330" s="670"/>
      <c r="H330" s="670"/>
    </row>
    <row r="331" spans="1:8" s="30" customFormat="1" ht="15" customHeight="1">
      <c r="A331" s="670" t="s">
        <v>1433</v>
      </c>
      <c r="B331" s="670"/>
      <c r="C331" s="670"/>
      <c r="D331" s="670"/>
      <c r="E331" s="670"/>
      <c r="F331" s="670"/>
      <c r="G331" s="670"/>
      <c r="H331" s="670"/>
    </row>
    <row r="332" spans="1:8" s="30" customFormat="1" ht="15" customHeight="1">
      <c r="A332" s="670" t="s">
        <v>1434</v>
      </c>
      <c r="B332" s="670"/>
      <c r="C332" s="670"/>
      <c r="D332" s="670"/>
      <c r="E332" s="670"/>
      <c r="F332" s="670"/>
      <c r="G332" s="670"/>
      <c r="H332" s="670"/>
    </row>
    <row r="333" spans="1:8" s="30" customFormat="1" ht="15" customHeight="1">
      <c r="A333" s="670" t="s">
        <v>1435</v>
      </c>
      <c r="B333" s="670"/>
      <c r="C333" s="670"/>
      <c r="D333" s="670"/>
      <c r="E333" s="670"/>
      <c r="F333" s="670"/>
      <c r="G333" s="670"/>
      <c r="H333" s="670"/>
    </row>
    <row r="334" spans="1:8" s="30" customFormat="1" ht="15" customHeight="1">
      <c r="A334" s="670" t="s">
        <v>1436</v>
      </c>
      <c r="B334" s="670"/>
      <c r="C334" s="670"/>
      <c r="D334" s="670"/>
      <c r="E334" s="670"/>
      <c r="F334" s="670"/>
      <c r="G334" s="670"/>
      <c r="H334" s="670"/>
    </row>
    <row r="335" spans="1:8" s="30" customFormat="1" ht="15" customHeight="1">
      <c r="A335" s="670" t="s">
        <v>1437</v>
      </c>
      <c r="B335" s="670"/>
      <c r="C335" s="670"/>
      <c r="D335" s="670"/>
      <c r="E335" s="670"/>
      <c r="F335" s="670"/>
      <c r="G335" s="670"/>
      <c r="H335" s="670"/>
    </row>
    <row r="336" spans="1:8" s="30" customFormat="1" ht="15" customHeight="1">
      <c r="A336" s="670" t="s">
        <v>1438</v>
      </c>
      <c r="B336" s="670"/>
      <c r="C336" s="670"/>
      <c r="D336" s="670"/>
      <c r="E336" s="670"/>
      <c r="F336" s="670"/>
      <c r="G336" s="670"/>
      <c r="H336" s="670"/>
    </row>
    <row r="337" spans="1:20" s="30" customFormat="1" ht="15" customHeight="1">
      <c r="A337" s="670" t="s">
        <v>1439</v>
      </c>
      <c r="B337" s="670"/>
      <c r="C337" s="670"/>
      <c r="D337" s="670"/>
      <c r="E337" s="670"/>
      <c r="F337" s="670"/>
      <c r="G337" s="670"/>
      <c r="H337" s="670"/>
    </row>
    <row r="338" spans="1:20" s="30" customFormat="1"/>
    <row r="339" spans="1:20">
      <c r="A339" s="646"/>
      <c r="B339" s="30"/>
      <c r="C339" s="30"/>
      <c r="D339" s="94"/>
      <c r="E339" s="94"/>
      <c r="F339" s="94"/>
      <c r="G339" s="94"/>
      <c r="H339" s="94"/>
      <c r="I339" s="94"/>
      <c r="J339" s="94"/>
      <c r="K339" s="235"/>
      <c r="L339" s="30"/>
      <c r="M339" s="30"/>
      <c r="N339" s="30"/>
      <c r="O339" s="30"/>
      <c r="P339" s="30"/>
      <c r="Q339" s="30"/>
      <c r="R339" s="30"/>
      <c r="S339" s="30"/>
      <c r="T339" s="30"/>
    </row>
    <row r="340" spans="1:20" ht="13">
      <c r="A340" s="646"/>
      <c r="B340" s="647"/>
      <c r="C340" s="647"/>
      <c r="D340" s="238"/>
      <c r="E340" s="238"/>
      <c r="F340" s="238"/>
      <c r="G340" s="238"/>
      <c r="H340" s="238"/>
      <c r="I340" s="238"/>
      <c r="J340" s="238"/>
      <c r="K340" s="239"/>
      <c r="L340" s="30"/>
      <c r="M340" s="30"/>
      <c r="N340" s="30"/>
      <c r="O340" s="30"/>
      <c r="P340" s="30"/>
      <c r="Q340" s="30"/>
      <c r="R340" s="30"/>
      <c r="S340" s="30"/>
      <c r="T340" s="30"/>
    </row>
    <row r="341" spans="1:20">
      <c r="A341" s="646"/>
      <c r="B341" s="30"/>
      <c r="C341" s="30"/>
      <c r="D341" s="30"/>
      <c r="E341" s="30"/>
      <c r="F341" s="30"/>
      <c r="G341" s="30"/>
      <c r="H341" s="30"/>
      <c r="I341" s="30"/>
      <c r="J341" s="30"/>
      <c r="K341" s="30"/>
      <c r="L341" s="646"/>
      <c r="M341" s="646"/>
      <c r="N341" s="30"/>
      <c r="O341" s="30"/>
      <c r="P341" s="30"/>
      <c r="Q341" s="30"/>
      <c r="R341" s="30"/>
      <c r="S341" s="30"/>
      <c r="T341" s="646"/>
    </row>
    <row r="342" spans="1:20" ht="13">
      <c r="A342" s="646"/>
      <c r="B342" s="647"/>
      <c r="C342" s="647"/>
      <c r="D342" s="30"/>
      <c r="E342" s="30"/>
      <c r="F342" s="30"/>
      <c r="G342" s="30"/>
      <c r="H342" s="30"/>
      <c r="I342" s="30"/>
      <c r="J342" s="30"/>
      <c r="K342" s="30"/>
      <c r="L342" s="646"/>
      <c r="M342" s="646"/>
      <c r="N342" s="30"/>
      <c r="O342" s="30"/>
      <c r="P342" s="30"/>
      <c r="Q342" s="30"/>
      <c r="R342" s="30"/>
      <c r="S342" s="30"/>
      <c r="T342" s="646"/>
    </row>
    <row r="343" spans="1:20">
      <c r="A343" s="646"/>
      <c r="B343" s="30"/>
      <c r="C343" s="30"/>
      <c r="D343" s="94"/>
      <c r="E343" s="94"/>
      <c r="F343" s="94"/>
      <c r="G343" s="94"/>
      <c r="H343" s="94"/>
      <c r="I343" s="94"/>
      <c r="J343" s="94"/>
      <c r="K343" s="235"/>
      <c r="L343" s="646"/>
      <c r="M343" s="646"/>
      <c r="N343" s="30"/>
      <c r="O343" s="30"/>
      <c r="P343" s="30"/>
      <c r="Q343" s="30"/>
      <c r="R343" s="30"/>
      <c r="S343" s="30"/>
      <c r="T343" s="646"/>
    </row>
    <row r="344" spans="1:20">
      <c r="A344" s="646"/>
      <c r="B344" s="30"/>
      <c r="C344" s="30"/>
      <c r="D344" s="94"/>
      <c r="E344" s="94"/>
      <c r="F344" s="94"/>
      <c r="G344" s="94"/>
      <c r="H344" s="94"/>
      <c r="I344" s="94"/>
      <c r="J344" s="94"/>
      <c r="K344" s="235"/>
      <c r="L344" s="646"/>
      <c r="M344" s="646"/>
      <c r="N344" s="30"/>
      <c r="O344" s="30"/>
      <c r="P344" s="30"/>
      <c r="Q344" s="30"/>
      <c r="R344" s="30"/>
      <c r="S344" s="30"/>
      <c r="T344" s="646"/>
    </row>
    <row r="345" spans="1:20">
      <c r="A345" s="646"/>
      <c r="B345" s="30"/>
      <c r="C345" s="30"/>
      <c r="D345" s="94"/>
      <c r="E345" s="94"/>
      <c r="F345" s="94"/>
      <c r="G345" s="94"/>
      <c r="H345" s="94"/>
      <c r="I345" s="94"/>
      <c r="J345" s="94"/>
      <c r="K345" s="235"/>
      <c r="L345" s="646"/>
      <c r="M345" s="646"/>
      <c r="N345" s="30"/>
      <c r="O345" s="30"/>
      <c r="P345" s="30"/>
      <c r="Q345" s="30"/>
      <c r="R345" s="30"/>
      <c r="S345" s="30"/>
      <c r="T345" s="646"/>
    </row>
    <row r="346" spans="1:20">
      <c r="A346" s="646"/>
      <c r="B346" s="30"/>
      <c r="C346" s="30"/>
      <c r="D346" s="94"/>
      <c r="E346" s="94"/>
      <c r="F346" s="94"/>
      <c r="G346" s="94"/>
      <c r="H346" s="94"/>
      <c r="I346" s="94"/>
      <c r="J346" s="94"/>
      <c r="K346" s="235"/>
      <c r="L346" s="646"/>
      <c r="M346" s="646"/>
      <c r="N346" s="30"/>
      <c r="O346" s="30"/>
      <c r="P346" s="30"/>
      <c r="Q346" s="30"/>
      <c r="R346" s="30"/>
      <c r="S346" s="30"/>
      <c r="T346" s="646"/>
    </row>
    <row r="347" spans="1:20">
      <c r="A347" s="646"/>
      <c r="B347" s="30"/>
      <c r="C347" s="30"/>
      <c r="D347" s="94"/>
      <c r="E347" s="94"/>
      <c r="F347" s="94"/>
      <c r="G347" s="94"/>
      <c r="H347" s="94"/>
      <c r="I347" s="94"/>
      <c r="J347" s="94"/>
      <c r="K347" s="235"/>
      <c r="L347" s="646"/>
      <c r="M347" s="646"/>
      <c r="N347" s="30"/>
      <c r="O347" s="30"/>
      <c r="P347" s="30"/>
      <c r="Q347" s="30"/>
      <c r="R347" s="30"/>
      <c r="S347" s="30"/>
      <c r="T347" s="646"/>
    </row>
    <row r="348" spans="1:20" ht="13">
      <c r="A348" s="646"/>
      <c r="B348" s="647"/>
      <c r="C348" s="647"/>
      <c r="D348" s="238"/>
      <c r="E348" s="238"/>
      <c r="F348" s="238"/>
      <c r="G348" s="238"/>
      <c r="H348" s="238"/>
      <c r="I348" s="238"/>
      <c r="J348" s="238"/>
      <c r="K348" s="239"/>
      <c r="L348" s="646"/>
      <c r="M348" s="646"/>
      <c r="N348" s="30"/>
      <c r="O348" s="646"/>
      <c r="P348" s="646"/>
      <c r="Q348" s="646"/>
      <c r="R348" s="646"/>
      <c r="S348" s="30"/>
      <c r="T348" s="646"/>
    </row>
    <row r="349" spans="1:20">
      <c r="A349" s="646"/>
      <c r="B349" s="30"/>
      <c r="C349" s="30"/>
      <c r="D349" s="30"/>
      <c r="E349" s="30"/>
      <c r="F349" s="30"/>
      <c r="G349" s="30"/>
      <c r="H349" s="30"/>
      <c r="I349" s="30"/>
      <c r="J349" s="30"/>
      <c r="K349" s="30"/>
      <c r="L349" s="646"/>
      <c r="M349" s="646"/>
      <c r="N349" s="646"/>
      <c r="O349" s="646"/>
      <c r="P349" s="646"/>
      <c r="Q349" s="646"/>
      <c r="R349" s="646"/>
      <c r="S349" s="30"/>
      <c r="T349" s="646"/>
    </row>
    <row r="350" spans="1:20" ht="13">
      <c r="A350" s="646"/>
      <c r="B350" s="647"/>
      <c r="C350" s="647"/>
      <c r="D350" s="30"/>
      <c r="E350" s="30"/>
      <c r="F350" s="30"/>
      <c r="G350" s="30"/>
      <c r="H350" s="30"/>
      <c r="I350" s="30"/>
      <c r="J350" s="30"/>
      <c r="K350" s="30"/>
      <c r="L350" s="646"/>
      <c r="M350" s="646"/>
      <c r="N350" s="646"/>
      <c r="O350" s="646"/>
      <c r="P350" s="646"/>
      <c r="Q350" s="646"/>
      <c r="R350" s="646"/>
      <c r="S350" s="646"/>
      <c r="T350" s="646"/>
    </row>
    <row r="351" spans="1:20">
      <c r="A351" s="646"/>
      <c r="B351" s="30"/>
      <c r="C351" s="30"/>
      <c r="D351" s="94"/>
      <c r="E351" s="94"/>
      <c r="F351" s="94"/>
      <c r="G351" s="94"/>
      <c r="H351" s="94"/>
      <c r="I351" s="94"/>
      <c r="J351" s="94"/>
      <c r="K351" s="235"/>
      <c r="L351" s="646"/>
      <c r="M351" s="646"/>
      <c r="N351" s="646"/>
      <c r="O351" s="646"/>
      <c r="P351" s="646"/>
      <c r="Q351" s="646"/>
      <c r="R351" s="646"/>
      <c r="S351" s="646"/>
      <c r="T351" s="646"/>
    </row>
    <row r="352" spans="1:20">
      <c r="A352" s="646"/>
      <c r="B352" s="30"/>
      <c r="C352" s="30"/>
      <c r="D352" s="94"/>
      <c r="E352" s="94"/>
      <c r="F352" s="94"/>
      <c r="G352" s="94"/>
      <c r="H352" s="94"/>
      <c r="I352" s="94"/>
      <c r="J352" s="94"/>
      <c r="K352" s="235"/>
      <c r="L352" s="646"/>
      <c r="M352" s="646"/>
      <c r="N352" s="646"/>
      <c r="O352" s="646"/>
      <c r="P352" s="646"/>
      <c r="Q352" s="646"/>
      <c r="R352" s="646"/>
      <c r="S352" s="646"/>
      <c r="T352" s="646"/>
    </row>
    <row r="353" spans="2:11">
      <c r="B353" s="30"/>
      <c r="C353" s="30"/>
      <c r="D353" s="94"/>
      <c r="E353" s="94"/>
      <c r="F353" s="94"/>
      <c r="G353" s="94"/>
      <c r="H353" s="94"/>
      <c r="I353" s="94"/>
      <c r="J353" s="94"/>
      <c r="K353" s="235"/>
    </row>
    <row r="354" spans="2:11" ht="13">
      <c r="B354" s="647"/>
      <c r="C354" s="647"/>
      <c r="D354" s="238"/>
      <c r="E354" s="238"/>
      <c r="F354" s="238"/>
      <c r="G354" s="238"/>
      <c r="H354" s="238"/>
      <c r="I354" s="238"/>
      <c r="J354" s="238"/>
      <c r="K354" s="239"/>
    </row>
    <row r="355" spans="2:11">
      <c r="B355" s="30"/>
      <c r="C355" s="30"/>
      <c r="D355" s="30"/>
      <c r="E355" s="30"/>
      <c r="F355" s="30"/>
      <c r="G355" s="30"/>
      <c r="H355" s="30"/>
      <c r="I355" s="30"/>
      <c r="J355" s="30"/>
      <c r="K355" s="30"/>
    </row>
    <row r="356" spans="2:11" ht="13">
      <c r="B356" s="647"/>
      <c r="C356" s="647"/>
      <c r="D356" s="30"/>
      <c r="E356" s="30"/>
      <c r="F356" s="30"/>
      <c r="G356" s="30"/>
      <c r="H356" s="30"/>
      <c r="I356" s="30"/>
      <c r="J356" s="30"/>
      <c r="K356" s="30"/>
    </row>
    <row r="357" spans="2:11">
      <c r="B357" s="30"/>
      <c r="C357" s="30"/>
      <c r="D357" s="94"/>
      <c r="E357" s="94"/>
      <c r="F357" s="94"/>
      <c r="G357" s="94"/>
      <c r="H357" s="94"/>
      <c r="I357" s="94"/>
      <c r="J357" s="94"/>
      <c r="K357" s="235"/>
    </row>
    <row r="358" spans="2:11">
      <c r="B358" s="30"/>
      <c r="C358" s="30"/>
      <c r="D358" s="94"/>
      <c r="E358" s="94"/>
      <c r="F358" s="94"/>
      <c r="G358" s="94"/>
      <c r="H358" s="94"/>
      <c r="I358" s="94"/>
      <c r="J358" s="94"/>
      <c r="K358" s="235"/>
    </row>
    <row r="359" spans="2:11" ht="13">
      <c r="B359" s="647"/>
      <c r="C359" s="647"/>
      <c r="D359" s="238"/>
      <c r="E359" s="238"/>
      <c r="F359" s="238"/>
      <c r="G359" s="238"/>
      <c r="H359" s="238"/>
      <c r="I359" s="238"/>
      <c r="J359" s="238"/>
      <c r="K359" s="239"/>
    </row>
    <row r="360" spans="2:11">
      <c r="B360" s="30"/>
      <c r="C360" s="30"/>
      <c r="D360" s="30"/>
      <c r="E360" s="30"/>
      <c r="F360" s="30"/>
      <c r="G360" s="30"/>
      <c r="H360" s="30"/>
      <c r="I360" s="30"/>
      <c r="J360" s="30"/>
      <c r="K360" s="30"/>
    </row>
    <row r="361" spans="2:11" ht="13">
      <c r="B361" s="647"/>
      <c r="C361" s="647"/>
      <c r="D361" s="30"/>
      <c r="E361" s="30"/>
      <c r="F361" s="30"/>
      <c r="G361" s="30"/>
      <c r="H361" s="30"/>
      <c r="I361" s="30"/>
      <c r="J361" s="30"/>
      <c r="K361" s="30"/>
    </row>
    <row r="362" spans="2:11">
      <c r="B362" s="30"/>
      <c r="C362" s="30"/>
      <c r="D362" s="94"/>
      <c r="E362" s="94"/>
      <c r="F362" s="94"/>
      <c r="G362" s="94"/>
      <c r="H362" s="94"/>
      <c r="I362" s="94"/>
      <c r="J362" s="94"/>
      <c r="K362" s="235"/>
    </row>
    <row r="363" spans="2:11">
      <c r="B363" s="30"/>
      <c r="C363" s="30"/>
      <c r="D363" s="94"/>
      <c r="E363" s="94"/>
      <c r="F363" s="94"/>
      <c r="G363" s="94"/>
      <c r="H363" s="94"/>
      <c r="I363" s="94"/>
      <c r="J363" s="94"/>
      <c r="K363" s="235"/>
    </row>
    <row r="364" spans="2:11">
      <c r="B364" s="30"/>
      <c r="C364" s="30"/>
      <c r="D364" s="30"/>
      <c r="E364" s="30"/>
      <c r="F364" s="30"/>
      <c r="G364" s="30"/>
      <c r="H364" s="30"/>
      <c r="I364" s="30"/>
      <c r="J364" s="30"/>
      <c r="K364" s="30"/>
    </row>
    <row r="365" spans="2:11" ht="13">
      <c r="B365" s="647"/>
      <c r="C365" s="647"/>
      <c r="D365" s="30"/>
      <c r="E365" s="30"/>
      <c r="F365" s="30"/>
      <c r="G365" s="30"/>
      <c r="H365" s="30"/>
      <c r="I365" s="30"/>
      <c r="J365" s="30"/>
      <c r="K365" s="30"/>
    </row>
    <row r="366" spans="2:11" ht="13">
      <c r="B366" s="647"/>
      <c r="C366" s="647"/>
      <c r="D366" s="30"/>
      <c r="E366" s="30"/>
      <c r="F366" s="30"/>
      <c r="G366" s="30"/>
      <c r="H366" s="30"/>
      <c r="I366" s="30"/>
      <c r="J366" s="30"/>
      <c r="K366" s="30"/>
    </row>
    <row r="367" spans="2:11">
      <c r="B367" s="30"/>
      <c r="C367" s="30"/>
      <c r="D367" s="94"/>
      <c r="E367" s="94"/>
      <c r="F367" s="94"/>
      <c r="G367" s="94"/>
      <c r="H367" s="94"/>
      <c r="I367" s="94"/>
      <c r="J367" s="94"/>
      <c r="K367" s="235"/>
    </row>
    <row r="368" spans="2:11">
      <c r="B368" s="30"/>
      <c r="C368" s="30"/>
      <c r="D368" s="94"/>
      <c r="E368" s="94"/>
      <c r="F368" s="94"/>
      <c r="G368" s="94"/>
      <c r="H368" s="94"/>
      <c r="I368" s="94"/>
      <c r="J368" s="94"/>
      <c r="K368" s="235"/>
    </row>
    <row r="369" spans="2:11">
      <c r="B369" s="30"/>
      <c r="C369" s="30"/>
      <c r="D369" s="94"/>
      <c r="E369" s="94"/>
      <c r="F369" s="94"/>
      <c r="G369" s="94"/>
      <c r="H369" s="94"/>
      <c r="I369" s="94"/>
      <c r="J369" s="94"/>
      <c r="K369" s="235"/>
    </row>
    <row r="370" spans="2:11">
      <c r="B370" s="30"/>
      <c r="C370" s="30"/>
      <c r="D370" s="94"/>
      <c r="E370" s="94"/>
      <c r="F370" s="94"/>
      <c r="G370" s="94"/>
      <c r="H370" s="94"/>
      <c r="I370" s="94"/>
      <c r="J370" s="94"/>
      <c r="K370" s="235"/>
    </row>
    <row r="371" spans="2:11">
      <c r="B371" s="30"/>
      <c r="C371" s="30"/>
      <c r="D371" s="94"/>
      <c r="E371" s="94"/>
      <c r="F371" s="94"/>
      <c r="G371" s="94"/>
      <c r="H371" s="94"/>
      <c r="I371" s="94"/>
      <c r="J371" s="94"/>
      <c r="K371" s="235"/>
    </row>
    <row r="372" spans="2:11">
      <c r="B372" s="30"/>
      <c r="C372" s="30"/>
      <c r="D372" s="30"/>
      <c r="E372" s="30"/>
      <c r="F372" s="30"/>
      <c r="G372" s="30"/>
      <c r="H372" s="30"/>
      <c r="I372" s="30"/>
      <c r="J372" s="30"/>
      <c r="K372" s="30"/>
    </row>
    <row r="373" spans="2:11" ht="13">
      <c r="B373" s="647"/>
      <c r="C373" s="647"/>
      <c r="D373" s="30"/>
      <c r="E373" s="30"/>
      <c r="F373" s="30"/>
      <c r="G373" s="30"/>
      <c r="H373" s="30"/>
      <c r="I373" s="30"/>
      <c r="J373" s="30"/>
      <c r="K373" s="30"/>
    </row>
    <row r="374" spans="2:11">
      <c r="B374" s="30"/>
      <c r="C374" s="30"/>
      <c r="D374" s="94"/>
      <c r="E374" s="94"/>
      <c r="F374" s="94"/>
      <c r="G374" s="94"/>
      <c r="H374" s="94"/>
      <c r="I374" s="94"/>
      <c r="J374" s="94"/>
      <c r="K374" s="235"/>
    </row>
    <row r="375" spans="2:11">
      <c r="B375" s="30"/>
      <c r="C375" s="30"/>
      <c r="D375" s="94"/>
      <c r="E375" s="94"/>
      <c r="F375" s="94"/>
      <c r="G375" s="94"/>
      <c r="H375" s="94"/>
      <c r="I375" s="94"/>
      <c r="J375" s="94"/>
      <c r="K375" s="235"/>
    </row>
    <row r="376" spans="2:11">
      <c r="B376" s="30"/>
      <c r="C376" s="30"/>
      <c r="D376" s="94"/>
      <c r="E376" s="94"/>
      <c r="F376" s="94"/>
      <c r="G376" s="94"/>
      <c r="H376" s="94"/>
      <c r="I376" s="94"/>
      <c r="J376" s="94"/>
      <c r="K376" s="235"/>
    </row>
    <row r="377" spans="2:11">
      <c r="B377" s="30"/>
      <c r="C377" s="30"/>
      <c r="D377" s="94"/>
      <c r="E377" s="94"/>
      <c r="F377" s="94"/>
      <c r="G377" s="94"/>
      <c r="H377" s="94"/>
      <c r="I377" s="94"/>
      <c r="J377" s="94"/>
      <c r="K377" s="235"/>
    </row>
    <row r="378" spans="2:11">
      <c r="B378" s="30"/>
      <c r="C378" s="30"/>
      <c r="D378" s="94"/>
      <c r="E378" s="94"/>
      <c r="F378" s="94"/>
      <c r="G378" s="94"/>
      <c r="H378" s="94"/>
      <c r="I378" s="94"/>
      <c r="J378" s="94"/>
      <c r="K378" s="235"/>
    </row>
    <row r="379" spans="2:11">
      <c r="B379" s="30"/>
      <c r="C379" s="30"/>
      <c r="D379" s="30"/>
      <c r="E379" s="30"/>
      <c r="F379" s="30"/>
      <c r="G379" s="30"/>
      <c r="H379" s="30"/>
      <c r="I379" s="30"/>
      <c r="J379" s="30"/>
      <c r="K379" s="30"/>
    </row>
    <row r="380" spans="2:11" ht="13">
      <c r="B380" s="647"/>
      <c r="C380" s="647"/>
      <c r="D380" s="30"/>
      <c r="E380" s="30"/>
      <c r="F380" s="30"/>
      <c r="G380" s="30"/>
      <c r="H380" s="30"/>
      <c r="I380" s="30"/>
      <c r="J380" s="30"/>
      <c r="K380" s="30"/>
    </row>
    <row r="381" spans="2:11">
      <c r="B381" s="30"/>
      <c r="C381" s="30"/>
      <c r="D381" s="94"/>
      <c r="E381" s="94"/>
      <c r="F381" s="94"/>
      <c r="G381" s="94"/>
      <c r="H381" s="94"/>
      <c r="I381" s="94"/>
      <c r="J381" s="94"/>
      <c r="K381" s="235"/>
    </row>
    <row r="382" spans="2:11">
      <c r="B382" s="30"/>
      <c r="C382" s="30"/>
      <c r="D382" s="94"/>
      <c r="E382" s="94"/>
      <c r="F382" s="94"/>
      <c r="G382" s="94"/>
      <c r="H382" s="94"/>
      <c r="I382" s="94"/>
      <c r="J382" s="94"/>
      <c r="K382" s="235"/>
    </row>
    <row r="383" spans="2:11">
      <c r="B383" s="30"/>
      <c r="C383" s="30"/>
      <c r="D383" s="94"/>
      <c r="E383" s="94"/>
      <c r="F383" s="94"/>
      <c r="G383" s="94"/>
      <c r="H383" s="94"/>
      <c r="I383" s="94"/>
      <c r="J383" s="94"/>
      <c r="K383" s="235"/>
    </row>
    <row r="384" spans="2:11">
      <c r="B384" s="30"/>
      <c r="C384" s="30"/>
      <c r="D384" s="94"/>
      <c r="E384" s="94"/>
      <c r="F384" s="94"/>
      <c r="G384" s="94"/>
      <c r="H384" s="94"/>
      <c r="I384" s="94"/>
      <c r="J384" s="94"/>
      <c r="K384" s="235"/>
    </row>
    <row r="385" spans="2:11">
      <c r="B385" s="30"/>
      <c r="C385" s="30"/>
      <c r="D385" s="30"/>
      <c r="E385" s="30"/>
      <c r="F385" s="30"/>
      <c r="G385" s="30"/>
      <c r="H385" s="30"/>
      <c r="I385" s="30"/>
      <c r="J385" s="30"/>
      <c r="K385" s="30"/>
    </row>
    <row r="386" spans="2:11" ht="13">
      <c r="B386" s="647"/>
      <c r="C386" s="647"/>
      <c r="D386" s="30"/>
      <c r="E386" s="30"/>
      <c r="F386" s="30"/>
      <c r="G386" s="30"/>
      <c r="H386" s="30"/>
      <c r="I386" s="30"/>
      <c r="J386" s="30"/>
      <c r="K386" s="30"/>
    </row>
    <row r="387" spans="2:11">
      <c r="B387" s="30"/>
      <c r="C387" s="30"/>
      <c r="D387" s="94"/>
      <c r="E387" s="94"/>
      <c r="F387" s="94"/>
      <c r="G387" s="94"/>
      <c r="H387" s="94"/>
      <c r="I387" s="94"/>
      <c r="J387" s="94"/>
      <c r="K387" s="235"/>
    </row>
    <row r="388" spans="2:11">
      <c r="B388" s="30"/>
      <c r="C388" s="30"/>
      <c r="D388" s="94"/>
      <c r="E388" s="94"/>
      <c r="F388" s="94"/>
      <c r="G388" s="94"/>
      <c r="H388" s="94"/>
      <c r="I388" s="94"/>
      <c r="J388" s="94"/>
      <c r="K388" s="235"/>
    </row>
    <row r="389" spans="2:11">
      <c r="B389" s="30"/>
      <c r="C389" s="30"/>
      <c r="D389" s="30"/>
      <c r="E389" s="30"/>
      <c r="F389" s="30"/>
      <c r="G389" s="30"/>
      <c r="H389" s="30"/>
      <c r="I389" s="30"/>
      <c r="J389" s="30"/>
      <c r="K389" s="30"/>
    </row>
    <row r="390" spans="2:11" ht="13">
      <c r="B390" s="647"/>
      <c r="C390" s="647"/>
      <c r="D390" s="30"/>
      <c r="E390" s="30"/>
      <c r="F390" s="30"/>
      <c r="G390" s="30"/>
      <c r="H390" s="30"/>
      <c r="I390" s="30"/>
      <c r="J390" s="30"/>
      <c r="K390" s="30"/>
    </row>
    <row r="391" spans="2:11" ht="13">
      <c r="B391" s="647"/>
      <c r="C391" s="647"/>
      <c r="D391" s="30"/>
      <c r="E391" s="30"/>
      <c r="F391" s="30"/>
      <c r="G391" s="30"/>
      <c r="H391" s="30"/>
      <c r="I391" s="30"/>
      <c r="J391" s="30"/>
      <c r="K391" s="30"/>
    </row>
    <row r="392" spans="2:11">
      <c r="B392" s="30"/>
      <c r="C392" s="30"/>
      <c r="D392" s="94"/>
      <c r="E392" s="94"/>
      <c r="F392" s="94"/>
      <c r="G392" s="94"/>
      <c r="H392" s="94"/>
      <c r="I392" s="94"/>
      <c r="J392" s="94"/>
      <c r="K392" s="235"/>
    </row>
    <row r="393" spans="2:11">
      <c r="B393" s="30"/>
      <c r="C393" s="30"/>
      <c r="D393" s="94"/>
      <c r="E393" s="94"/>
      <c r="F393" s="94"/>
      <c r="G393" s="94"/>
      <c r="H393" s="94"/>
      <c r="I393" s="94"/>
      <c r="J393" s="94"/>
      <c r="K393" s="235"/>
    </row>
    <row r="394" spans="2:11">
      <c r="B394" s="30"/>
      <c r="C394" s="30"/>
      <c r="D394" s="94"/>
      <c r="E394" s="94"/>
      <c r="F394" s="94"/>
      <c r="G394" s="94"/>
      <c r="H394" s="94"/>
      <c r="I394" s="94"/>
      <c r="J394" s="94"/>
      <c r="K394" s="235"/>
    </row>
    <row r="395" spans="2:11">
      <c r="B395" s="30"/>
      <c r="C395" s="30"/>
      <c r="D395" s="30"/>
      <c r="E395" s="30"/>
      <c r="F395" s="30"/>
      <c r="G395" s="30"/>
      <c r="H395" s="30"/>
      <c r="I395" s="30"/>
      <c r="J395" s="30"/>
      <c r="K395" s="30"/>
    </row>
    <row r="396" spans="2:11" ht="13">
      <c r="B396" s="647"/>
      <c r="C396" s="647"/>
      <c r="D396" s="30"/>
      <c r="E396" s="30"/>
      <c r="F396" s="30"/>
      <c r="G396" s="30"/>
      <c r="H396" s="30"/>
      <c r="I396" s="30"/>
      <c r="J396" s="30"/>
      <c r="K396" s="30"/>
    </row>
    <row r="397" spans="2:11">
      <c r="B397" s="30"/>
      <c r="C397" s="30"/>
      <c r="D397" s="94"/>
      <c r="E397" s="94"/>
      <c r="F397" s="94"/>
      <c r="G397" s="94"/>
      <c r="H397" s="94"/>
      <c r="I397" s="94"/>
      <c r="J397" s="94"/>
      <c r="K397" s="235"/>
    </row>
    <row r="398" spans="2:11">
      <c r="B398" s="30"/>
      <c r="C398" s="30"/>
      <c r="D398" s="94"/>
      <c r="E398" s="94"/>
      <c r="F398" s="94"/>
      <c r="G398" s="94"/>
      <c r="H398" s="94"/>
      <c r="I398" s="94"/>
      <c r="J398" s="94"/>
      <c r="K398" s="235"/>
    </row>
    <row r="399" spans="2:11">
      <c r="B399" s="30"/>
      <c r="C399" s="30"/>
      <c r="D399" s="94"/>
      <c r="E399" s="94"/>
      <c r="F399" s="94"/>
      <c r="G399" s="94"/>
      <c r="H399" s="94"/>
      <c r="I399" s="94"/>
      <c r="J399" s="94"/>
      <c r="K399" s="235"/>
    </row>
    <row r="400" spans="2:11">
      <c r="B400" s="30"/>
      <c r="C400" s="30"/>
      <c r="D400" s="30"/>
      <c r="E400" s="30"/>
      <c r="F400" s="30"/>
      <c r="G400" s="30"/>
      <c r="H400" s="30"/>
      <c r="I400" s="30"/>
      <c r="J400" s="30"/>
      <c r="K400" s="30"/>
    </row>
    <row r="401" spans="2:32">
      <c r="B401" s="30"/>
      <c r="C401" s="30"/>
      <c r="D401" s="30"/>
      <c r="E401" s="30"/>
      <c r="F401" s="30"/>
      <c r="G401" s="30"/>
      <c r="H401" s="30"/>
      <c r="I401" s="30"/>
      <c r="J401" s="30"/>
      <c r="K401" s="30"/>
      <c r="L401" s="646"/>
      <c r="M401" s="646"/>
      <c r="N401" s="646"/>
      <c r="O401" s="646"/>
      <c r="P401" s="646"/>
      <c r="Q401" s="646"/>
      <c r="R401" s="646"/>
      <c r="S401" s="646"/>
      <c r="T401" s="646"/>
      <c r="U401" s="646"/>
      <c r="V401" s="646"/>
      <c r="W401" s="646"/>
      <c r="X401" s="646"/>
      <c r="Y401" s="646"/>
      <c r="Z401" s="646"/>
      <c r="AA401" s="646"/>
      <c r="AB401" s="646"/>
      <c r="AC401" s="646"/>
      <c r="AD401" s="646"/>
      <c r="AE401" s="646"/>
      <c r="AF401" s="646"/>
    </row>
    <row r="402" spans="2:32">
      <c r="B402" s="30"/>
      <c r="C402" s="30"/>
      <c r="D402" s="30"/>
      <c r="E402" s="30"/>
      <c r="F402" s="30"/>
      <c r="G402" s="30"/>
      <c r="H402" s="30"/>
      <c r="I402" s="30"/>
      <c r="J402" s="30"/>
      <c r="K402" s="30"/>
      <c r="L402" s="646"/>
      <c r="M402" s="646"/>
      <c r="N402" s="646"/>
      <c r="O402" s="646"/>
      <c r="P402" s="646"/>
      <c r="Q402" s="646"/>
      <c r="R402" s="646"/>
      <c r="S402" s="646"/>
      <c r="T402" s="646"/>
      <c r="U402" s="646"/>
      <c r="V402" s="646"/>
      <c r="W402" s="30"/>
      <c r="X402" s="646"/>
      <c r="Y402" s="646"/>
      <c r="Z402" s="646"/>
      <c r="AA402" s="646"/>
      <c r="AB402" s="646"/>
      <c r="AC402" s="646"/>
      <c r="AD402" s="646"/>
      <c r="AE402" s="646"/>
      <c r="AF402" s="646"/>
    </row>
    <row r="403" spans="2:32">
      <c r="B403" s="30"/>
      <c r="C403" s="30"/>
      <c r="D403" s="30"/>
      <c r="E403" s="30"/>
      <c r="F403" s="30"/>
      <c r="G403" s="30"/>
      <c r="H403" s="30"/>
      <c r="I403" s="30"/>
      <c r="J403" s="30"/>
      <c r="K403" s="30"/>
      <c r="L403" s="646"/>
      <c r="M403" s="646"/>
      <c r="N403" s="646"/>
      <c r="O403" s="646"/>
      <c r="P403" s="646"/>
      <c r="Q403" s="646"/>
      <c r="R403" s="646"/>
      <c r="S403" s="646"/>
      <c r="T403" s="646"/>
      <c r="U403" s="646"/>
      <c r="V403" s="646"/>
      <c r="W403" s="30"/>
      <c r="X403" s="30"/>
      <c r="Y403" s="30"/>
      <c r="Z403" s="30"/>
      <c r="AA403" s="30"/>
      <c r="AB403" s="30"/>
      <c r="AC403" s="646"/>
      <c r="AD403" s="646"/>
      <c r="AE403" s="646"/>
      <c r="AF403" s="646"/>
    </row>
    <row r="404" spans="2:32">
      <c r="B404" s="30"/>
      <c r="C404" s="30"/>
      <c r="D404" s="30"/>
      <c r="E404" s="30"/>
      <c r="F404" s="30"/>
      <c r="G404" s="30"/>
      <c r="H404" s="30"/>
      <c r="I404" s="30"/>
      <c r="J404" s="30"/>
      <c r="K404" s="30"/>
      <c r="L404" s="646"/>
      <c r="M404" s="646"/>
      <c r="N404" s="646"/>
      <c r="O404" s="646"/>
      <c r="P404" s="646"/>
      <c r="Q404" s="646"/>
      <c r="R404" s="646"/>
      <c r="S404" s="646"/>
      <c r="T404" s="646"/>
      <c r="U404" s="646"/>
      <c r="V404" s="646"/>
      <c r="W404" s="30"/>
      <c r="X404" s="30"/>
      <c r="Y404" s="30"/>
      <c r="Z404" s="30"/>
      <c r="AA404" s="30"/>
      <c r="AB404" s="30"/>
      <c r="AC404" s="30"/>
      <c r="AD404" s="30"/>
      <c r="AE404" s="30"/>
      <c r="AF404" s="30"/>
    </row>
    <row r="405" spans="2:32">
      <c r="B405" s="30"/>
      <c r="C405" s="30"/>
      <c r="D405" s="30"/>
      <c r="E405" s="30"/>
      <c r="F405" s="30"/>
      <c r="G405" s="30"/>
      <c r="H405" s="30"/>
      <c r="I405" s="30"/>
      <c r="J405" s="30"/>
      <c r="K405" s="30"/>
      <c r="L405" s="646"/>
      <c r="M405" s="646"/>
      <c r="N405" s="646"/>
      <c r="O405" s="646"/>
      <c r="P405" s="646"/>
      <c r="Q405" s="646"/>
      <c r="R405" s="646"/>
      <c r="S405" s="646"/>
      <c r="T405" s="646"/>
      <c r="U405" s="646"/>
      <c r="V405" s="646"/>
      <c r="W405" s="30"/>
      <c r="X405" s="30"/>
      <c r="Y405" s="30"/>
      <c r="Z405" s="30"/>
      <c r="AA405" s="30"/>
      <c r="AB405" s="30"/>
      <c r="AC405" s="30"/>
      <c r="AD405" s="30"/>
      <c r="AE405" s="30"/>
      <c r="AF405" s="30"/>
    </row>
    <row r="406" spans="2:32">
      <c r="B406" s="30"/>
      <c r="C406" s="30"/>
      <c r="D406" s="30"/>
      <c r="E406" s="30"/>
      <c r="F406" s="30"/>
      <c r="G406" s="30"/>
      <c r="H406" s="30"/>
      <c r="I406" s="30"/>
      <c r="J406" s="30"/>
      <c r="K406" s="30"/>
      <c r="L406" s="646"/>
      <c r="M406" s="646"/>
      <c r="N406" s="646"/>
      <c r="O406" s="646"/>
      <c r="P406" s="646"/>
      <c r="Q406" s="646"/>
      <c r="R406" s="646"/>
      <c r="S406" s="646"/>
      <c r="T406" s="646"/>
      <c r="U406" s="646"/>
      <c r="V406" s="30"/>
      <c r="W406" s="30"/>
      <c r="X406" s="30"/>
      <c r="Y406" s="30"/>
      <c r="Z406" s="30"/>
      <c r="AA406" s="30"/>
      <c r="AB406" s="30"/>
      <c r="AC406" s="30"/>
      <c r="AD406" s="30"/>
      <c r="AE406" s="30"/>
      <c r="AF406" s="30"/>
    </row>
    <row r="407" spans="2:32">
      <c r="B407" s="30"/>
      <c r="C407" s="30"/>
      <c r="D407" s="30"/>
      <c r="E407" s="30"/>
      <c r="F407" s="30"/>
      <c r="G407" s="30"/>
      <c r="H407" s="30"/>
      <c r="I407" s="30"/>
      <c r="J407" s="30"/>
      <c r="K407" s="30"/>
      <c r="L407" s="646"/>
      <c r="M407" s="646"/>
      <c r="N407" s="646"/>
      <c r="O407" s="646"/>
      <c r="P407" s="646"/>
      <c r="Q407" s="646"/>
      <c r="R407" s="646"/>
      <c r="S407" s="646"/>
      <c r="T407" s="646"/>
      <c r="U407" s="646"/>
      <c r="V407" s="30"/>
      <c r="W407" s="30"/>
      <c r="X407" s="30"/>
      <c r="Y407" s="30"/>
      <c r="Z407" s="30"/>
      <c r="AA407" s="30"/>
      <c r="AB407" s="30"/>
      <c r="AC407" s="30"/>
      <c r="AD407" s="30"/>
      <c r="AE407" s="30"/>
      <c r="AF407" s="30"/>
    </row>
    <row r="408" spans="2:32">
      <c r="B408" s="30"/>
      <c r="C408" s="30"/>
      <c r="D408" s="30"/>
      <c r="E408" s="30"/>
      <c r="F408" s="30"/>
      <c r="G408" s="30"/>
      <c r="H408" s="30"/>
      <c r="I408" s="30"/>
      <c r="J408" s="30"/>
      <c r="K408" s="30"/>
      <c r="L408" s="646"/>
      <c r="M408" s="646"/>
      <c r="N408" s="646"/>
      <c r="O408" s="646"/>
      <c r="P408" s="646"/>
      <c r="Q408" s="646"/>
      <c r="R408" s="646"/>
      <c r="S408" s="646"/>
      <c r="T408" s="646"/>
      <c r="U408" s="646"/>
      <c r="V408" s="30"/>
      <c r="W408" s="30"/>
      <c r="X408" s="30"/>
      <c r="Y408" s="30"/>
      <c r="Z408" s="30"/>
      <c r="AA408" s="30"/>
      <c r="AB408" s="30"/>
      <c r="AC408" s="30"/>
      <c r="AD408" s="30"/>
      <c r="AE408" s="30"/>
      <c r="AF408" s="30"/>
    </row>
    <row r="409" spans="2:32">
      <c r="B409" s="30"/>
      <c r="C409" s="30"/>
      <c r="D409" s="30"/>
      <c r="E409" s="30"/>
      <c r="F409" s="30"/>
      <c r="G409" s="30"/>
      <c r="H409" s="30"/>
      <c r="I409" s="30"/>
      <c r="J409" s="30"/>
      <c r="K409" s="30"/>
      <c r="L409" s="30"/>
      <c r="M409" s="30"/>
      <c r="N409" s="646"/>
      <c r="O409" s="646"/>
      <c r="P409" s="646"/>
      <c r="Q409" s="646"/>
      <c r="R409" s="646"/>
      <c r="S409" s="646"/>
      <c r="T409" s="646"/>
      <c r="U409" s="646"/>
      <c r="V409" s="30"/>
      <c r="W409" s="30"/>
      <c r="X409" s="30"/>
      <c r="Y409" s="30"/>
      <c r="Z409" s="30"/>
      <c r="AA409" s="30"/>
      <c r="AB409" s="30"/>
      <c r="AC409" s="30"/>
      <c r="AD409" s="30"/>
      <c r="AE409" s="30"/>
      <c r="AF409" s="30"/>
    </row>
    <row r="410" spans="2:32">
      <c r="B410" s="30"/>
      <c r="C410" s="30"/>
      <c r="D410" s="30"/>
      <c r="E410" s="30"/>
      <c r="F410" s="30"/>
      <c r="G410" s="30"/>
      <c r="H410" s="30"/>
      <c r="I410" s="30"/>
      <c r="J410" s="30"/>
      <c r="K410" s="30"/>
      <c r="L410" s="30"/>
      <c r="M410" s="30"/>
      <c r="N410" s="646"/>
      <c r="O410" s="646"/>
      <c r="P410" s="646"/>
      <c r="Q410" s="646"/>
      <c r="R410" s="646"/>
      <c r="S410" s="646"/>
      <c r="T410" s="646"/>
      <c r="U410" s="646"/>
      <c r="V410" s="30"/>
      <c r="W410" s="30"/>
      <c r="X410" s="30"/>
      <c r="Y410" s="30"/>
      <c r="Z410" s="30"/>
      <c r="AA410" s="30"/>
      <c r="AB410" s="30"/>
      <c r="AC410" s="30"/>
      <c r="AD410" s="30"/>
      <c r="AE410" s="30"/>
      <c r="AF410" s="30"/>
    </row>
    <row r="411" spans="2:32">
      <c r="B411" s="30"/>
      <c r="C411" s="30"/>
      <c r="D411" s="30"/>
      <c r="E411" s="30"/>
      <c r="F411" s="30"/>
      <c r="G411" s="30"/>
      <c r="H411" s="30"/>
      <c r="I411" s="30"/>
      <c r="J411" s="30"/>
      <c r="K411" s="30"/>
      <c r="L411" s="30"/>
      <c r="M411" s="30"/>
      <c r="N411" s="646"/>
      <c r="O411" s="646"/>
      <c r="P411" s="646"/>
      <c r="Q411" s="646"/>
      <c r="R411" s="646"/>
      <c r="S411" s="646"/>
      <c r="T411" s="646"/>
      <c r="U411" s="646"/>
      <c r="V411" s="30"/>
      <c r="W411" s="30"/>
      <c r="X411" s="30"/>
      <c r="Y411" s="30"/>
      <c r="Z411" s="30"/>
      <c r="AA411" s="30"/>
      <c r="AB411" s="30"/>
      <c r="AC411" s="30"/>
      <c r="AD411" s="30"/>
      <c r="AE411" s="30"/>
      <c r="AF411" s="30"/>
    </row>
    <row r="412" spans="2:32">
      <c r="B412" s="30"/>
      <c r="C412" s="30"/>
      <c r="D412" s="30"/>
      <c r="E412" s="30"/>
      <c r="F412" s="30"/>
      <c r="G412" s="30"/>
      <c r="H412" s="30"/>
      <c r="I412" s="30"/>
      <c r="J412" s="30"/>
      <c r="K412" s="30"/>
      <c r="L412" s="30"/>
      <c r="M412" s="30"/>
      <c r="N412" s="646"/>
      <c r="O412" s="646"/>
      <c r="P412" s="646"/>
      <c r="Q412" s="646"/>
      <c r="R412" s="646"/>
      <c r="S412" s="646"/>
      <c r="T412" s="646"/>
      <c r="U412" s="646"/>
      <c r="V412" s="30"/>
      <c r="W412" s="30"/>
      <c r="X412" s="30"/>
      <c r="Y412" s="30"/>
      <c r="Z412" s="30"/>
      <c r="AA412" s="30"/>
      <c r="AB412" s="30"/>
      <c r="AC412" s="30"/>
      <c r="AD412" s="30"/>
      <c r="AE412" s="30"/>
      <c r="AF412" s="30"/>
    </row>
    <row r="413" spans="2:32">
      <c r="B413" s="30"/>
      <c r="C413" s="30"/>
      <c r="D413" s="30"/>
      <c r="E413" s="30"/>
      <c r="F413" s="30"/>
      <c r="G413" s="30"/>
      <c r="H413" s="30"/>
      <c r="I413" s="30"/>
      <c r="J413" s="30"/>
      <c r="K413" s="30"/>
      <c r="L413" s="30"/>
      <c r="M413" s="30"/>
      <c r="N413" s="646"/>
      <c r="O413" s="646"/>
      <c r="P413" s="646"/>
      <c r="Q413" s="646"/>
      <c r="R413" s="646"/>
      <c r="S413" s="646"/>
      <c r="T413" s="30"/>
      <c r="U413" s="646"/>
      <c r="V413" s="30"/>
      <c r="W413" s="30"/>
      <c r="X413" s="30"/>
      <c r="Y413" s="30"/>
      <c r="Z413" s="30"/>
      <c r="AA413" s="30"/>
      <c r="AB413" s="30"/>
      <c r="AC413" s="30"/>
      <c r="AD413" s="30"/>
      <c r="AE413" s="30"/>
      <c r="AF413" s="30"/>
    </row>
    <row r="414" spans="2:32">
      <c r="B414" s="30"/>
      <c r="C414" s="30"/>
      <c r="D414" s="30"/>
      <c r="E414" s="30"/>
      <c r="F414" s="30"/>
      <c r="G414" s="30"/>
      <c r="H414" s="30"/>
      <c r="I414" s="30"/>
      <c r="J414" s="30"/>
      <c r="K414" s="30"/>
      <c r="L414" s="30"/>
      <c r="M414" s="30"/>
      <c r="N414" s="646"/>
      <c r="O414" s="646"/>
      <c r="P414" s="646"/>
      <c r="Q414" s="646"/>
      <c r="R414" s="646"/>
      <c r="S414" s="646"/>
      <c r="T414" s="30"/>
      <c r="U414" s="30"/>
      <c r="V414" s="30"/>
      <c r="W414" s="30"/>
      <c r="X414" s="30"/>
      <c r="Y414" s="30"/>
      <c r="Z414" s="30"/>
      <c r="AA414" s="30"/>
      <c r="AB414" s="30"/>
      <c r="AC414" s="30"/>
      <c r="AD414" s="30"/>
      <c r="AE414" s="30"/>
      <c r="AF414" s="30"/>
    </row>
    <row r="415" spans="2:32">
      <c r="B415" s="30"/>
      <c r="C415" s="30"/>
      <c r="D415" s="30"/>
      <c r="E415" s="30"/>
      <c r="F415" s="30"/>
      <c r="G415" s="30"/>
      <c r="H415" s="30"/>
      <c r="I415" s="30"/>
      <c r="J415" s="30"/>
      <c r="K415" s="30"/>
      <c r="L415" s="30"/>
      <c r="M415" s="30"/>
      <c r="N415" s="646"/>
      <c r="O415" s="646"/>
      <c r="P415" s="646"/>
      <c r="Q415" s="646"/>
      <c r="R415" s="646"/>
      <c r="S415" s="646"/>
      <c r="T415" s="30"/>
      <c r="U415" s="30"/>
      <c r="V415" s="30"/>
      <c r="W415" s="30"/>
      <c r="X415" s="30"/>
      <c r="Y415" s="30"/>
      <c r="Z415" s="30"/>
      <c r="AA415" s="30"/>
      <c r="AB415" s="30"/>
      <c r="AC415" s="30"/>
      <c r="AD415" s="30"/>
      <c r="AE415" s="30"/>
      <c r="AF415" s="30"/>
    </row>
    <row r="416" spans="2:32">
      <c r="B416" s="30"/>
      <c r="C416" s="30"/>
      <c r="D416" s="30"/>
      <c r="E416" s="30"/>
      <c r="F416" s="30"/>
      <c r="G416" s="30"/>
      <c r="H416" s="30"/>
      <c r="I416" s="30"/>
      <c r="J416" s="30"/>
      <c r="K416" s="30"/>
      <c r="L416" s="30"/>
      <c r="M416" s="30"/>
      <c r="N416" s="646"/>
      <c r="O416" s="646"/>
      <c r="P416" s="646"/>
      <c r="Q416" s="646"/>
      <c r="R416" s="646"/>
      <c r="S416" s="646"/>
      <c r="T416" s="30"/>
      <c r="U416" s="30"/>
      <c r="V416" s="30"/>
      <c r="W416" s="30"/>
      <c r="X416" s="30"/>
      <c r="Y416" s="30"/>
      <c r="Z416" s="30"/>
      <c r="AA416" s="30"/>
      <c r="AB416" s="30"/>
      <c r="AC416" s="30"/>
      <c r="AD416" s="30"/>
      <c r="AE416" s="30"/>
      <c r="AF416" s="30"/>
    </row>
    <row r="417" spans="2:32">
      <c r="B417" s="30"/>
      <c r="C417" s="30"/>
      <c r="D417" s="30"/>
      <c r="E417" s="30"/>
      <c r="F417" s="30"/>
      <c r="G417" s="30"/>
      <c r="H417" s="30"/>
      <c r="I417" s="30"/>
      <c r="J417" s="30"/>
      <c r="K417" s="30"/>
      <c r="L417" s="30"/>
      <c r="M417" s="30"/>
      <c r="N417" s="646"/>
      <c r="O417" s="646"/>
      <c r="P417" s="646"/>
      <c r="Q417" s="646"/>
      <c r="R417" s="646"/>
      <c r="S417" s="646"/>
      <c r="T417" s="30"/>
      <c r="U417" s="30"/>
      <c r="V417" s="30"/>
      <c r="W417" s="30"/>
      <c r="X417" s="30"/>
      <c r="Y417" s="30"/>
      <c r="Z417" s="30"/>
      <c r="AA417" s="30"/>
      <c r="AB417" s="30"/>
      <c r="AC417" s="30"/>
      <c r="AD417" s="30"/>
      <c r="AE417" s="30"/>
      <c r="AF417" s="30"/>
    </row>
    <row r="418" spans="2:32">
      <c r="B418" s="30"/>
      <c r="C418" s="30"/>
      <c r="D418" s="30"/>
      <c r="E418" s="30"/>
      <c r="F418" s="30"/>
      <c r="G418" s="30"/>
      <c r="H418" s="30"/>
      <c r="I418" s="30"/>
      <c r="J418" s="30"/>
      <c r="K418" s="30"/>
      <c r="L418" s="30"/>
      <c r="M418" s="30"/>
      <c r="N418" s="30"/>
      <c r="O418" s="646"/>
      <c r="P418" s="646"/>
      <c r="Q418" s="646"/>
      <c r="R418" s="646"/>
      <c r="S418" s="646"/>
      <c r="T418" s="30"/>
      <c r="U418" s="30"/>
      <c r="V418" s="30"/>
      <c r="W418" s="30"/>
      <c r="X418" s="30"/>
      <c r="Y418" s="30"/>
      <c r="Z418" s="30"/>
      <c r="AA418" s="30"/>
      <c r="AB418" s="30"/>
      <c r="AC418" s="30"/>
      <c r="AD418" s="30"/>
      <c r="AE418" s="30"/>
      <c r="AF418" s="30"/>
    </row>
    <row r="419" spans="2:32">
      <c r="B419" s="30"/>
      <c r="C419" s="30"/>
      <c r="D419" s="30"/>
      <c r="E419" s="30"/>
      <c r="F419" s="30"/>
      <c r="G419" s="30"/>
      <c r="H419" s="30"/>
      <c r="I419" s="30"/>
      <c r="J419" s="30"/>
      <c r="K419" s="30"/>
      <c r="L419" s="30"/>
      <c r="M419" s="30"/>
      <c r="N419" s="30"/>
      <c r="O419" s="646"/>
      <c r="P419" s="646"/>
      <c r="Q419" s="646"/>
      <c r="R419" s="646"/>
      <c r="S419" s="646"/>
      <c r="T419" s="30"/>
      <c r="U419" s="30"/>
      <c r="V419" s="30"/>
      <c r="W419" s="30"/>
      <c r="X419" s="30"/>
      <c r="Y419" s="30"/>
      <c r="Z419" s="30"/>
      <c r="AA419" s="30"/>
      <c r="AB419" s="30"/>
      <c r="AC419" s="30"/>
      <c r="AD419" s="30"/>
      <c r="AE419" s="30"/>
      <c r="AF419" s="30"/>
    </row>
    <row r="420" spans="2:32">
      <c r="B420" s="30"/>
      <c r="C420" s="30"/>
      <c r="D420" s="30"/>
      <c r="E420" s="30"/>
      <c r="F420" s="30"/>
      <c r="G420" s="30"/>
      <c r="H420" s="30"/>
      <c r="I420" s="30"/>
      <c r="J420" s="30"/>
      <c r="K420" s="30"/>
      <c r="L420" s="30"/>
      <c r="M420" s="30"/>
      <c r="N420" s="30"/>
      <c r="O420" s="646"/>
      <c r="P420" s="30"/>
      <c r="Q420" s="30"/>
      <c r="R420" s="30"/>
      <c r="S420" s="30"/>
      <c r="T420" s="30"/>
      <c r="U420" s="30"/>
      <c r="V420" s="30"/>
      <c r="W420" s="30"/>
      <c r="X420" s="30"/>
      <c r="Y420" s="30"/>
      <c r="Z420" s="30"/>
      <c r="AA420" s="30"/>
      <c r="AB420" s="30"/>
      <c r="AC420" s="30"/>
      <c r="AD420" s="30"/>
      <c r="AE420" s="30"/>
      <c r="AF420" s="30"/>
    </row>
    <row r="421" spans="2:32">
      <c r="B421" s="30"/>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c r="AA421" s="30"/>
      <c r="AB421" s="30"/>
      <c r="AC421" s="30"/>
      <c r="AD421" s="30"/>
      <c r="AE421" s="30"/>
      <c r="AF421" s="30"/>
    </row>
    <row r="422" spans="2:32">
      <c r="B422" s="30"/>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c r="AA422" s="30"/>
      <c r="AB422" s="30"/>
      <c r="AC422" s="30"/>
      <c r="AD422" s="30"/>
      <c r="AE422" s="30"/>
      <c r="AF422" s="30"/>
    </row>
    <row r="423" spans="2:32">
      <c r="B423" s="30"/>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c r="AA423" s="30"/>
      <c r="AB423" s="30"/>
      <c r="AC423" s="30"/>
      <c r="AD423" s="30"/>
      <c r="AE423" s="30"/>
      <c r="AF423" s="30"/>
    </row>
    <row r="424" spans="2:32">
      <c r="B424" s="30"/>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c r="AA424" s="30"/>
      <c r="AB424" s="30"/>
      <c r="AC424" s="30"/>
      <c r="AD424" s="30"/>
      <c r="AE424" s="30"/>
      <c r="AF424" s="30"/>
    </row>
    <row r="425" spans="2:32">
      <c r="B425" s="30"/>
      <c r="C425" s="30"/>
      <c r="D425" s="30"/>
      <c r="E425" s="30"/>
      <c r="F425" s="30"/>
      <c r="G425" s="30"/>
      <c r="H425" s="30"/>
      <c r="I425" s="30"/>
      <c r="J425" s="30"/>
      <c r="K425" s="30"/>
      <c r="L425" s="30"/>
      <c r="M425" s="30"/>
      <c r="N425" s="30"/>
      <c r="O425" s="30"/>
      <c r="P425" s="30"/>
      <c r="Q425" s="30"/>
      <c r="R425" s="30"/>
      <c r="S425" s="30"/>
      <c r="T425" s="30"/>
      <c r="U425" s="30"/>
      <c r="V425" s="30"/>
      <c r="W425" s="646"/>
      <c r="X425" s="30"/>
      <c r="Y425" s="30"/>
      <c r="Z425" s="30"/>
      <c r="AA425" s="30"/>
      <c r="AB425" s="30"/>
      <c r="AC425" s="30"/>
      <c r="AD425" s="30"/>
      <c r="AE425" s="30"/>
      <c r="AF425" s="30"/>
    </row>
    <row r="426" spans="2:32">
      <c r="B426" s="30"/>
      <c r="C426" s="30"/>
      <c r="D426" s="30"/>
      <c r="E426" s="30"/>
      <c r="F426" s="30"/>
      <c r="G426" s="30"/>
      <c r="H426" s="30"/>
      <c r="I426" s="30"/>
      <c r="J426" s="30"/>
      <c r="K426" s="30"/>
      <c r="L426" s="30"/>
      <c r="M426" s="30"/>
      <c r="N426" s="30"/>
      <c r="O426" s="30"/>
      <c r="P426" s="30"/>
      <c r="Q426" s="30"/>
      <c r="R426" s="30"/>
      <c r="S426" s="30"/>
      <c r="T426" s="30"/>
      <c r="U426" s="30"/>
      <c r="V426" s="30"/>
      <c r="W426" s="646"/>
      <c r="X426" s="646"/>
      <c r="Y426" s="646"/>
      <c r="Z426" s="646"/>
      <c r="AA426" s="646"/>
      <c r="AB426" s="646"/>
      <c r="AC426" s="646"/>
      <c r="AD426" s="646"/>
      <c r="AE426" s="646"/>
      <c r="AF426" s="646"/>
    </row>
    <row r="427" spans="2:32">
      <c r="B427" s="646"/>
      <c r="C427" s="646"/>
      <c r="D427" s="646"/>
      <c r="E427" s="646"/>
      <c r="F427" s="646"/>
      <c r="G427" s="646"/>
      <c r="H427" s="646"/>
      <c r="I427" s="646"/>
      <c r="J427" s="646"/>
      <c r="K427" s="646"/>
      <c r="L427" s="30"/>
      <c r="M427" s="30"/>
      <c r="N427" s="30"/>
      <c r="O427" s="30"/>
      <c r="P427" s="30"/>
      <c r="Q427" s="30"/>
      <c r="R427" s="30"/>
      <c r="S427" s="30"/>
      <c r="T427" s="30"/>
      <c r="U427" s="30"/>
      <c r="V427" s="30"/>
      <c r="W427" s="646"/>
      <c r="X427" s="646"/>
      <c r="Y427" s="646"/>
      <c r="Z427" s="646"/>
      <c r="AA427" s="646"/>
      <c r="AB427" s="646"/>
      <c r="AC427" s="646"/>
      <c r="AD427" s="646"/>
      <c r="AE427" s="646"/>
      <c r="AF427" s="646"/>
    </row>
    <row r="428" spans="2:32">
      <c r="B428" s="646"/>
      <c r="C428" s="646"/>
      <c r="D428" s="646"/>
      <c r="E428" s="646"/>
      <c r="F428" s="646"/>
      <c r="G428" s="646"/>
      <c r="H428" s="646"/>
      <c r="I428" s="646"/>
      <c r="J428" s="646"/>
      <c r="K428" s="646"/>
      <c r="L428" s="30"/>
      <c r="M428" s="30"/>
      <c r="N428" s="30"/>
      <c r="O428" s="30"/>
      <c r="P428" s="30"/>
      <c r="Q428" s="30"/>
      <c r="R428" s="30"/>
      <c r="S428" s="30"/>
      <c r="T428" s="30"/>
      <c r="U428" s="30"/>
      <c r="V428" s="30"/>
      <c r="W428" s="646"/>
      <c r="X428" s="646"/>
      <c r="Y428" s="646"/>
      <c r="Z428" s="646"/>
      <c r="AA428" s="646"/>
      <c r="AB428" s="646"/>
      <c r="AC428" s="646"/>
      <c r="AD428" s="646"/>
      <c r="AE428" s="646"/>
      <c r="AF428" s="646"/>
    </row>
    <row r="429" spans="2:32">
      <c r="B429" s="646"/>
      <c r="C429" s="646"/>
      <c r="D429" s="646"/>
      <c r="E429" s="646"/>
      <c r="F429" s="646"/>
      <c r="G429" s="646"/>
      <c r="H429" s="646"/>
      <c r="I429" s="646"/>
      <c r="J429" s="646"/>
      <c r="K429" s="646"/>
      <c r="L429" s="30"/>
      <c r="M429" s="30"/>
      <c r="N429" s="30"/>
      <c r="O429" s="30"/>
      <c r="P429" s="30"/>
      <c r="Q429" s="30"/>
      <c r="R429" s="30"/>
      <c r="S429" s="30"/>
      <c r="T429" s="30"/>
      <c r="U429" s="30"/>
      <c r="V429" s="646"/>
      <c r="W429" s="646"/>
      <c r="X429" s="646"/>
      <c r="Y429" s="646"/>
      <c r="Z429" s="646"/>
      <c r="AA429" s="646"/>
      <c r="AB429" s="646"/>
      <c r="AC429" s="646"/>
      <c r="AD429" s="646"/>
      <c r="AE429" s="646"/>
      <c r="AF429" s="646"/>
    </row>
    <row r="430" spans="2:32">
      <c r="B430" s="646"/>
      <c r="C430" s="646"/>
      <c r="D430" s="646"/>
      <c r="E430" s="646"/>
      <c r="F430" s="646"/>
      <c r="G430" s="646"/>
      <c r="H430" s="646"/>
      <c r="I430" s="646"/>
      <c r="J430" s="646"/>
      <c r="K430" s="646"/>
      <c r="L430" s="30"/>
      <c r="M430" s="30"/>
      <c r="N430" s="30"/>
      <c r="O430" s="30"/>
      <c r="P430" s="30"/>
      <c r="Q430" s="30"/>
      <c r="R430" s="30"/>
      <c r="S430" s="30"/>
      <c r="T430" s="30"/>
      <c r="U430" s="30"/>
      <c r="V430" s="646"/>
      <c r="W430" s="646"/>
      <c r="X430" s="646"/>
      <c r="Y430" s="646"/>
      <c r="Z430" s="646"/>
      <c r="AA430" s="646"/>
      <c r="AB430" s="646"/>
      <c r="AC430" s="646"/>
      <c r="AD430" s="646"/>
      <c r="AE430" s="646"/>
      <c r="AF430" s="646"/>
    </row>
    <row r="431" spans="2:32">
      <c r="B431" s="646"/>
      <c r="C431" s="646"/>
      <c r="D431" s="646"/>
      <c r="E431" s="646"/>
      <c r="F431" s="646"/>
      <c r="G431" s="646"/>
      <c r="H431" s="646"/>
      <c r="I431" s="646"/>
      <c r="J431" s="646"/>
      <c r="K431" s="646"/>
      <c r="L431" s="30"/>
      <c r="M431" s="30"/>
      <c r="N431" s="30"/>
      <c r="O431" s="30"/>
      <c r="P431" s="30"/>
      <c r="Q431" s="30"/>
      <c r="R431" s="30"/>
      <c r="S431" s="30"/>
      <c r="T431" s="30"/>
      <c r="U431" s="30"/>
      <c r="V431" s="646"/>
      <c r="W431" s="646"/>
      <c r="X431" s="646"/>
      <c r="Y431" s="646"/>
      <c r="Z431" s="646"/>
      <c r="AA431" s="646"/>
      <c r="AB431" s="646"/>
      <c r="AC431" s="646"/>
      <c r="AD431" s="646"/>
      <c r="AE431" s="646"/>
      <c r="AF431" s="646"/>
    </row>
    <row r="432" spans="2:32">
      <c r="B432" s="646"/>
      <c r="C432" s="646"/>
      <c r="D432" s="646"/>
      <c r="E432" s="646"/>
      <c r="F432" s="646"/>
      <c r="G432" s="646"/>
      <c r="H432" s="646"/>
      <c r="I432" s="646"/>
      <c r="J432" s="646"/>
      <c r="K432" s="646"/>
      <c r="L432" s="30"/>
      <c r="M432" s="30"/>
      <c r="N432" s="30"/>
      <c r="O432" s="30"/>
      <c r="P432" s="30"/>
      <c r="Q432" s="30"/>
      <c r="R432" s="30"/>
      <c r="S432" s="30"/>
      <c r="T432" s="30"/>
      <c r="U432" s="30"/>
      <c r="V432" s="646"/>
      <c r="W432" s="646"/>
      <c r="X432" s="646"/>
      <c r="Y432" s="646"/>
      <c r="Z432" s="646"/>
      <c r="AA432" s="646"/>
      <c r="AB432" s="646"/>
      <c r="AC432" s="646"/>
      <c r="AD432" s="646"/>
      <c r="AE432" s="646"/>
      <c r="AF432" s="646"/>
    </row>
    <row r="433" spans="12:21">
      <c r="L433" s="30"/>
      <c r="M433" s="30"/>
      <c r="N433" s="30"/>
      <c r="O433" s="30"/>
      <c r="P433" s="30"/>
      <c r="Q433" s="30"/>
      <c r="R433" s="30"/>
      <c r="S433" s="30"/>
      <c r="T433" s="30"/>
      <c r="U433" s="30"/>
    </row>
    <row r="434" spans="12:21">
      <c r="L434" s="646"/>
      <c r="M434" s="646"/>
      <c r="N434" s="30"/>
      <c r="O434" s="30"/>
      <c r="P434" s="30"/>
      <c r="Q434" s="30"/>
      <c r="R434" s="30"/>
      <c r="S434" s="30"/>
      <c r="T434" s="30"/>
      <c r="U434" s="30"/>
    </row>
    <row r="435" spans="12:21">
      <c r="L435" s="646"/>
      <c r="M435" s="646"/>
      <c r="N435" s="30"/>
      <c r="O435" s="30"/>
      <c r="P435" s="30"/>
      <c r="Q435" s="30"/>
      <c r="R435" s="30"/>
      <c r="S435" s="30"/>
      <c r="T435" s="30"/>
      <c r="U435" s="30"/>
    </row>
    <row r="436" spans="12:21">
      <c r="L436" s="646"/>
      <c r="M436" s="646"/>
      <c r="N436" s="30"/>
      <c r="O436" s="30"/>
      <c r="P436" s="30"/>
      <c r="Q436" s="30"/>
      <c r="R436" s="30"/>
      <c r="S436" s="30"/>
      <c r="T436" s="30"/>
      <c r="U436" s="30"/>
    </row>
    <row r="437" spans="12:21">
      <c r="L437" s="646"/>
      <c r="M437" s="646"/>
      <c r="N437" s="30"/>
      <c r="O437" s="30"/>
      <c r="P437" s="30"/>
      <c r="Q437" s="30"/>
      <c r="R437" s="30"/>
      <c r="S437" s="30"/>
      <c r="T437" s="646"/>
      <c r="U437" s="646"/>
    </row>
    <row r="438" spans="12:21">
      <c r="L438" s="646"/>
      <c r="M438" s="646"/>
      <c r="N438" s="30"/>
      <c r="O438" s="30"/>
      <c r="P438" s="30"/>
      <c r="Q438" s="30"/>
      <c r="R438" s="30"/>
      <c r="S438" s="30"/>
      <c r="T438" s="646"/>
      <c r="U438" s="646"/>
    </row>
    <row r="439" spans="12:21">
      <c r="L439" s="646"/>
      <c r="M439" s="646"/>
      <c r="N439" s="30"/>
      <c r="O439" s="30"/>
      <c r="P439" s="30"/>
      <c r="Q439" s="30"/>
      <c r="R439" s="30"/>
      <c r="S439" s="30"/>
      <c r="T439" s="646"/>
      <c r="U439" s="646"/>
    </row>
    <row r="440" spans="12:21">
      <c r="L440" s="646"/>
      <c r="M440" s="646"/>
      <c r="N440" s="30"/>
      <c r="O440" s="30"/>
      <c r="P440" s="30"/>
      <c r="Q440" s="30"/>
      <c r="R440" s="30"/>
      <c r="S440" s="30"/>
      <c r="T440" s="646"/>
      <c r="U440" s="646"/>
    </row>
    <row r="441" spans="12:21">
      <c r="L441" s="646"/>
      <c r="M441" s="646"/>
      <c r="N441" s="30"/>
      <c r="O441" s="30"/>
      <c r="P441" s="30"/>
      <c r="Q441" s="30"/>
      <c r="R441" s="30"/>
      <c r="S441" s="30"/>
      <c r="T441" s="646"/>
      <c r="U441" s="646"/>
    </row>
    <row r="442" spans="12:21">
      <c r="L442" s="646"/>
      <c r="M442" s="646"/>
      <c r="N442" s="646"/>
      <c r="O442" s="30"/>
      <c r="P442" s="30"/>
      <c r="Q442" s="30"/>
      <c r="R442" s="30"/>
      <c r="S442" s="30"/>
      <c r="T442" s="646"/>
      <c r="U442" s="646"/>
    </row>
    <row r="443" spans="12:21">
      <c r="L443" s="646"/>
      <c r="M443" s="646"/>
      <c r="N443" s="646"/>
      <c r="O443" s="30"/>
      <c r="P443" s="30"/>
      <c r="Q443" s="30"/>
      <c r="R443" s="30"/>
      <c r="S443" s="30"/>
      <c r="T443" s="646"/>
      <c r="U443" s="646"/>
    </row>
    <row r="444" spans="12:21">
      <c r="L444" s="646"/>
      <c r="M444" s="646"/>
      <c r="N444" s="646"/>
      <c r="O444" s="30"/>
      <c r="P444" s="646"/>
      <c r="Q444" s="646"/>
      <c r="R444" s="646"/>
      <c r="S444" s="646"/>
      <c r="T444" s="646"/>
      <c r="U444" s="646"/>
    </row>
  </sheetData>
  <mergeCells count="39">
    <mergeCell ref="K269:Q269"/>
    <mergeCell ref="A1:M1"/>
    <mergeCell ref="A2:B2"/>
    <mergeCell ref="A16:L16"/>
    <mergeCell ref="A24:L24"/>
    <mergeCell ref="A37:L37"/>
    <mergeCell ref="A87:B87"/>
    <mergeCell ref="A316:H316"/>
    <mergeCell ref="A97:B97"/>
    <mergeCell ref="A105:H105"/>
    <mergeCell ref="A106:H106"/>
    <mergeCell ref="A214:B214"/>
    <mergeCell ref="A220:G220"/>
    <mergeCell ref="A311:H311"/>
    <mergeCell ref="A312:H312"/>
    <mergeCell ref="A313:H313"/>
    <mergeCell ref="A314:H314"/>
    <mergeCell ref="A315:H315"/>
    <mergeCell ref="A328:H328"/>
    <mergeCell ref="A317:H317"/>
    <mergeCell ref="A318:H318"/>
    <mergeCell ref="A319:H319"/>
    <mergeCell ref="A320:H320"/>
    <mergeCell ref="A321:H321"/>
    <mergeCell ref="A322:H322"/>
    <mergeCell ref="A323:H323"/>
    <mergeCell ref="A324:H324"/>
    <mergeCell ref="A325:H325"/>
    <mergeCell ref="A326:H326"/>
    <mergeCell ref="A327:H327"/>
    <mergeCell ref="A335:H335"/>
    <mergeCell ref="A336:H336"/>
    <mergeCell ref="A337:H337"/>
    <mergeCell ref="A329:H329"/>
    <mergeCell ref="A330:H330"/>
    <mergeCell ref="A331:H331"/>
    <mergeCell ref="A332:H332"/>
    <mergeCell ref="A333:H333"/>
    <mergeCell ref="A334:H334"/>
  </mergeCells>
  <pageMargins left="0.7" right="0.7" top="0.75" bottom="0.75" header="0.3" footer="0.3"/>
  <legacy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B3B96C-D17A-4860-B5A0-805DC618F811}">
  <dimension ref="A1:BK112"/>
  <sheetViews>
    <sheetView workbookViewId="0">
      <selection activeCell="E72" sqref="E72"/>
    </sheetView>
  </sheetViews>
  <sheetFormatPr defaultColWidth="10.7265625" defaultRowHeight="12.5"/>
  <cols>
    <col min="1" max="1" width="23.26953125" style="395" bestFit="1" customWidth="1"/>
    <col min="2" max="2" width="13.54296875" style="395" bestFit="1" customWidth="1"/>
    <col min="3" max="3" width="14" style="395" customWidth="1"/>
    <col min="4" max="4" width="15.26953125" style="395" customWidth="1"/>
    <col min="5" max="5" width="15.7265625" style="395" customWidth="1"/>
    <col min="6" max="6" width="11.26953125" style="395" bestFit="1" customWidth="1"/>
    <col min="7" max="7" width="14.26953125" style="395" customWidth="1"/>
    <col min="8" max="8" width="10.26953125" style="395" bestFit="1" customWidth="1"/>
    <col min="9" max="9" width="15.26953125" style="395" bestFit="1" customWidth="1"/>
    <col min="10" max="10" width="6.7265625" style="395" bestFit="1" customWidth="1"/>
    <col min="11" max="11" width="12.7265625" style="395" bestFit="1" customWidth="1"/>
    <col min="12" max="12" width="6.26953125" style="395" bestFit="1" customWidth="1"/>
    <col min="13" max="13" width="13.26953125" style="395" bestFit="1" customWidth="1"/>
    <col min="14" max="14" width="10.453125" style="395" customWidth="1"/>
    <col min="15" max="15" width="13.26953125" style="395" bestFit="1" customWidth="1"/>
    <col min="16" max="16" width="10.7265625" style="395"/>
    <col min="17" max="17" width="11.54296875" style="395" customWidth="1"/>
    <col min="18" max="18" width="8.7265625" style="395" customWidth="1"/>
    <col min="19" max="19" width="9.26953125" style="395" customWidth="1"/>
    <col min="20" max="20" width="11" style="395" customWidth="1"/>
    <col min="21" max="21" width="10.26953125" style="395" customWidth="1"/>
    <col min="22" max="22" width="9.453125" style="395" customWidth="1"/>
    <col min="23" max="23" width="12" style="395" customWidth="1"/>
    <col min="24" max="24" width="9.453125" style="395" customWidth="1"/>
    <col min="25" max="25" width="12" style="395" customWidth="1"/>
    <col min="26" max="26" width="7.453125" style="395" customWidth="1"/>
    <col min="27" max="28" width="8.7265625" style="395" customWidth="1"/>
    <col min="29" max="29" width="9.26953125" style="395" customWidth="1"/>
    <col min="30" max="31" width="11" style="395" customWidth="1"/>
    <col min="32" max="32" width="4.453125" style="395" customWidth="1"/>
    <col min="33" max="33" width="5.7265625" style="395" customWidth="1"/>
    <col min="34" max="34" width="13.26953125" style="395" bestFit="1" customWidth="1"/>
    <col min="35" max="35" width="6.7265625" style="395" bestFit="1" customWidth="1"/>
    <col min="36" max="36" width="11.7265625" style="395" bestFit="1" customWidth="1"/>
    <col min="37" max="37" width="7.453125" style="395" customWidth="1"/>
    <col min="38" max="39" width="8.7265625" style="395" customWidth="1"/>
    <col min="40" max="40" width="9.26953125" style="395" customWidth="1"/>
    <col min="41" max="42" width="10.7265625" style="395"/>
    <col min="43" max="43" width="4.453125" style="395" customWidth="1"/>
    <col min="44" max="44" width="5.7265625" style="395" customWidth="1"/>
    <col min="45" max="45" width="11.7265625" style="395" customWidth="1"/>
    <col min="46" max="46" width="5.7265625" style="395" customWidth="1"/>
    <col min="47" max="47" width="11.7265625" style="395" customWidth="1"/>
    <col min="48" max="48" width="7.453125" style="395" customWidth="1"/>
    <col min="49" max="50" width="8.7265625" style="395" customWidth="1"/>
    <col min="51" max="51" width="9.26953125" style="395" customWidth="1"/>
    <col min="52" max="53" width="10.7265625" style="395"/>
    <col min="54" max="54" width="4.453125" style="395" bestFit="1" customWidth="1"/>
    <col min="55" max="55" width="4.7265625" style="395" bestFit="1" customWidth="1"/>
    <col min="56" max="56" width="11.7265625" style="395" bestFit="1" customWidth="1"/>
    <col min="57" max="57" width="5.7265625" style="395" bestFit="1" customWidth="1"/>
    <col min="58" max="58" width="11.7265625" style="395" bestFit="1" customWidth="1"/>
    <col min="59" max="59" width="7.453125" style="395" bestFit="1" customWidth="1"/>
    <col min="60" max="61" width="8.7265625" style="395" bestFit="1" customWidth="1"/>
    <col min="62" max="62" width="9.26953125" style="395" bestFit="1" customWidth="1"/>
    <col min="63" max="16384" width="10.7265625" style="395"/>
  </cols>
  <sheetData>
    <row r="1" spans="1:24">
      <c r="B1" s="651" t="s">
        <v>1450</v>
      </c>
      <c r="C1" s="651" t="s">
        <v>1451</v>
      </c>
      <c r="D1" s="651" t="s">
        <v>1452</v>
      </c>
      <c r="E1" s="651" t="s">
        <v>1453</v>
      </c>
      <c r="F1" s="651" t="s">
        <v>1454</v>
      </c>
      <c r="G1" s="395" t="s">
        <v>1455</v>
      </c>
    </row>
    <row r="2" spans="1:24">
      <c r="A2" s="395" t="s">
        <v>1456</v>
      </c>
      <c r="B2" s="434">
        <f>SUM(Original!M3:T4)</f>
        <v>8460295.6592598446</v>
      </c>
      <c r="C2" s="434">
        <f>SUM(Original!M6:T12)</f>
        <v>29186361.566191815</v>
      </c>
      <c r="D2" s="434">
        <f>SUM(Original!M13:T20)</f>
        <v>8003998.3410948738</v>
      </c>
      <c r="E2" s="434">
        <f>SUM(Original!M24:T29)</f>
        <v>5537647.8334544301</v>
      </c>
      <c r="F2" s="434">
        <f>SUM(Original!M21:T23)</f>
        <v>2929826.6911631091</v>
      </c>
      <c r="G2" s="435">
        <f>SUM(B2:F2)</f>
        <v>54118130.091164075</v>
      </c>
    </row>
    <row r="3" spans="1:24">
      <c r="A3" s="651" t="s">
        <v>1284</v>
      </c>
      <c r="B3" s="434">
        <f>SUM(Original!U3:AB4)</f>
        <v>19885543</v>
      </c>
      <c r="C3" s="434">
        <f>SUM(Original!U6:AB12)</f>
        <v>31859848</v>
      </c>
      <c r="D3" s="434">
        <f>SUM(Original!U13:AB20)</f>
        <v>63229620.15442849</v>
      </c>
      <c r="E3" s="434">
        <f>SUM(Original!U24:AB28)</f>
        <v>18987066.663351629</v>
      </c>
      <c r="F3" s="434">
        <f>SUM(Original!U21:AB23)</f>
        <v>30357435.168775488</v>
      </c>
      <c r="G3" s="435">
        <f t="shared" ref="G3:G4" si="0">SUM(B3:F3)</f>
        <v>164319512.98655561</v>
      </c>
    </row>
    <row r="4" spans="1:24">
      <c r="A4" s="651" t="s">
        <v>1446</v>
      </c>
      <c r="B4" s="434">
        <f>SUM(Original!AC3:AJ4)</f>
        <v>51014236.484452657</v>
      </c>
      <c r="C4" s="434">
        <f>SUM(Original!AC6:AJ12)</f>
        <v>126522055.86150233</v>
      </c>
      <c r="D4" s="434">
        <f>SUM(Original!AC13:AJ20)</f>
        <v>72977381.157310739</v>
      </c>
      <c r="E4" s="434">
        <f>SUM(Original!AC24:AJ28)</f>
        <v>34299730.702522986</v>
      </c>
      <c r="F4" s="434">
        <f>SUM(Original!AC21:AJ23)</f>
        <v>25470689.013762552</v>
      </c>
      <c r="G4" s="435">
        <f t="shared" si="0"/>
        <v>310284093.21955127</v>
      </c>
    </row>
    <row r="7" spans="1:24" ht="14.5">
      <c r="A7" s="423" t="s">
        <v>1457</v>
      </c>
      <c r="B7" s="396" t="s">
        <v>1458</v>
      </c>
      <c r="C7" s="396" t="s">
        <v>923</v>
      </c>
      <c r="D7" s="396" t="s">
        <v>924</v>
      </c>
      <c r="E7" s="396" t="s">
        <v>926</v>
      </c>
      <c r="F7" s="396" t="s">
        <v>925</v>
      </c>
      <c r="G7" s="396" t="s">
        <v>622</v>
      </c>
      <c r="I7" s="423" t="s">
        <v>1457</v>
      </c>
      <c r="J7" s="396" t="s">
        <v>1458</v>
      </c>
      <c r="K7" s="396" t="s">
        <v>923</v>
      </c>
      <c r="L7" s="396" t="s">
        <v>924</v>
      </c>
      <c r="M7" s="396" t="s">
        <v>926</v>
      </c>
      <c r="N7" s="396" t="s">
        <v>925</v>
      </c>
      <c r="O7" s="396" t="s">
        <v>622</v>
      </c>
    </row>
    <row r="8" spans="1:24">
      <c r="A8" s="436" t="s">
        <v>1450</v>
      </c>
      <c r="B8" s="437">
        <f>BldgArea!B41</f>
        <v>451052104</v>
      </c>
      <c r="C8" s="437">
        <f>BldgArea!C41</f>
        <v>141799753</v>
      </c>
      <c r="D8" s="437">
        <f>BldgArea!D41</f>
        <v>30184805.999999996</v>
      </c>
      <c r="E8" s="437">
        <f>BldgArea!E41</f>
        <v>240814156.00000003</v>
      </c>
      <c r="F8" s="437">
        <f>BldgArea!F41</f>
        <v>188837761</v>
      </c>
      <c r="G8" s="437">
        <f>BldgArea!G41</f>
        <v>1052688580</v>
      </c>
      <c r="I8" s="436" t="s">
        <v>1450</v>
      </c>
      <c r="J8" s="438">
        <f>B8/$G8</f>
        <v>0.42847629638007473</v>
      </c>
      <c r="K8" s="438">
        <f t="shared" ref="K8:N12" si="1">C8/$G8</f>
        <v>0.13470247107648875</v>
      </c>
      <c r="L8" s="438">
        <f t="shared" si="1"/>
        <v>2.8674012973523469E-2</v>
      </c>
      <c r="M8" s="438">
        <f>E8/$G8</f>
        <v>0.22876106055980966</v>
      </c>
      <c r="N8" s="438">
        <f t="shared" si="1"/>
        <v>0.17938615901010344</v>
      </c>
      <c r="O8" s="438">
        <f>SUM(J8:N8)</f>
        <v>1</v>
      </c>
    </row>
    <row r="9" spans="1:24">
      <c r="A9" s="436" t="s">
        <v>1451</v>
      </c>
      <c r="B9" s="437">
        <f>BldgArea!B45</f>
        <v>488073637</v>
      </c>
      <c r="C9" s="437">
        <f>BldgArea!C45</f>
        <v>365931051</v>
      </c>
      <c r="D9" s="437">
        <f>BldgArea!D45</f>
        <v>743673556</v>
      </c>
      <c r="E9" s="437">
        <f>BldgArea!E45</f>
        <v>235518283</v>
      </c>
      <c r="F9" s="437">
        <f>BldgArea!F45</f>
        <v>20635136</v>
      </c>
      <c r="G9" s="437">
        <f>BldgArea!G45</f>
        <v>1853831663</v>
      </c>
      <c r="I9" s="436" t="s">
        <v>1451</v>
      </c>
      <c r="J9" s="438">
        <f t="shared" ref="J9:J12" si="2">B9/$G9</f>
        <v>0.26327829367752037</v>
      </c>
      <c r="K9" s="438">
        <f t="shared" si="1"/>
        <v>0.19739173642542321</v>
      </c>
      <c r="L9" s="438">
        <f t="shared" si="1"/>
        <v>0.40115484638801319</v>
      </c>
      <c r="M9" s="438">
        <f t="shared" si="1"/>
        <v>0.12704405027739565</v>
      </c>
      <c r="N9" s="438">
        <f t="shared" si="1"/>
        <v>1.1131073231647571E-2</v>
      </c>
      <c r="O9" s="438">
        <f t="shared" ref="O9:O12" si="3">SUM(J9:N9)</f>
        <v>1</v>
      </c>
    </row>
    <row r="10" spans="1:24">
      <c r="A10" s="436" t="s">
        <v>1452</v>
      </c>
      <c r="B10" s="437">
        <f>BldgArea!B42</f>
        <v>120536929</v>
      </c>
      <c r="C10" s="437">
        <f>BldgArea!C42</f>
        <v>52844931</v>
      </c>
      <c r="D10" s="437">
        <f>BldgArea!D42</f>
        <v>737990936</v>
      </c>
      <c r="E10" s="437">
        <f>BldgArea!E42</f>
        <v>81617104</v>
      </c>
      <c r="F10" s="437">
        <f>BldgArea!F42</f>
        <v>21255942</v>
      </c>
      <c r="G10" s="437">
        <f>BldgArea!G42</f>
        <v>1014245842</v>
      </c>
      <c r="I10" s="436" t="s">
        <v>1452</v>
      </c>
      <c r="J10" s="438">
        <f t="shared" si="2"/>
        <v>0.11884389761195589</v>
      </c>
      <c r="K10" s="438">
        <f t="shared" si="1"/>
        <v>5.2102684390398515E-2</v>
      </c>
      <c r="L10" s="438">
        <f t="shared" si="1"/>
        <v>0.72762530092778044</v>
      </c>
      <c r="M10" s="438">
        <f t="shared" si="1"/>
        <v>8.0470730685036421E-2</v>
      </c>
      <c r="N10" s="438">
        <f t="shared" si="1"/>
        <v>2.0957386384828778E-2</v>
      </c>
      <c r="O10" s="438">
        <f t="shared" si="3"/>
        <v>1</v>
      </c>
    </row>
    <row r="11" spans="1:24">
      <c r="A11" s="436" t="s">
        <v>1454</v>
      </c>
      <c r="B11" s="437">
        <f>BldgArea!B43</f>
        <v>125278970</v>
      </c>
      <c r="C11" s="437">
        <f>BldgArea!C43</f>
        <v>43875351</v>
      </c>
      <c r="D11" s="437">
        <f>BldgArea!D43</f>
        <v>39271823</v>
      </c>
      <c r="E11" s="437">
        <f>BldgArea!E43</f>
        <v>77054457</v>
      </c>
      <c r="F11" s="437">
        <f>BldgArea!F43</f>
        <v>10499730</v>
      </c>
      <c r="G11" s="437">
        <f>BldgArea!G43</f>
        <v>295980331</v>
      </c>
      <c r="I11" s="436" t="s">
        <v>1454</v>
      </c>
      <c r="J11" s="438">
        <f t="shared" si="2"/>
        <v>0.42326788937877091</v>
      </c>
      <c r="K11" s="438">
        <f t="shared" si="1"/>
        <v>0.14823738743639692</v>
      </c>
      <c r="L11" s="438">
        <f t="shared" si="1"/>
        <v>0.13268389445783815</v>
      </c>
      <c r="M11" s="438">
        <f t="shared" si="1"/>
        <v>0.26033641066507218</v>
      </c>
      <c r="N11" s="438">
        <f t="shared" si="1"/>
        <v>3.5474418061921822E-2</v>
      </c>
      <c r="O11" s="438">
        <f t="shared" si="3"/>
        <v>1</v>
      </c>
      <c r="X11" s="20"/>
    </row>
    <row r="12" spans="1:24">
      <c r="A12" s="436" t="s">
        <v>1453</v>
      </c>
      <c r="B12" s="437">
        <f>BldgArea!B44</f>
        <v>154479825</v>
      </c>
      <c r="C12" s="437">
        <f>BldgArea!C44</f>
        <v>92417027</v>
      </c>
      <c r="D12" s="437">
        <f>BldgArea!D44</f>
        <v>163140516</v>
      </c>
      <c r="E12" s="437">
        <f>BldgArea!E44</f>
        <v>48554369</v>
      </c>
      <c r="F12" s="437">
        <f>BldgArea!F44</f>
        <v>25465478</v>
      </c>
      <c r="G12" s="437">
        <f>BldgArea!G44</f>
        <v>484057215</v>
      </c>
      <c r="I12" s="436" t="s">
        <v>1453</v>
      </c>
      <c r="J12" s="438">
        <f t="shared" si="2"/>
        <v>0.31913546624855083</v>
      </c>
      <c r="K12" s="438">
        <f t="shared" si="1"/>
        <v>0.19092170127037567</v>
      </c>
      <c r="L12" s="438">
        <f t="shared" si="1"/>
        <v>0.33702734086919872</v>
      </c>
      <c r="M12" s="438">
        <f t="shared" si="1"/>
        <v>0.10030708663231061</v>
      </c>
      <c r="N12" s="438">
        <f t="shared" si="1"/>
        <v>5.2608404979564247E-2</v>
      </c>
      <c r="O12" s="438">
        <f t="shared" si="3"/>
        <v>1</v>
      </c>
    </row>
    <row r="14" spans="1:24">
      <c r="B14" s="439">
        <f>B8+B9</f>
        <v>939125741</v>
      </c>
      <c r="C14" s="439">
        <f t="shared" ref="C14:F14" si="4">C8+C9</f>
        <v>507730804</v>
      </c>
      <c r="D14" s="439">
        <f t="shared" si="4"/>
        <v>773858362</v>
      </c>
      <c r="E14" s="439">
        <f t="shared" si="4"/>
        <v>476332439</v>
      </c>
      <c r="F14" s="439">
        <f t="shared" si="4"/>
        <v>209472897</v>
      </c>
      <c r="G14" s="395">
        <f>(G8+G9)/SUM(G8:G12)</f>
        <v>0.61830284163171845</v>
      </c>
      <c r="S14" s="20"/>
      <c r="T14" s="20"/>
      <c r="U14" s="20"/>
      <c r="V14" s="20"/>
      <c r="W14" s="20"/>
    </row>
    <row r="15" spans="1:24" ht="14.5">
      <c r="A15" s="423" t="s">
        <v>1155</v>
      </c>
      <c r="B15" s="396" t="s">
        <v>1458</v>
      </c>
      <c r="C15" s="396" t="s">
        <v>923</v>
      </c>
      <c r="D15" s="396" t="s">
        <v>924</v>
      </c>
      <c r="E15" s="396" t="s">
        <v>926</v>
      </c>
      <c r="F15" s="396" t="s">
        <v>925</v>
      </c>
      <c r="S15" s="20"/>
      <c r="T15" s="20"/>
      <c r="U15" s="20"/>
      <c r="V15" s="20"/>
      <c r="W15" s="20"/>
    </row>
    <row r="16" spans="1:24">
      <c r="A16" s="436" t="s">
        <v>1450</v>
      </c>
      <c r="B16" s="438">
        <f>B8/B$14</f>
        <v>0.48028936308327641</v>
      </c>
      <c r="C16" s="438">
        <f t="shared" ref="C16:F17" si="5">C8/C$14</f>
        <v>0.27928136698201989</v>
      </c>
      <c r="D16" s="438">
        <f t="shared" si="5"/>
        <v>3.9005595186680939E-2</v>
      </c>
      <c r="E16" s="438">
        <f t="shared" si="5"/>
        <v>0.50555900938755938</v>
      </c>
      <c r="F16" s="438">
        <f t="shared" si="5"/>
        <v>0.90149018658008062</v>
      </c>
      <c r="S16" s="20"/>
      <c r="T16" s="20"/>
      <c r="U16" s="20"/>
      <c r="V16" s="20"/>
      <c r="W16" s="20"/>
    </row>
    <row r="17" spans="1:63">
      <c r="A17" s="436" t="s">
        <v>1451</v>
      </c>
      <c r="B17" s="438">
        <f>B9/B$14</f>
        <v>0.51971063691672359</v>
      </c>
      <c r="C17" s="438">
        <f t="shared" si="5"/>
        <v>0.72071863301798011</v>
      </c>
      <c r="D17" s="438">
        <f t="shared" si="5"/>
        <v>0.9609944048133191</v>
      </c>
      <c r="E17" s="438">
        <f t="shared" si="5"/>
        <v>0.49444099061244073</v>
      </c>
      <c r="F17" s="438">
        <f t="shared" si="5"/>
        <v>9.8509813419919434E-2</v>
      </c>
      <c r="S17" s="20"/>
      <c r="T17" s="20"/>
      <c r="U17" s="20"/>
      <c r="V17" s="20"/>
      <c r="W17" s="20"/>
    </row>
    <row r="18" spans="1:63">
      <c r="S18" s="20"/>
      <c r="T18" s="20"/>
      <c r="U18" s="20"/>
      <c r="V18" s="20"/>
      <c r="W18" s="20"/>
    </row>
    <row r="19" spans="1:63">
      <c r="S19" s="20"/>
      <c r="T19" s="20"/>
      <c r="U19" s="20"/>
      <c r="V19" s="20"/>
      <c r="W19" s="20"/>
    </row>
    <row r="20" spans="1:63">
      <c r="S20" s="20"/>
      <c r="T20" s="20"/>
      <c r="U20" s="20"/>
      <c r="V20" s="20"/>
      <c r="W20" s="20"/>
    </row>
    <row r="21" spans="1:63">
      <c r="A21" s="395" t="s">
        <v>1459</v>
      </c>
      <c r="B21" s="395" t="s">
        <v>1460</v>
      </c>
    </row>
    <row r="23" spans="1:63" ht="14.5">
      <c r="B23" s="395" t="s">
        <v>1461</v>
      </c>
      <c r="C23" s="395" t="s">
        <v>1451</v>
      </c>
      <c r="D23" s="395" t="s">
        <v>1452</v>
      </c>
      <c r="E23" s="395" t="s">
        <v>1454</v>
      </c>
      <c r="F23" s="395" t="s">
        <v>1453</v>
      </c>
      <c r="K23" s="395" t="s">
        <v>1481</v>
      </c>
      <c r="L23" s="395" t="s">
        <v>1461</v>
      </c>
      <c r="M23" s="395" t="s">
        <v>1451</v>
      </c>
      <c r="N23" s="395" t="s">
        <v>1452</v>
      </c>
      <c r="O23" s="395" t="s">
        <v>1454</v>
      </c>
      <c r="P23" s="395" t="s">
        <v>1453</v>
      </c>
      <c r="Q23" s="395" t="s">
        <v>1155</v>
      </c>
      <c r="R23" s="440" t="s">
        <v>1462</v>
      </c>
      <c r="S23" s="441"/>
      <c r="T23" s="441" t="s">
        <v>1461</v>
      </c>
      <c r="U23" s="441" t="s">
        <v>1451</v>
      </c>
      <c r="V23" s="441" t="s">
        <v>1452</v>
      </c>
      <c r="W23" s="441" t="s">
        <v>1454</v>
      </c>
      <c r="X23" s="441" t="s">
        <v>1453</v>
      </c>
    </row>
    <row r="24" spans="1:63" ht="14.5">
      <c r="A24" s="395" t="s">
        <v>512</v>
      </c>
      <c r="B24" s="442">
        <f>B3/G3</f>
        <v>0.12101753856601928</v>
      </c>
      <c r="C24" s="442">
        <f>C3/G3</f>
        <v>0.19388962041657662</v>
      </c>
      <c r="D24" s="442">
        <f>D3/G3</f>
        <v>0.38479678405328432</v>
      </c>
      <c r="E24" s="442">
        <f>F3/G3</f>
        <v>0.18474637988526227</v>
      </c>
      <c r="F24" s="442">
        <f>E3/G3</f>
        <v>0.11554967707885748</v>
      </c>
      <c r="G24" s="20">
        <f>SUM(B24:F24)</f>
        <v>0.99999999999999989</v>
      </c>
      <c r="I24" s="395" t="s">
        <v>512</v>
      </c>
      <c r="K24" s="516" t="e">
        <f>#REF!</f>
        <v>#REF!</v>
      </c>
      <c r="L24" s="20" t="e">
        <f>B24*$K24</f>
        <v>#REF!</v>
      </c>
      <c r="M24" s="20" t="e">
        <f>C24*$K24</f>
        <v>#REF!</v>
      </c>
      <c r="N24" s="20" t="e">
        <f>D24*$K24</f>
        <v>#REF!</v>
      </c>
      <c r="O24" s="20" t="e">
        <f>E24*$K24</f>
        <v>#REF!</v>
      </c>
      <c r="P24" s="20" t="e">
        <f>F24*$K24</f>
        <v>#REF!</v>
      </c>
      <c r="Q24" s="20" t="e">
        <f>L24+M24</f>
        <v>#REF!</v>
      </c>
      <c r="R24" s="443" t="e">
        <f>SUM(L24:P24)-K24</f>
        <v>#REF!</v>
      </c>
      <c r="S24" s="441" t="s">
        <v>512</v>
      </c>
      <c r="T24" s="444" t="e">
        <f>L31+V31+AG31+AR31+BC31-L24</f>
        <v>#REF!</v>
      </c>
      <c r="U24" s="444" t="e">
        <f>L38+V38+AG38+AR38+BC38-M24</f>
        <v>#REF!</v>
      </c>
      <c r="V24" s="444"/>
      <c r="W24" s="444"/>
      <c r="X24" s="444"/>
      <c r="AI24" s="20" t="e">
        <f>B47+B52+B57+B62+B67</f>
        <v>#REF!</v>
      </c>
    </row>
    <row r="25" spans="1:63" ht="14.5">
      <c r="A25" s="395" t="s">
        <v>947</v>
      </c>
      <c r="B25" s="442">
        <f>B4/G4</f>
        <v>0.164411381695793</v>
      </c>
      <c r="C25" s="442">
        <f>C4/G4</f>
        <v>0.40776197886489035</v>
      </c>
      <c r="D25" s="442">
        <f>D4/G4</f>
        <v>0.23519536692998727</v>
      </c>
      <c r="E25" s="442">
        <f>F4/G4</f>
        <v>8.2088284802082856E-2</v>
      </c>
      <c r="F25" s="442">
        <f>E4/G4</f>
        <v>0.11054298770724651</v>
      </c>
      <c r="G25" s="20">
        <f t="shared" ref="G25:G26" si="6">SUM(B25:F25)</f>
        <v>1</v>
      </c>
      <c r="I25" s="395" t="s">
        <v>947</v>
      </c>
      <c r="K25" s="20" t="e">
        <f>#REF!</f>
        <v>#REF!</v>
      </c>
      <c r="L25" s="20" t="e">
        <f t="shared" ref="L25:P26" si="7">B25*$K25</f>
        <v>#REF!</v>
      </c>
      <c r="M25" s="20" t="e">
        <f t="shared" si="7"/>
        <v>#REF!</v>
      </c>
      <c r="N25" s="20" t="e">
        <f t="shared" si="7"/>
        <v>#REF!</v>
      </c>
      <c r="O25" s="20" t="e">
        <f t="shared" si="7"/>
        <v>#REF!</v>
      </c>
      <c r="P25" s="20" t="e">
        <f t="shared" si="7"/>
        <v>#REF!</v>
      </c>
      <c r="Q25" s="20" t="e">
        <f t="shared" ref="Q25:Q26" si="8">L25+M25</f>
        <v>#REF!</v>
      </c>
      <c r="R25" s="443" t="e">
        <f>SUM(L25:P25)-K25</f>
        <v>#REF!</v>
      </c>
      <c r="S25" s="441" t="s">
        <v>947</v>
      </c>
      <c r="T25" s="444" t="e">
        <f>L32+V32+AG32+AR32+BC32-L25</f>
        <v>#REF!</v>
      </c>
      <c r="U25" s="444" t="e">
        <f>L39+V39+AG39+AR39+BC39-M25</f>
        <v>#REF!</v>
      </c>
      <c r="V25" s="444"/>
      <c r="W25" s="444"/>
      <c r="X25" s="444"/>
    </row>
    <row r="26" spans="1:63" ht="14.5">
      <c r="A26" s="395" t="s">
        <v>972</v>
      </c>
      <c r="B26" s="442">
        <f>B2/G2</f>
        <v>0.15633015488539886</v>
      </c>
      <c r="C26" s="442">
        <f>C2/G2</f>
        <v>0.53930838920388169</v>
      </c>
      <c r="D26" s="442">
        <f>D2/G2</f>
        <v>0.14789864926248986</v>
      </c>
      <c r="E26" s="442">
        <f>F2/G2</f>
        <v>5.4137618691327716E-2</v>
      </c>
      <c r="F26" s="442">
        <f>E2/G2</f>
        <v>0.10232518795690186</v>
      </c>
      <c r="G26" s="20">
        <f t="shared" si="6"/>
        <v>0.99999999999999989</v>
      </c>
      <c r="I26" s="395" t="s">
        <v>972</v>
      </c>
      <c r="K26" s="20" t="e">
        <f>SUM(#REF!)</f>
        <v>#REF!</v>
      </c>
      <c r="L26" s="20" t="e">
        <f t="shared" si="7"/>
        <v>#REF!</v>
      </c>
      <c r="M26" s="20" t="e">
        <f t="shared" si="7"/>
        <v>#REF!</v>
      </c>
      <c r="N26" s="20" t="e">
        <f t="shared" si="7"/>
        <v>#REF!</v>
      </c>
      <c r="O26" s="20" t="e">
        <f t="shared" si="7"/>
        <v>#REF!</v>
      </c>
      <c r="P26" s="20" t="e">
        <f t="shared" si="7"/>
        <v>#REF!</v>
      </c>
      <c r="Q26" s="20" t="e">
        <f t="shared" si="8"/>
        <v>#REF!</v>
      </c>
      <c r="R26" s="443" t="e">
        <f>SUM(L26:P26)-K26</f>
        <v>#REF!</v>
      </c>
      <c r="S26" s="441" t="s">
        <v>972</v>
      </c>
      <c r="T26" s="444" t="e">
        <f>L33+V33+AG33+AR33+BC33-L26</f>
        <v>#REF!</v>
      </c>
      <c r="U26" s="444" t="e">
        <f>L40+V40+AG40+AR40+BC40-M26</f>
        <v>#REF!</v>
      </c>
      <c r="V26" s="444"/>
      <c r="W26" s="444"/>
      <c r="X26" s="444"/>
    </row>
    <row r="27" spans="1:63">
      <c r="C27" s="20"/>
      <c r="D27" s="20"/>
      <c r="E27" s="20"/>
      <c r="F27" s="20"/>
      <c r="G27" s="20"/>
      <c r="K27" s="20" t="e">
        <f>SUM(K24:K26)</f>
        <v>#REF!</v>
      </c>
    </row>
    <row r="28" spans="1:63">
      <c r="B28" s="442"/>
      <c r="C28" s="20"/>
      <c r="D28" s="20"/>
      <c r="E28" s="20"/>
      <c r="F28" s="20"/>
      <c r="G28" s="20"/>
    </row>
    <row r="29" spans="1:63">
      <c r="B29" s="442"/>
      <c r="C29" s="20"/>
      <c r="D29" s="20"/>
      <c r="E29" s="20"/>
      <c r="F29" s="20"/>
      <c r="G29" s="20"/>
    </row>
    <row r="30" spans="1:63" s="396" customFormat="1" ht="25.5">
      <c r="A30" s="445" t="s">
        <v>1463</v>
      </c>
      <c r="B30" s="396" t="s">
        <v>1464</v>
      </c>
      <c r="C30" s="24" t="s">
        <v>1465</v>
      </c>
      <c r="D30" s="24" t="s">
        <v>1466</v>
      </c>
      <c r="E30" s="24" t="s">
        <v>1271</v>
      </c>
      <c r="F30" s="24" t="s">
        <v>1467</v>
      </c>
      <c r="G30" s="24" t="s">
        <v>1468</v>
      </c>
      <c r="H30" s="396" t="s">
        <v>1469</v>
      </c>
      <c r="I30" s="396" t="s">
        <v>1178</v>
      </c>
      <c r="L30" s="451" t="s">
        <v>617</v>
      </c>
      <c r="M30" s="396" t="s">
        <v>1464</v>
      </c>
      <c r="N30" s="24" t="s">
        <v>1465</v>
      </c>
      <c r="O30" s="24" t="s">
        <v>1466</v>
      </c>
      <c r="P30" s="24" t="s">
        <v>1271</v>
      </c>
      <c r="Q30" s="24" t="s">
        <v>1467</v>
      </c>
      <c r="R30" s="24" t="s">
        <v>1468</v>
      </c>
      <c r="S30" s="396" t="s">
        <v>1469</v>
      </c>
      <c r="V30" s="451" t="s">
        <v>618</v>
      </c>
      <c r="W30" s="396" t="s">
        <v>1464</v>
      </c>
      <c r="X30" s="24" t="s">
        <v>1465</v>
      </c>
      <c r="Y30" s="24" t="s">
        <v>1466</v>
      </c>
      <c r="Z30" s="24" t="s">
        <v>1271</v>
      </c>
      <c r="AA30" s="24" t="s">
        <v>1467</v>
      </c>
      <c r="AB30" s="24" t="s">
        <v>1468</v>
      </c>
      <c r="AC30" s="396" t="s">
        <v>1469</v>
      </c>
      <c r="AG30" s="451" t="s">
        <v>619</v>
      </c>
      <c r="AH30" s="396" t="s">
        <v>1464</v>
      </c>
      <c r="AI30" s="24" t="s">
        <v>1465</v>
      </c>
      <c r="AJ30" s="24" t="s">
        <v>1466</v>
      </c>
      <c r="AK30" s="24" t="s">
        <v>1271</v>
      </c>
      <c r="AL30" s="24" t="s">
        <v>1467</v>
      </c>
      <c r="AM30" s="24" t="s">
        <v>1468</v>
      </c>
      <c r="AN30" s="396" t="s">
        <v>1469</v>
      </c>
      <c r="AR30" s="451" t="s">
        <v>620</v>
      </c>
      <c r="AS30" s="396" t="s">
        <v>1464</v>
      </c>
      <c r="AT30" s="24" t="s">
        <v>1465</v>
      </c>
      <c r="AU30" s="24" t="s">
        <v>1466</v>
      </c>
      <c r="AV30" s="24" t="s">
        <v>1271</v>
      </c>
      <c r="AW30" s="24" t="s">
        <v>1467</v>
      </c>
      <c r="AX30" s="24" t="s">
        <v>1468</v>
      </c>
      <c r="AY30" s="396" t="s">
        <v>1469</v>
      </c>
      <c r="BB30" s="451"/>
      <c r="BC30" s="451" t="s">
        <v>621</v>
      </c>
      <c r="BD30" s="396" t="s">
        <v>1464</v>
      </c>
      <c r="BE30" s="24" t="s">
        <v>1465</v>
      </c>
      <c r="BF30" s="24" t="s">
        <v>1466</v>
      </c>
      <c r="BG30" s="24" t="s">
        <v>1271</v>
      </c>
      <c r="BH30" s="24" t="s">
        <v>1467</v>
      </c>
      <c r="BI30" s="24" t="s">
        <v>1468</v>
      </c>
      <c r="BJ30" s="396" t="s">
        <v>1469</v>
      </c>
    </row>
    <row r="31" spans="1:63" s="20" customFormat="1" ht="14.5">
      <c r="A31" s="446" t="s">
        <v>512</v>
      </c>
      <c r="B31" s="20">
        <f>'Dmd Share'!L53</f>
        <v>2.0000000000000004E-2</v>
      </c>
      <c r="C31" s="20">
        <f>'Dmd Share'!M53</f>
        <v>3.0000000000000002E-2</v>
      </c>
      <c r="D31" s="20">
        <f>'Dmd Share'!N53</f>
        <v>0.17000000000000004</v>
      </c>
      <c r="E31" s="20">
        <f>'Dmd Share'!O53</f>
        <v>0.19000000000000003</v>
      </c>
      <c r="F31" s="20">
        <f>'Dmd Share'!P53</f>
        <v>0.59</v>
      </c>
      <c r="G31" s="20">
        <f>'Dmd Share'!Q53</f>
        <v>0</v>
      </c>
      <c r="H31" s="20">
        <v>0</v>
      </c>
      <c r="I31" s="20">
        <f>SUM(B31:H31)</f>
        <v>1</v>
      </c>
      <c r="K31" s="20" t="s">
        <v>512</v>
      </c>
      <c r="L31" s="447" t="e">
        <f>L24*J8</f>
        <v>#REF!</v>
      </c>
      <c r="M31" s="20" t="e">
        <f>$L31*B31</f>
        <v>#REF!</v>
      </c>
      <c r="N31" s="20" t="e">
        <f t="shared" ref="N31:S33" si="9">$L31*C31</f>
        <v>#REF!</v>
      </c>
      <c r="O31" s="20" t="e">
        <f t="shared" si="9"/>
        <v>#REF!</v>
      </c>
      <c r="P31" s="20" t="e">
        <f t="shared" si="9"/>
        <v>#REF!</v>
      </c>
      <c r="Q31" s="20" t="e">
        <f t="shared" si="9"/>
        <v>#REF!</v>
      </c>
      <c r="R31" s="20" t="e">
        <f t="shared" si="9"/>
        <v>#REF!</v>
      </c>
      <c r="S31" s="20" t="e">
        <f t="shared" si="9"/>
        <v>#REF!</v>
      </c>
      <c r="T31" s="444" t="e">
        <f>L31-SUM(M31:S31)</f>
        <v>#REF!</v>
      </c>
      <c r="U31" s="20" t="s">
        <v>512</v>
      </c>
      <c r="V31" s="447" t="e">
        <f>L24*K8</f>
        <v>#REF!</v>
      </c>
      <c r="W31" s="20" t="e">
        <f>$V31*B31</f>
        <v>#REF!</v>
      </c>
      <c r="X31" s="20" t="e">
        <f t="shared" ref="X31:AC33" si="10">$V31*C31</f>
        <v>#REF!</v>
      </c>
      <c r="Y31" s="20" t="e">
        <f t="shared" si="10"/>
        <v>#REF!</v>
      </c>
      <c r="Z31" s="20" t="e">
        <f t="shared" si="10"/>
        <v>#REF!</v>
      </c>
      <c r="AA31" s="20" t="e">
        <f t="shared" si="10"/>
        <v>#REF!</v>
      </c>
      <c r="AB31" s="20" t="e">
        <f t="shared" si="10"/>
        <v>#REF!</v>
      </c>
      <c r="AC31" s="20" t="e">
        <f t="shared" si="10"/>
        <v>#REF!</v>
      </c>
      <c r="AD31" s="444" t="e">
        <f>V31-SUM(W31:AC31)</f>
        <v>#REF!</v>
      </c>
      <c r="AE31" s="444"/>
      <c r="AF31" s="20" t="s">
        <v>512</v>
      </c>
      <c r="AG31" s="447" t="e">
        <f>L24*L8</f>
        <v>#REF!</v>
      </c>
      <c r="AH31" s="20" t="e">
        <f t="shared" ref="AH31:AN33" si="11">$AG31*B31</f>
        <v>#REF!</v>
      </c>
      <c r="AI31" s="20" t="e">
        <f t="shared" si="11"/>
        <v>#REF!</v>
      </c>
      <c r="AJ31" s="20" t="e">
        <f t="shared" si="11"/>
        <v>#REF!</v>
      </c>
      <c r="AK31" s="20" t="e">
        <f t="shared" si="11"/>
        <v>#REF!</v>
      </c>
      <c r="AL31" s="20" t="e">
        <f t="shared" si="11"/>
        <v>#REF!</v>
      </c>
      <c r="AM31" s="20" t="e">
        <f t="shared" si="11"/>
        <v>#REF!</v>
      </c>
      <c r="AN31" s="20" t="e">
        <f t="shared" si="11"/>
        <v>#REF!</v>
      </c>
      <c r="AO31" s="444" t="e">
        <f>AG31-SUM(AH31:AN31)</f>
        <v>#REF!</v>
      </c>
      <c r="AP31" s="444"/>
      <c r="AQ31" s="20" t="s">
        <v>512</v>
      </c>
      <c r="AR31" s="447" t="e">
        <f>L24*M8</f>
        <v>#REF!</v>
      </c>
      <c r="AS31" s="20" t="e">
        <f t="shared" ref="AS31:AY33" si="12">$AR31*B31</f>
        <v>#REF!</v>
      </c>
      <c r="AT31" s="20" t="e">
        <f t="shared" si="12"/>
        <v>#REF!</v>
      </c>
      <c r="AU31" s="20" t="e">
        <f t="shared" si="12"/>
        <v>#REF!</v>
      </c>
      <c r="AV31" s="20" t="e">
        <f t="shared" si="12"/>
        <v>#REF!</v>
      </c>
      <c r="AW31" s="20" t="e">
        <f t="shared" si="12"/>
        <v>#REF!</v>
      </c>
      <c r="AX31" s="20" t="e">
        <f t="shared" si="12"/>
        <v>#REF!</v>
      </c>
      <c r="AY31" s="20" t="e">
        <f t="shared" si="12"/>
        <v>#REF!</v>
      </c>
      <c r="AZ31" s="444" t="e">
        <f>AR31-SUM(AS31:AY31)</f>
        <v>#REF!</v>
      </c>
      <c r="BA31" s="444"/>
      <c r="BB31" s="20" t="s">
        <v>512</v>
      </c>
      <c r="BC31" s="447" t="e">
        <f>L24*N8</f>
        <v>#REF!</v>
      </c>
      <c r="BD31" s="20" t="e">
        <f t="shared" ref="BD31:BJ33" si="13">$BC31*B31</f>
        <v>#REF!</v>
      </c>
      <c r="BE31" s="20" t="e">
        <f t="shared" si="13"/>
        <v>#REF!</v>
      </c>
      <c r="BF31" s="20" t="e">
        <f t="shared" si="13"/>
        <v>#REF!</v>
      </c>
      <c r="BG31" s="20" t="e">
        <f t="shared" si="13"/>
        <v>#REF!</v>
      </c>
      <c r="BH31" s="20" t="e">
        <f t="shared" si="13"/>
        <v>#REF!</v>
      </c>
      <c r="BI31" s="20" t="e">
        <f t="shared" si="13"/>
        <v>#REF!</v>
      </c>
      <c r="BJ31" s="20" t="e">
        <f t="shared" si="13"/>
        <v>#REF!</v>
      </c>
      <c r="BK31" s="444" t="e">
        <f>BC31-SUM(BD31:BJ31)</f>
        <v>#REF!</v>
      </c>
    </row>
    <row r="32" spans="1:63" s="20" customFormat="1" ht="14.5">
      <c r="A32" s="446" t="s">
        <v>947</v>
      </c>
      <c r="B32" s="20">
        <f>'Dmd Share'!L54</f>
        <v>0.71577734452364239</v>
      </c>
      <c r="C32" s="20">
        <f>'Dmd Share'!M54</f>
        <v>0.28422265547635739</v>
      </c>
      <c r="D32" s="20">
        <f>'Dmd Share'!N54</f>
        <v>0</v>
      </c>
      <c r="E32" s="20">
        <f>'Dmd Share'!O54</f>
        <v>0</v>
      </c>
      <c r="F32" s="20">
        <f>'Dmd Share'!P54</f>
        <v>0</v>
      </c>
      <c r="G32" s="20">
        <f>'Dmd Share'!Q54</f>
        <v>0</v>
      </c>
      <c r="H32" s="20">
        <v>0</v>
      </c>
      <c r="I32" s="20">
        <f t="shared" ref="I32:I33" si="14">SUM(B32:H32)</f>
        <v>0.99999999999999978</v>
      </c>
      <c r="K32" s="20" t="s">
        <v>947</v>
      </c>
      <c r="L32" s="447" t="e">
        <f t="shared" ref="L32:L33" si="15">L25*$B$8/$G$8</f>
        <v>#REF!</v>
      </c>
      <c r="M32" s="20" t="e">
        <f t="shared" ref="M32:M33" si="16">$L32*B32</f>
        <v>#REF!</v>
      </c>
      <c r="N32" s="20" t="e">
        <f t="shared" si="9"/>
        <v>#REF!</v>
      </c>
      <c r="O32" s="20" t="e">
        <f t="shared" si="9"/>
        <v>#REF!</v>
      </c>
      <c r="P32" s="20" t="e">
        <f t="shared" si="9"/>
        <v>#REF!</v>
      </c>
      <c r="Q32" s="20" t="e">
        <f t="shared" si="9"/>
        <v>#REF!</v>
      </c>
      <c r="R32" s="20" t="e">
        <f t="shared" si="9"/>
        <v>#REF!</v>
      </c>
      <c r="S32" s="20" t="e">
        <f t="shared" si="9"/>
        <v>#REF!</v>
      </c>
      <c r="T32" s="444" t="e">
        <f t="shared" ref="T32:T33" si="17">L32-SUM(M32:S32)</f>
        <v>#REF!</v>
      </c>
      <c r="U32" s="20" t="s">
        <v>947</v>
      </c>
      <c r="V32" s="447" t="e">
        <f>L25*$C$8/$G$8</f>
        <v>#REF!</v>
      </c>
      <c r="W32" s="20" t="e">
        <f t="shared" ref="W32:W33" si="18">$V32*B32</f>
        <v>#REF!</v>
      </c>
      <c r="X32" s="20" t="e">
        <f t="shared" si="10"/>
        <v>#REF!</v>
      </c>
      <c r="Y32" s="20" t="e">
        <f t="shared" si="10"/>
        <v>#REF!</v>
      </c>
      <c r="Z32" s="20" t="e">
        <f t="shared" si="10"/>
        <v>#REF!</v>
      </c>
      <c r="AA32" s="20" t="e">
        <f t="shared" si="10"/>
        <v>#REF!</v>
      </c>
      <c r="AB32" s="20" t="e">
        <f t="shared" si="10"/>
        <v>#REF!</v>
      </c>
      <c r="AC32" s="20" t="e">
        <f t="shared" si="10"/>
        <v>#REF!</v>
      </c>
      <c r="AD32" s="444" t="e">
        <f t="shared" ref="AD32:AD33" si="19">V32-SUM(W32:AC32)</f>
        <v>#REF!</v>
      </c>
      <c r="AE32" s="444"/>
      <c r="AF32" s="20" t="s">
        <v>947</v>
      </c>
      <c r="AG32" s="447" t="e">
        <f>L25*$D$8/$G$8</f>
        <v>#REF!</v>
      </c>
      <c r="AH32" s="20" t="e">
        <f t="shared" si="11"/>
        <v>#REF!</v>
      </c>
      <c r="AI32" s="20" t="e">
        <f t="shared" si="11"/>
        <v>#REF!</v>
      </c>
      <c r="AJ32" s="20" t="e">
        <f t="shared" si="11"/>
        <v>#REF!</v>
      </c>
      <c r="AK32" s="20" t="e">
        <f t="shared" si="11"/>
        <v>#REF!</v>
      </c>
      <c r="AL32" s="20" t="e">
        <f t="shared" si="11"/>
        <v>#REF!</v>
      </c>
      <c r="AM32" s="20" t="e">
        <f t="shared" si="11"/>
        <v>#REF!</v>
      </c>
      <c r="AN32" s="20" t="e">
        <f t="shared" si="11"/>
        <v>#REF!</v>
      </c>
      <c r="AO32" s="444" t="e">
        <f t="shared" ref="AO32:AO33" si="20">AG32-SUM(AH32:AN32)</f>
        <v>#REF!</v>
      </c>
      <c r="AP32" s="444"/>
      <c r="AQ32" s="20" t="s">
        <v>947</v>
      </c>
      <c r="AR32" s="447" t="e">
        <f>L25*$E$8/$G$8</f>
        <v>#REF!</v>
      </c>
      <c r="AS32" s="20" t="e">
        <f t="shared" si="12"/>
        <v>#REF!</v>
      </c>
      <c r="AT32" s="20" t="e">
        <f t="shared" si="12"/>
        <v>#REF!</v>
      </c>
      <c r="AU32" s="20" t="e">
        <f t="shared" si="12"/>
        <v>#REF!</v>
      </c>
      <c r="AV32" s="20" t="e">
        <f t="shared" si="12"/>
        <v>#REF!</v>
      </c>
      <c r="AW32" s="20" t="e">
        <f t="shared" si="12"/>
        <v>#REF!</v>
      </c>
      <c r="AX32" s="20" t="e">
        <f t="shared" si="12"/>
        <v>#REF!</v>
      </c>
      <c r="AY32" s="20" t="e">
        <f t="shared" si="12"/>
        <v>#REF!</v>
      </c>
      <c r="AZ32" s="444" t="e">
        <f t="shared" ref="AZ32:AZ33" si="21">AR32-SUM(AS32:AY32)</f>
        <v>#REF!</v>
      </c>
      <c r="BA32" s="444"/>
      <c r="BB32" s="20" t="s">
        <v>947</v>
      </c>
      <c r="BC32" s="447" t="e">
        <f>L25*$F$8/$G$8</f>
        <v>#REF!</v>
      </c>
      <c r="BD32" s="20" t="e">
        <f t="shared" si="13"/>
        <v>#REF!</v>
      </c>
      <c r="BE32" s="20" t="e">
        <f t="shared" si="13"/>
        <v>#REF!</v>
      </c>
      <c r="BF32" s="20" t="e">
        <f t="shared" si="13"/>
        <v>#REF!</v>
      </c>
      <c r="BG32" s="20" t="e">
        <f t="shared" si="13"/>
        <v>#REF!</v>
      </c>
      <c r="BH32" s="20" t="e">
        <f t="shared" si="13"/>
        <v>#REF!</v>
      </c>
      <c r="BI32" s="20" t="e">
        <f t="shared" si="13"/>
        <v>#REF!</v>
      </c>
      <c r="BJ32" s="20" t="e">
        <f t="shared" si="13"/>
        <v>#REF!</v>
      </c>
      <c r="BK32" s="444" t="e">
        <f t="shared" ref="BK32:BK33" si="22">BC32-SUM(BD32:BJ32)</f>
        <v>#REF!</v>
      </c>
    </row>
    <row r="33" spans="1:63" s="20" customFormat="1" ht="14.5">
      <c r="A33" s="446" t="s">
        <v>972</v>
      </c>
      <c r="B33" s="20">
        <f>'Dmd Share'!L55</f>
        <v>0.82512905894708544</v>
      </c>
      <c r="C33" s="20">
        <f>'Dmd Share'!M55</f>
        <v>0.17487094105291456</v>
      </c>
      <c r="D33" s="20">
        <f>'Dmd Share'!N55</f>
        <v>0</v>
      </c>
      <c r="E33" s="20">
        <f>'Dmd Share'!O55</f>
        <v>0</v>
      </c>
      <c r="F33" s="20">
        <f>'Dmd Share'!P55</f>
        <v>0</v>
      </c>
      <c r="G33" s="20">
        <f>'Dmd Share'!Q55</f>
        <v>0</v>
      </c>
      <c r="H33" s="20">
        <v>0</v>
      </c>
      <c r="I33" s="20">
        <f t="shared" si="14"/>
        <v>1</v>
      </c>
      <c r="K33" s="20" t="s">
        <v>972</v>
      </c>
      <c r="L33" s="447" t="e">
        <f t="shared" si="15"/>
        <v>#REF!</v>
      </c>
      <c r="M33" s="20" t="e">
        <f t="shared" si="16"/>
        <v>#REF!</v>
      </c>
      <c r="N33" s="20" t="e">
        <f t="shared" si="9"/>
        <v>#REF!</v>
      </c>
      <c r="O33" s="20" t="e">
        <f t="shared" si="9"/>
        <v>#REF!</v>
      </c>
      <c r="P33" s="20" t="e">
        <f t="shared" si="9"/>
        <v>#REF!</v>
      </c>
      <c r="Q33" s="20" t="e">
        <f t="shared" si="9"/>
        <v>#REF!</v>
      </c>
      <c r="R33" s="20" t="e">
        <f t="shared" si="9"/>
        <v>#REF!</v>
      </c>
      <c r="S33" s="20" t="e">
        <f t="shared" si="9"/>
        <v>#REF!</v>
      </c>
      <c r="T33" s="444" t="e">
        <f t="shared" si="17"/>
        <v>#REF!</v>
      </c>
      <c r="U33" s="20" t="s">
        <v>972</v>
      </c>
      <c r="V33" s="447" t="e">
        <f>L26*$C$8/$G$8</f>
        <v>#REF!</v>
      </c>
      <c r="W33" s="20" t="e">
        <f t="shared" si="18"/>
        <v>#REF!</v>
      </c>
      <c r="X33" s="20" t="e">
        <f t="shared" si="10"/>
        <v>#REF!</v>
      </c>
      <c r="Y33" s="20" t="e">
        <f t="shared" si="10"/>
        <v>#REF!</v>
      </c>
      <c r="Z33" s="20" t="e">
        <f t="shared" si="10"/>
        <v>#REF!</v>
      </c>
      <c r="AA33" s="20" t="e">
        <f t="shared" si="10"/>
        <v>#REF!</v>
      </c>
      <c r="AB33" s="20" t="e">
        <f t="shared" si="10"/>
        <v>#REF!</v>
      </c>
      <c r="AC33" s="20" t="e">
        <f t="shared" si="10"/>
        <v>#REF!</v>
      </c>
      <c r="AD33" s="444" t="e">
        <f t="shared" si="19"/>
        <v>#REF!</v>
      </c>
      <c r="AE33" s="444"/>
      <c r="AF33" s="20" t="s">
        <v>972</v>
      </c>
      <c r="AG33" s="447" t="e">
        <f>L26*$D$8/$G$8</f>
        <v>#REF!</v>
      </c>
      <c r="AH33" s="20" t="e">
        <f t="shared" si="11"/>
        <v>#REF!</v>
      </c>
      <c r="AI33" s="20" t="e">
        <f t="shared" si="11"/>
        <v>#REF!</v>
      </c>
      <c r="AJ33" s="20" t="e">
        <f t="shared" si="11"/>
        <v>#REF!</v>
      </c>
      <c r="AK33" s="20" t="e">
        <f t="shared" si="11"/>
        <v>#REF!</v>
      </c>
      <c r="AL33" s="20" t="e">
        <f t="shared" si="11"/>
        <v>#REF!</v>
      </c>
      <c r="AM33" s="20" t="e">
        <f t="shared" si="11"/>
        <v>#REF!</v>
      </c>
      <c r="AN33" s="20" t="e">
        <f t="shared" si="11"/>
        <v>#REF!</v>
      </c>
      <c r="AO33" s="444" t="e">
        <f t="shared" si="20"/>
        <v>#REF!</v>
      </c>
      <c r="AP33" s="444"/>
      <c r="AQ33" s="20" t="s">
        <v>972</v>
      </c>
      <c r="AR33" s="447" t="e">
        <f>L26*$E$8/$G$8</f>
        <v>#REF!</v>
      </c>
      <c r="AS33" s="20" t="e">
        <f t="shared" si="12"/>
        <v>#REF!</v>
      </c>
      <c r="AT33" s="20" t="e">
        <f t="shared" si="12"/>
        <v>#REF!</v>
      </c>
      <c r="AU33" s="20" t="e">
        <f t="shared" si="12"/>
        <v>#REF!</v>
      </c>
      <c r="AV33" s="20" t="e">
        <f t="shared" si="12"/>
        <v>#REF!</v>
      </c>
      <c r="AW33" s="20" t="e">
        <f t="shared" si="12"/>
        <v>#REF!</v>
      </c>
      <c r="AX33" s="20" t="e">
        <f t="shared" si="12"/>
        <v>#REF!</v>
      </c>
      <c r="AY33" s="20" t="e">
        <f t="shared" si="12"/>
        <v>#REF!</v>
      </c>
      <c r="AZ33" s="444" t="e">
        <f t="shared" si="21"/>
        <v>#REF!</v>
      </c>
      <c r="BA33" s="444"/>
      <c r="BB33" s="20" t="s">
        <v>972</v>
      </c>
      <c r="BC33" s="447" t="e">
        <f>L26*$F$8/$G$8</f>
        <v>#REF!</v>
      </c>
      <c r="BD33" s="20" t="e">
        <f t="shared" si="13"/>
        <v>#REF!</v>
      </c>
      <c r="BE33" s="20" t="e">
        <f t="shared" si="13"/>
        <v>#REF!</v>
      </c>
      <c r="BF33" s="20" t="e">
        <f t="shared" si="13"/>
        <v>#REF!</v>
      </c>
      <c r="BG33" s="20" t="e">
        <f t="shared" si="13"/>
        <v>#REF!</v>
      </c>
      <c r="BH33" s="20" t="e">
        <f t="shared" si="13"/>
        <v>#REF!</v>
      </c>
      <c r="BI33" s="20" t="e">
        <f t="shared" si="13"/>
        <v>#REF!</v>
      </c>
      <c r="BJ33" s="20" t="e">
        <f t="shared" si="13"/>
        <v>#REF!</v>
      </c>
      <c r="BK33" s="444" t="e">
        <f t="shared" si="22"/>
        <v>#REF!</v>
      </c>
    </row>
    <row r="34" spans="1:63" s="20" customFormat="1">
      <c r="A34" s="446"/>
    </row>
    <row r="35" spans="1:63" s="20" customFormat="1">
      <c r="A35" s="446"/>
    </row>
    <row r="36" spans="1:63" s="20" customFormat="1">
      <c r="A36" s="446"/>
    </row>
    <row r="37" spans="1:63" s="24" customFormat="1" ht="25.5">
      <c r="A37" s="448" t="s">
        <v>1470</v>
      </c>
      <c r="B37" s="24" t="s">
        <v>1464</v>
      </c>
      <c r="C37" s="24" t="s">
        <v>1465</v>
      </c>
      <c r="D37" s="24" t="s">
        <v>1466</v>
      </c>
      <c r="E37" s="24" t="s">
        <v>1271</v>
      </c>
      <c r="F37" s="24" t="s">
        <v>1467</v>
      </c>
      <c r="G37" s="24" t="s">
        <v>1468</v>
      </c>
      <c r="H37" s="24" t="s">
        <v>1469</v>
      </c>
      <c r="I37" s="24" t="s">
        <v>1178</v>
      </c>
      <c r="L37" s="451" t="s">
        <v>617</v>
      </c>
      <c r="M37" s="24" t="s">
        <v>1464</v>
      </c>
      <c r="N37" s="24" t="s">
        <v>1465</v>
      </c>
      <c r="O37" s="24" t="s">
        <v>1466</v>
      </c>
      <c r="P37" s="24" t="s">
        <v>1271</v>
      </c>
      <c r="Q37" s="24" t="s">
        <v>1467</v>
      </c>
      <c r="R37" s="24" t="s">
        <v>1468</v>
      </c>
      <c r="S37" s="24" t="s">
        <v>1469</v>
      </c>
      <c r="V37" s="451" t="s">
        <v>618</v>
      </c>
      <c r="W37" s="24" t="s">
        <v>1464</v>
      </c>
      <c r="X37" s="24" t="s">
        <v>1465</v>
      </c>
      <c r="Y37" s="24" t="s">
        <v>1466</v>
      </c>
      <c r="Z37" s="24" t="s">
        <v>1271</v>
      </c>
      <c r="AA37" s="24" t="s">
        <v>1467</v>
      </c>
      <c r="AB37" s="24" t="s">
        <v>1468</v>
      </c>
      <c r="AC37" s="24" t="s">
        <v>1469</v>
      </c>
      <c r="AG37" s="451" t="s">
        <v>619</v>
      </c>
      <c r="AH37" s="24" t="s">
        <v>1464</v>
      </c>
      <c r="AI37" s="24" t="s">
        <v>1465</v>
      </c>
      <c r="AJ37" s="24" t="s">
        <v>1466</v>
      </c>
      <c r="AK37" s="24" t="s">
        <v>1271</v>
      </c>
      <c r="AL37" s="24" t="s">
        <v>1467</v>
      </c>
      <c r="AM37" s="24" t="s">
        <v>1468</v>
      </c>
      <c r="AN37" s="24" t="s">
        <v>1469</v>
      </c>
      <c r="AR37" s="451" t="s">
        <v>620</v>
      </c>
      <c r="AS37" s="24" t="s">
        <v>1464</v>
      </c>
      <c r="AT37" s="24" t="s">
        <v>1465</v>
      </c>
      <c r="AU37" s="24" t="s">
        <v>1466</v>
      </c>
      <c r="AV37" s="24" t="s">
        <v>1271</v>
      </c>
      <c r="AW37" s="24" t="s">
        <v>1467</v>
      </c>
      <c r="AX37" s="24" t="s">
        <v>1468</v>
      </c>
      <c r="AY37" s="24" t="s">
        <v>1469</v>
      </c>
      <c r="BC37" s="451" t="s">
        <v>621</v>
      </c>
      <c r="BD37" s="24" t="s">
        <v>1464</v>
      </c>
      <c r="BE37" s="24" t="s">
        <v>1465</v>
      </c>
      <c r="BF37" s="24" t="s">
        <v>1466</v>
      </c>
      <c r="BG37" s="24" t="s">
        <v>1271</v>
      </c>
      <c r="BH37" s="24" t="s">
        <v>1467</v>
      </c>
      <c r="BI37" s="24" t="s">
        <v>1468</v>
      </c>
      <c r="BJ37" s="24" t="s">
        <v>1469</v>
      </c>
    </row>
    <row r="38" spans="1:63" s="20" customFormat="1" ht="14.5">
      <c r="A38" s="446" t="s">
        <v>512</v>
      </c>
      <c r="B38" s="20">
        <f>'Dmd Share'!L60</f>
        <v>7.4748038029163535E-2</v>
      </c>
      <c r="C38" s="20">
        <f>'Dmd Share'!M60</f>
        <v>2.04769949876057E-2</v>
      </c>
      <c r="D38" s="20">
        <f>'Dmd Share'!N60</f>
        <v>0.15335844345926397</v>
      </c>
      <c r="E38" s="20">
        <f>'Dmd Share'!O60</f>
        <v>0.29200981820216398</v>
      </c>
      <c r="F38" s="20">
        <f>'Dmd Share'!P60</f>
        <v>0.45940670532180278</v>
      </c>
      <c r="G38" s="20">
        <f>'Dmd Share'!Q60</f>
        <v>0</v>
      </c>
      <c r="H38" s="20">
        <f>'Dmd Share'!R60</f>
        <v>0</v>
      </c>
      <c r="I38" s="20">
        <f>SUM(B38:H38)</f>
        <v>1</v>
      </c>
      <c r="K38" s="20" t="s">
        <v>512</v>
      </c>
      <c r="L38" s="447" t="e">
        <f>M24*$B$9/$G$9</f>
        <v>#REF!</v>
      </c>
      <c r="M38" s="20" t="e">
        <f>$L$38*B38</f>
        <v>#REF!</v>
      </c>
      <c r="N38" s="20" t="e">
        <f t="shared" ref="N38:S38" si="23">$L$38*C38</f>
        <v>#REF!</v>
      </c>
      <c r="O38" s="20" t="e">
        <f t="shared" si="23"/>
        <v>#REF!</v>
      </c>
      <c r="P38" s="20" t="e">
        <f t="shared" si="23"/>
        <v>#REF!</v>
      </c>
      <c r="Q38" s="20" t="e">
        <f t="shared" si="23"/>
        <v>#REF!</v>
      </c>
      <c r="R38" s="20" t="e">
        <f t="shared" si="23"/>
        <v>#REF!</v>
      </c>
      <c r="S38" s="20" t="e">
        <f t="shared" si="23"/>
        <v>#REF!</v>
      </c>
      <c r="T38" s="444" t="e">
        <f>L38-SUM(M38:S38)</f>
        <v>#REF!</v>
      </c>
      <c r="U38" s="20" t="s">
        <v>512</v>
      </c>
      <c r="V38" s="447" t="e">
        <f>M24*$C$9/$G$9</f>
        <v>#REF!</v>
      </c>
      <c r="W38" s="20" t="e">
        <f>$V$38*B38</f>
        <v>#REF!</v>
      </c>
      <c r="X38" s="20" t="e">
        <f t="shared" ref="X38:AC38" si="24">$V$38*C38</f>
        <v>#REF!</v>
      </c>
      <c r="Y38" s="20" t="e">
        <f t="shared" si="24"/>
        <v>#REF!</v>
      </c>
      <c r="Z38" s="20" t="e">
        <f t="shared" si="24"/>
        <v>#REF!</v>
      </c>
      <c r="AA38" s="20" t="e">
        <f t="shared" si="24"/>
        <v>#REF!</v>
      </c>
      <c r="AB38" s="20" t="e">
        <f t="shared" si="24"/>
        <v>#REF!</v>
      </c>
      <c r="AC38" s="20" t="e">
        <f t="shared" si="24"/>
        <v>#REF!</v>
      </c>
      <c r="AD38" s="444" t="e">
        <f>V38-SUM(W38:AC38)</f>
        <v>#REF!</v>
      </c>
      <c r="AF38" s="20" t="s">
        <v>512</v>
      </c>
      <c r="AG38" s="447" t="e">
        <f>M24*$D$9/$G$9</f>
        <v>#REF!</v>
      </c>
      <c r="AH38" s="20" t="e">
        <f t="shared" ref="AH38:AN38" si="25">$AG$38*B38</f>
        <v>#REF!</v>
      </c>
      <c r="AI38" s="20" t="e">
        <f t="shared" si="25"/>
        <v>#REF!</v>
      </c>
      <c r="AJ38" s="20" t="e">
        <f t="shared" si="25"/>
        <v>#REF!</v>
      </c>
      <c r="AK38" s="20" t="e">
        <f t="shared" si="25"/>
        <v>#REF!</v>
      </c>
      <c r="AL38" s="20" t="e">
        <f t="shared" si="25"/>
        <v>#REF!</v>
      </c>
      <c r="AM38" s="20" t="e">
        <f t="shared" si="25"/>
        <v>#REF!</v>
      </c>
      <c r="AN38" s="20" t="e">
        <f t="shared" si="25"/>
        <v>#REF!</v>
      </c>
      <c r="AO38" s="444" t="e">
        <f>AG38-SUM(AH38:AN38)</f>
        <v>#REF!</v>
      </c>
      <c r="AP38" s="444"/>
      <c r="AQ38" s="20" t="s">
        <v>512</v>
      </c>
      <c r="AR38" s="447" t="e">
        <f>M24*$E$9/$G$9</f>
        <v>#REF!</v>
      </c>
      <c r="AS38" s="20" t="e">
        <f t="shared" ref="AS38:AY38" si="26">$AR$38*B38</f>
        <v>#REF!</v>
      </c>
      <c r="AT38" s="20" t="e">
        <f t="shared" si="26"/>
        <v>#REF!</v>
      </c>
      <c r="AU38" s="20" t="e">
        <f t="shared" si="26"/>
        <v>#REF!</v>
      </c>
      <c r="AV38" s="20" t="e">
        <f t="shared" si="26"/>
        <v>#REF!</v>
      </c>
      <c r="AW38" s="20" t="e">
        <f t="shared" si="26"/>
        <v>#REF!</v>
      </c>
      <c r="AX38" s="20" t="e">
        <f t="shared" si="26"/>
        <v>#REF!</v>
      </c>
      <c r="AY38" s="20" t="e">
        <f t="shared" si="26"/>
        <v>#REF!</v>
      </c>
      <c r="AZ38" s="444" t="e">
        <f>AR38-SUM(AS38:AY38)</f>
        <v>#REF!</v>
      </c>
      <c r="BA38" s="444"/>
      <c r="BB38" s="20" t="s">
        <v>512</v>
      </c>
      <c r="BC38" s="447" t="e">
        <f>M24*$F$9/$G$9</f>
        <v>#REF!</v>
      </c>
      <c r="BD38" s="20" t="e">
        <f>$BC$38*B38</f>
        <v>#REF!</v>
      </c>
      <c r="BE38" s="20" t="e">
        <f t="shared" ref="BE38:BJ38" si="27">$BC$38*C38</f>
        <v>#REF!</v>
      </c>
      <c r="BF38" s="20" t="e">
        <f t="shared" si="27"/>
        <v>#REF!</v>
      </c>
      <c r="BG38" s="20" t="e">
        <f t="shared" si="27"/>
        <v>#REF!</v>
      </c>
      <c r="BH38" s="20" t="e">
        <f t="shared" si="27"/>
        <v>#REF!</v>
      </c>
      <c r="BI38" s="20" t="e">
        <f t="shared" si="27"/>
        <v>#REF!</v>
      </c>
      <c r="BJ38" s="20" t="e">
        <f t="shared" si="27"/>
        <v>#REF!</v>
      </c>
      <c r="BK38" s="444" t="e">
        <f>BC38-SUM(BD38:BJ38)</f>
        <v>#REF!</v>
      </c>
    </row>
    <row r="39" spans="1:63" s="20" customFormat="1" ht="14.5">
      <c r="A39" s="446" t="s">
        <v>947</v>
      </c>
      <c r="B39" s="20">
        <f>'Dmd Share'!L61</f>
        <v>0.65304609815200565</v>
      </c>
      <c r="C39" s="20">
        <f>'Dmd Share'!M61</f>
        <v>0.31373139477858397</v>
      </c>
      <c r="D39" s="20">
        <f>'Dmd Share'!N61</f>
        <v>1.0806445391344524E-2</v>
      </c>
      <c r="E39" s="20">
        <f>'Dmd Share'!O61</f>
        <v>0</v>
      </c>
      <c r="F39" s="20">
        <f>'Dmd Share'!P61</f>
        <v>0</v>
      </c>
      <c r="G39" s="20">
        <f>'Dmd Share'!Q61</f>
        <v>0</v>
      </c>
      <c r="H39" s="20">
        <f>'Dmd Share'!R61</f>
        <v>2.2416061678065903E-2</v>
      </c>
      <c r="I39" s="20">
        <f t="shared" ref="I39:I40" si="28">SUM(B39:H39)</f>
        <v>1.0000000000000002</v>
      </c>
      <c r="K39" s="20" t="s">
        <v>947</v>
      </c>
      <c r="L39" s="447" t="e">
        <f t="shared" ref="L39:L40" si="29">M25*$B$9/$G$9</f>
        <v>#REF!</v>
      </c>
      <c r="M39" s="20" t="e">
        <f>$L$39*B39</f>
        <v>#REF!</v>
      </c>
      <c r="N39" s="20" t="e">
        <f t="shared" ref="N39:S39" si="30">$L$39*C39</f>
        <v>#REF!</v>
      </c>
      <c r="O39" s="20" t="e">
        <f t="shared" si="30"/>
        <v>#REF!</v>
      </c>
      <c r="P39" s="20" t="e">
        <f t="shared" si="30"/>
        <v>#REF!</v>
      </c>
      <c r="Q39" s="20" t="e">
        <f t="shared" si="30"/>
        <v>#REF!</v>
      </c>
      <c r="R39" s="20" t="e">
        <f t="shared" si="30"/>
        <v>#REF!</v>
      </c>
      <c r="S39" s="20" t="e">
        <f t="shared" si="30"/>
        <v>#REF!</v>
      </c>
      <c r="T39" s="444" t="e">
        <f t="shared" ref="T39:T40" si="31">L39-SUM(M39:S39)</f>
        <v>#REF!</v>
      </c>
      <c r="U39" s="20" t="s">
        <v>947</v>
      </c>
      <c r="V39" s="447" t="e">
        <f t="shared" ref="V39:V40" si="32">M25*$C$9/$G$9</f>
        <v>#REF!</v>
      </c>
      <c r="W39" s="20" t="e">
        <f>$V$39*B39</f>
        <v>#REF!</v>
      </c>
      <c r="X39" s="20" t="e">
        <f t="shared" ref="X39:AC39" si="33">$V$39*C39</f>
        <v>#REF!</v>
      </c>
      <c r="Y39" s="20" t="e">
        <f t="shared" si="33"/>
        <v>#REF!</v>
      </c>
      <c r="Z39" s="20" t="e">
        <f t="shared" si="33"/>
        <v>#REF!</v>
      </c>
      <c r="AA39" s="20" t="e">
        <f t="shared" si="33"/>
        <v>#REF!</v>
      </c>
      <c r="AB39" s="20" t="e">
        <f t="shared" si="33"/>
        <v>#REF!</v>
      </c>
      <c r="AC39" s="20" t="e">
        <f t="shared" si="33"/>
        <v>#REF!</v>
      </c>
      <c r="AD39" s="444" t="e">
        <f t="shared" ref="AD39:AD40" si="34">V39-SUM(W39:AC39)</f>
        <v>#REF!</v>
      </c>
      <c r="AF39" s="20" t="s">
        <v>947</v>
      </c>
      <c r="AG39" s="447" t="e">
        <f t="shared" ref="AG39:AG40" si="35">M25*$D$9/$G$9</f>
        <v>#REF!</v>
      </c>
      <c r="AH39" s="20" t="e">
        <f t="shared" ref="AH39:AN39" si="36">$AG$39*B39</f>
        <v>#REF!</v>
      </c>
      <c r="AI39" s="20" t="e">
        <f t="shared" si="36"/>
        <v>#REF!</v>
      </c>
      <c r="AJ39" s="20" t="e">
        <f t="shared" si="36"/>
        <v>#REF!</v>
      </c>
      <c r="AK39" s="20" t="e">
        <f t="shared" si="36"/>
        <v>#REF!</v>
      </c>
      <c r="AL39" s="20" t="e">
        <f t="shared" si="36"/>
        <v>#REF!</v>
      </c>
      <c r="AM39" s="20" t="e">
        <f t="shared" si="36"/>
        <v>#REF!</v>
      </c>
      <c r="AN39" s="20" t="e">
        <f t="shared" si="36"/>
        <v>#REF!</v>
      </c>
      <c r="AO39" s="444" t="e">
        <f t="shared" ref="AO39:AO40" si="37">AG39-SUM(AH39:AN39)</f>
        <v>#REF!</v>
      </c>
      <c r="AP39" s="444"/>
      <c r="AQ39" s="20" t="s">
        <v>947</v>
      </c>
      <c r="AR39" s="447" t="e">
        <f t="shared" ref="AR39:AR40" si="38">M25*$E$9/$G$9</f>
        <v>#REF!</v>
      </c>
      <c r="AS39" s="20" t="e">
        <f t="shared" ref="AS39:AY39" si="39">$AR$39*B39</f>
        <v>#REF!</v>
      </c>
      <c r="AT39" s="20" t="e">
        <f t="shared" si="39"/>
        <v>#REF!</v>
      </c>
      <c r="AU39" s="20" t="e">
        <f t="shared" si="39"/>
        <v>#REF!</v>
      </c>
      <c r="AV39" s="20" t="e">
        <f t="shared" si="39"/>
        <v>#REF!</v>
      </c>
      <c r="AW39" s="20" t="e">
        <f t="shared" si="39"/>
        <v>#REF!</v>
      </c>
      <c r="AX39" s="20" t="e">
        <f t="shared" si="39"/>
        <v>#REF!</v>
      </c>
      <c r="AY39" s="20" t="e">
        <f t="shared" si="39"/>
        <v>#REF!</v>
      </c>
      <c r="AZ39" s="444" t="e">
        <f t="shared" ref="AZ39:AZ40" si="40">AR39-SUM(AS39:AY39)</f>
        <v>#REF!</v>
      </c>
      <c r="BA39" s="444"/>
      <c r="BB39" s="20" t="s">
        <v>947</v>
      </c>
      <c r="BC39" s="447" t="e">
        <f t="shared" ref="BC39:BC40" si="41">M25*$F$9/$G$9</f>
        <v>#REF!</v>
      </c>
      <c r="BD39" s="20" t="e">
        <f>$BC$39*B39</f>
        <v>#REF!</v>
      </c>
      <c r="BE39" s="20" t="e">
        <f t="shared" ref="BE39:BJ39" si="42">$BC$39*C39</f>
        <v>#REF!</v>
      </c>
      <c r="BF39" s="20" t="e">
        <f t="shared" si="42"/>
        <v>#REF!</v>
      </c>
      <c r="BG39" s="20" t="e">
        <f t="shared" si="42"/>
        <v>#REF!</v>
      </c>
      <c r="BH39" s="20" t="e">
        <f t="shared" si="42"/>
        <v>#REF!</v>
      </c>
      <c r="BI39" s="20" t="e">
        <f t="shared" si="42"/>
        <v>#REF!</v>
      </c>
      <c r="BJ39" s="20" t="e">
        <f t="shared" si="42"/>
        <v>#REF!</v>
      </c>
      <c r="BK39" s="444" t="e">
        <f t="shared" ref="BK39:BK40" si="43">BC39-SUM(BD39:BJ39)</f>
        <v>#REF!</v>
      </c>
    </row>
    <row r="40" spans="1:63" s="20" customFormat="1" ht="14.5">
      <c r="A40" s="446" t="s">
        <v>972</v>
      </c>
      <c r="B40" s="20">
        <f>'Dmd Share'!L62</f>
        <v>0.72947883706561245</v>
      </c>
      <c r="C40" s="20">
        <f>'Dmd Share'!M62</f>
        <v>0.26472305670086194</v>
      </c>
      <c r="D40" s="20">
        <f>'Dmd Share'!N62</f>
        <v>5.79760579182486E-3</v>
      </c>
      <c r="E40" s="20">
        <f>'Dmd Share'!O62</f>
        <v>0</v>
      </c>
      <c r="F40" s="20">
        <f>'Dmd Share'!P62</f>
        <v>0</v>
      </c>
      <c r="G40" s="20">
        <f>'Dmd Share'!Q62</f>
        <v>5.0044170079205836E-7</v>
      </c>
      <c r="H40" s="20">
        <f>'Dmd Share'!R62</f>
        <v>0</v>
      </c>
      <c r="I40" s="20">
        <f t="shared" si="28"/>
        <v>1</v>
      </c>
      <c r="K40" s="20" t="s">
        <v>972</v>
      </c>
      <c r="L40" s="447" t="e">
        <f t="shared" si="29"/>
        <v>#REF!</v>
      </c>
      <c r="M40" s="20" t="e">
        <f>$L$40*B40</f>
        <v>#REF!</v>
      </c>
      <c r="N40" s="20" t="e">
        <f t="shared" ref="N40:S40" si="44">$L$40*C40</f>
        <v>#REF!</v>
      </c>
      <c r="O40" s="20" t="e">
        <f t="shared" si="44"/>
        <v>#REF!</v>
      </c>
      <c r="P40" s="20" t="e">
        <f t="shared" si="44"/>
        <v>#REF!</v>
      </c>
      <c r="Q40" s="20" t="e">
        <f t="shared" si="44"/>
        <v>#REF!</v>
      </c>
      <c r="R40" s="20" t="e">
        <f t="shared" si="44"/>
        <v>#REF!</v>
      </c>
      <c r="S40" s="20" t="e">
        <f t="shared" si="44"/>
        <v>#REF!</v>
      </c>
      <c r="T40" s="444" t="e">
        <f t="shared" si="31"/>
        <v>#REF!</v>
      </c>
      <c r="U40" s="20" t="s">
        <v>972</v>
      </c>
      <c r="V40" s="447" t="e">
        <f t="shared" si="32"/>
        <v>#REF!</v>
      </c>
      <c r="W40" s="20" t="e">
        <f>$V$40*B40</f>
        <v>#REF!</v>
      </c>
      <c r="X40" s="20" t="e">
        <f t="shared" ref="X40:AC40" si="45">$V$40*C40</f>
        <v>#REF!</v>
      </c>
      <c r="Y40" s="20" t="e">
        <f t="shared" si="45"/>
        <v>#REF!</v>
      </c>
      <c r="Z40" s="20" t="e">
        <f t="shared" si="45"/>
        <v>#REF!</v>
      </c>
      <c r="AA40" s="20" t="e">
        <f t="shared" si="45"/>
        <v>#REF!</v>
      </c>
      <c r="AB40" s="20" t="e">
        <f t="shared" si="45"/>
        <v>#REF!</v>
      </c>
      <c r="AC40" s="20" t="e">
        <f t="shared" si="45"/>
        <v>#REF!</v>
      </c>
      <c r="AD40" s="444" t="e">
        <f t="shared" si="34"/>
        <v>#REF!</v>
      </c>
      <c r="AF40" s="20" t="s">
        <v>972</v>
      </c>
      <c r="AG40" s="447" t="e">
        <f t="shared" si="35"/>
        <v>#REF!</v>
      </c>
      <c r="AH40" s="20" t="e">
        <f t="shared" ref="AH40:AN40" si="46">$AG$40*B40</f>
        <v>#REF!</v>
      </c>
      <c r="AI40" s="20" t="e">
        <f t="shared" si="46"/>
        <v>#REF!</v>
      </c>
      <c r="AJ40" s="20" t="e">
        <f t="shared" si="46"/>
        <v>#REF!</v>
      </c>
      <c r="AK40" s="20" t="e">
        <f t="shared" si="46"/>
        <v>#REF!</v>
      </c>
      <c r="AL40" s="20" t="e">
        <f t="shared" si="46"/>
        <v>#REF!</v>
      </c>
      <c r="AM40" s="20" t="e">
        <f t="shared" si="46"/>
        <v>#REF!</v>
      </c>
      <c r="AN40" s="20" t="e">
        <f t="shared" si="46"/>
        <v>#REF!</v>
      </c>
      <c r="AO40" s="444" t="e">
        <f t="shared" si="37"/>
        <v>#REF!</v>
      </c>
      <c r="AP40" s="444"/>
      <c r="AQ40" s="20" t="s">
        <v>972</v>
      </c>
      <c r="AR40" s="447" t="e">
        <f t="shared" si="38"/>
        <v>#REF!</v>
      </c>
      <c r="AS40" s="20" t="e">
        <f t="shared" ref="AS40:AY40" si="47">$AR$40*B40</f>
        <v>#REF!</v>
      </c>
      <c r="AT40" s="20" t="e">
        <f t="shared" si="47"/>
        <v>#REF!</v>
      </c>
      <c r="AU40" s="20" t="e">
        <f t="shared" si="47"/>
        <v>#REF!</v>
      </c>
      <c r="AV40" s="20" t="e">
        <f t="shared" si="47"/>
        <v>#REF!</v>
      </c>
      <c r="AW40" s="20" t="e">
        <f t="shared" si="47"/>
        <v>#REF!</v>
      </c>
      <c r="AX40" s="20" t="e">
        <f t="shared" si="47"/>
        <v>#REF!</v>
      </c>
      <c r="AY40" s="20" t="e">
        <f t="shared" si="47"/>
        <v>#REF!</v>
      </c>
      <c r="AZ40" s="444" t="e">
        <f t="shared" si="40"/>
        <v>#REF!</v>
      </c>
      <c r="BA40" s="444"/>
      <c r="BB40" s="20" t="s">
        <v>972</v>
      </c>
      <c r="BC40" s="447" t="e">
        <f t="shared" si="41"/>
        <v>#REF!</v>
      </c>
      <c r="BD40" s="20" t="e">
        <f>$BC$40*B40</f>
        <v>#REF!</v>
      </c>
      <c r="BE40" s="20" t="e">
        <f t="shared" ref="BE40:BJ40" si="48">$BC$40*C40</f>
        <v>#REF!</v>
      </c>
      <c r="BF40" s="20" t="e">
        <f t="shared" si="48"/>
        <v>#REF!</v>
      </c>
      <c r="BG40" s="20" t="e">
        <f t="shared" si="48"/>
        <v>#REF!</v>
      </c>
      <c r="BH40" s="20" t="e">
        <f t="shared" si="48"/>
        <v>#REF!</v>
      </c>
      <c r="BI40" s="20" t="e">
        <f t="shared" si="48"/>
        <v>#REF!</v>
      </c>
      <c r="BJ40" s="20" t="e">
        <f t="shared" si="48"/>
        <v>#REF!</v>
      </c>
      <c r="BK40" s="444" t="e">
        <f t="shared" si="43"/>
        <v>#REF!</v>
      </c>
    </row>
    <row r="41" spans="1:63" s="20" customFormat="1">
      <c r="A41" s="446"/>
    </row>
    <row r="42" spans="1:63">
      <c r="A42" s="449"/>
    </row>
    <row r="43" spans="1:63">
      <c r="F43" s="20"/>
    </row>
    <row r="44" spans="1:63">
      <c r="J44" s="450"/>
    </row>
    <row r="45" spans="1:63">
      <c r="B45" s="20" t="e">
        <f>B47+B52+B57+B62+B67+B72</f>
        <v>#REF!</v>
      </c>
      <c r="J45" s="450"/>
      <c r="Q45" s="396" t="s">
        <v>1458</v>
      </c>
      <c r="R45" s="396" t="s">
        <v>923</v>
      </c>
      <c r="S45" s="396" t="s">
        <v>924</v>
      </c>
      <c r="T45" s="396" t="s">
        <v>926</v>
      </c>
      <c r="U45" s="396" t="s">
        <v>925</v>
      </c>
    </row>
    <row r="46" spans="1:63" ht="13">
      <c r="A46" s="396"/>
      <c r="B46" s="451" t="s">
        <v>617</v>
      </c>
      <c r="C46" s="396" t="s">
        <v>1464</v>
      </c>
      <c r="D46" s="24" t="s">
        <v>1465</v>
      </c>
      <c r="E46" s="24" t="s">
        <v>1466</v>
      </c>
      <c r="F46" s="24" t="s">
        <v>1271</v>
      </c>
      <c r="G46" s="24" t="s">
        <v>1467</v>
      </c>
      <c r="H46" s="24" t="s">
        <v>1468</v>
      </c>
      <c r="I46" s="396" t="s">
        <v>1469</v>
      </c>
      <c r="J46" s="450"/>
      <c r="O46" s="20"/>
      <c r="P46" s="651" t="s">
        <v>1471</v>
      </c>
      <c r="Q46" s="185" t="e">
        <f>F47/$F$72</f>
        <v>#REF!</v>
      </c>
      <c r="R46" s="185" t="e">
        <f>F52/$F$72</f>
        <v>#REF!</v>
      </c>
      <c r="S46" s="185" t="e">
        <f>F57/$F$72</f>
        <v>#REF!</v>
      </c>
      <c r="T46" s="185" t="e">
        <f>F62/$F$72</f>
        <v>#REF!</v>
      </c>
      <c r="U46" s="185" t="e">
        <f>F67/$F$72</f>
        <v>#REF!</v>
      </c>
      <c r="V46" s="651"/>
    </row>
    <row r="47" spans="1:63" ht="14.5">
      <c r="A47" s="395" t="s">
        <v>512</v>
      </c>
      <c r="B47" s="516" t="e">
        <f>SUM(C47:I47)</f>
        <v>#REF!</v>
      </c>
      <c r="C47" s="516" t="e">
        <f>M31+M38</f>
        <v>#REF!</v>
      </c>
      <c r="D47" s="516" t="e">
        <f t="shared" ref="D47:I49" si="49">N31+N38</f>
        <v>#REF!</v>
      </c>
      <c r="E47" s="516" t="e">
        <f t="shared" si="49"/>
        <v>#REF!</v>
      </c>
      <c r="F47" s="516" t="e">
        <f t="shared" si="49"/>
        <v>#REF!</v>
      </c>
      <c r="G47" s="516" t="e">
        <f t="shared" si="49"/>
        <v>#REF!</v>
      </c>
      <c r="H47" s="516" t="e">
        <f t="shared" si="49"/>
        <v>#REF!</v>
      </c>
      <c r="I47" s="516" t="e">
        <f t="shared" si="49"/>
        <v>#REF!</v>
      </c>
      <c r="J47" s="444" t="e">
        <f>B47+B52+B57+B62+B67-L24-M24</f>
        <v>#REF!</v>
      </c>
      <c r="N47" s="363"/>
      <c r="O47" s="20"/>
      <c r="P47" s="651" t="s">
        <v>1472</v>
      </c>
      <c r="Q47" s="185">
        <f>ResCalc!E67/ResCalc!$E$75</f>
        <v>0.30972066662266767</v>
      </c>
      <c r="R47" s="185">
        <f>ResCalc!E68/ResCalc!E75</f>
        <v>0.1680421186263015</v>
      </c>
      <c r="S47" s="185">
        <f>ResCalc!E69/ResCalc!E75</f>
        <v>0.19239904671133851</v>
      </c>
      <c r="T47" s="185">
        <f>ResCalc!E71/ResCalc!E75</f>
        <v>0.27297156827728641</v>
      </c>
      <c r="U47" s="185">
        <f>ResCalc!E70/ResCalc!E75</f>
        <v>5.6866599762405753E-2</v>
      </c>
      <c r="V47" s="651"/>
    </row>
    <row r="48" spans="1:63" ht="14.5">
      <c r="A48" s="395" t="s">
        <v>947</v>
      </c>
      <c r="B48" s="516" t="e">
        <f t="shared" ref="B48:B49" si="50">SUM(C48:I48)</f>
        <v>#REF!</v>
      </c>
      <c r="C48" s="516" t="e">
        <f t="shared" ref="C48:C49" si="51">M32+M39</f>
        <v>#REF!</v>
      </c>
      <c r="D48" s="516" t="e">
        <f t="shared" si="49"/>
        <v>#REF!</v>
      </c>
      <c r="E48" s="516" t="e">
        <f t="shared" si="49"/>
        <v>#REF!</v>
      </c>
      <c r="F48" s="516" t="e">
        <f t="shared" si="49"/>
        <v>#REF!</v>
      </c>
      <c r="G48" s="516" t="e">
        <f t="shared" si="49"/>
        <v>#REF!</v>
      </c>
      <c r="H48" s="516" t="e">
        <f t="shared" si="49"/>
        <v>#REF!</v>
      </c>
      <c r="I48" s="516" t="e">
        <f t="shared" si="49"/>
        <v>#REF!</v>
      </c>
      <c r="J48" s="444" t="e">
        <f>B48+B53+B58+B63+B68-L25-M25</f>
        <v>#REF!</v>
      </c>
      <c r="K48" s="20"/>
      <c r="M48" s="21"/>
      <c r="N48" s="21"/>
      <c r="Q48" s="20" t="e">
        <f>Q46/Q47</f>
        <v>#REF!</v>
      </c>
      <c r="R48" s="20" t="e">
        <f t="shared" ref="R48:U48" si="52">R46/R47</f>
        <v>#REF!</v>
      </c>
      <c r="S48" s="20" t="e">
        <f t="shared" si="52"/>
        <v>#REF!</v>
      </c>
      <c r="T48" s="20" t="e">
        <f t="shared" si="52"/>
        <v>#REF!</v>
      </c>
      <c r="U48" s="20" t="e">
        <f t="shared" si="52"/>
        <v>#REF!</v>
      </c>
      <c r="V48" s="351" t="e">
        <f>SUM(Q48:U48)</f>
        <v>#REF!</v>
      </c>
    </row>
    <row r="49" spans="1:22" ht="14.5">
      <c r="A49" s="395" t="s">
        <v>972</v>
      </c>
      <c r="B49" s="516" t="e">
        <f t="shared" si="50"/>
        <v>#REF!</v>
      </c>
      <c r="C49" s="516" t="e">
        <f t="shared" si="51"/>
        <v>#REF!</v>
      </c>
      <c r="D49" s="516" t="e">
        <f t="shared" si="49"/>
        <v>#REF!</v>
      </c>
      <c r="E49" s="516" t="e">
        <f t="shared" si="49"/>
        <v>#REF!</v>
      </c>
      <c r="F49" s="516" t="e">
        <f t="shared" si="49"/>
        <v>#REF!</v>
      </c>
      <c r="G49" s="516" t="e">
        <f t="shared" si="49"/>
        <v>#REF!</v>
      </c>
      <c r="H49" s="516" t="e">
        <f t="shared" si="49"/>
        <v>#REF!</v>
      </c>
      <c r="I49" s="516" t="e">
        <f t="shared" si="49"/>
        <v>#REF!</v>
      </c>
      <c r="J49" s="444" t="e">
        <f>B49+B54+B59+B64+B69-L26-M26</f>
        <v>#REF!</v>
      </c>
      <c r="K49" s="20"/>
      <c r="M49" s="21"/>
      <c r="N49" s="21"/>
      <c r="P49" s="453" t="s">
        <v>1473</v>
      </c>
      <c r="Q49" s="185" t="e">
        <f>Q48</f>
        <v>#REF!</v>
      </c>
      <c r="R49" s="185" t="e">
        <f t="shared" ref="R49:U49" si="53">R48</f>
        <v>#REF!</v>
      </c>
      <c r="S49" s="185" t="e">
        <f t="shared" si="53"/>
        <v>#REF!</v>
      </c>
      <c r="T49" s="185" t="e">
        <f t="shared" si="53"/>
        <v>#REF!</v>
      </c>
      <c r="U49" s="185" t="e">
        <f t="shared" si="53"/>
        <v>#REF!</v>
      </c>
      <c r="V49" s="651"/>
    </row>
    <row r="50" spans="1:22">
      <c r="B50" s="20"/>
      <c r="C50" s="20" t="e">
        <f>SUM(C47:C49)</f>
        <v>#REF!</v>
      </c>
      <c r="D50" s="20" t="e">
        <f t="shared" ref="D50:I50" si="54">SUM(D47:D49)</f>
        <v>#REF!</v>
      </c>
      <c r="E50" s="20" t="e">
        <f t="shared" si="54"/>
        <v>#REF!</v>
      </c>
      <c r="F50" s="20" t="e">
        <f t="shared" si="54"/>
        <v>#REF!</v>
      </c>
      <c r="G50" s="20" t="e">
        <f t="shared" si="54"/>
        <v>#REF!</v>
      </c>
      <c r="H50" s="20" t="e">
        <f t="shared" si="54"/>
        <v>#REF!</v>
      </c>
      <c r="I50" s="20" t="e">
        <f t="shared" si="54"/>
        <v>#REF!</v>
      </c>
      <c r="J50" s="20"/>
      <c r="K50" s="20"/>
      <c r="M50" s="21"/>
      <c r="N50" s="21"/>
      <c r="O50" s="21"/>
      <c r="P50" s="21"/>
      <c r="Q50" s="651"/>
      <c r="R50" s="651"/>
      <c r="S50" s="651"/>
      <c r="T50" s="651"/>
      <c r="U50" s="651"/>
      <c r="V50" s="651"/>
    </row>
    <row r="51" spans="1:22" ht="13">
      <c r="A51" s="396"/>
      <c r="B51" s="451" t="s">
        <v>618</v>
      </c>
      <c r="C51" s="24" t="s">
        <v>1464</v>
      </c>
      <c r="D51" s="24" t="s">
        <v>1465</v>
      </c>
      <c r="E51" s="24" t="s">
        <v>1466</v>
      </c>
      <c r="F51" s="24" t="s">
        <v>1271</v>
      </c>
      <c r="G51" s="24" t="s">
        <v>1467</v>
      </c>
      <c r="H51" s="24" t="s">
        <v>1468</v>
      </c>
      <c r="I51" s="24" t="s">
        <v>1469</v>
      </c>
      <c r="J51" s="20"/>
      <c r="K51" s="20"/>
      <c r="M51" s="21"/>
      <c r="N51" s="21"/>
      <c r="O51" s="21"/>
      <c r="Q51" s="190" t="s">
        <v>1458</v>
      </c>
      <c r="R51" s="190" t="s">
        <v>923</v>
      </c>
      <c r="S51" s="190" t="s">
        <v>924</v>
      </c>
      <c r="T51" s="190" t="s">
        <v>926</v>
      </c>
      <c r="U51" s="190" t="s">
        <v>925</v>
      </c>
      <c r="V51" s="651"/>
    </row>
    <row r="52" spans="1:22">
      <c r="A52" s="395" t="s">
        <v>512</v>
      </c>
      <c r="B52" s="516" t="e">
        <f>SUM(C52:I52)</f>
        <v>#REF!</v>
      </c>
      <c r="C52" s="516" t="e">
        <f>W31+W38</f>
        <v>#REF!</v>
      </c>
      <c r="D52" s="516" t="e">
        <f t="shared" ref="D52:I54" si="55">X31+X38</f>
        <v>#REF!</v>
      </c>
      <c r="E52" s="516" t="e">
        <f t="shared" si="55"/>
        <v>#REF!</v>
      </c>
      <c r="F52" s="516" t="e">
        <f t="shared" si="55"/>
        <v>#REF!</v>
      </c>
      <c r="G52" s="516" t="e">
        <f t="shared" si="55"/>
        <v>#REF!</v>
      </c>
      <c r="H52" s="516" t="e">
        <f t="shared" si="55"/>
        <v>#REF!</v>
      </c>
      <c r="I52" s="516" t="e">
        <f>AC31+AC38</f>
        <v>#REF!</v>
      </c>
      <c r="J52" s="20"/>
      <c r="N52" s="21"/>
      <c r="O52" s="21"/>
      <c r="P52" s="651" t="s">
        <v>1471</v>
      </c>
      <c r="Q52" s="185" t="e">
        <f>G47/$G$72</f>
        <v>#REF!</v>
      </c>
      <c r="R52" s="185" t="e">
        <f>G52/$G$72</f>
        <v>#REF!</v>
      </c>
      <c r="S52" s="185" t="e">
        <f>G57/$G$72</f>
        <v>#REF!</v>
      </c>
      <c r="T52" s="185" t="e">
        <f>G62/$G$72</f>
        <v>#REF!</v>
      </c>
      <c r="U52" s="185" t="e">
        <f>G67/$G$72</f>
        <v>#REF!</v>
      </c>
      <c r="V52" s="651"/>
    </row>
    <row r="53" spans="1:22">
      <c r="A53" s="395" t="s">
        <v>947</v>
      </c>
      <c r="B53" s="516" t="e">
        <f t="shared" ref="B53:B54" si="56">SUM(C53:I53)</f>
        <v>#REF!</v>
      </c>
      <c r="C53" s="516" t="e">
        <f t="shared" ref="C53:C54" si="57">W32+W39</f>
        <v>#REF!</v>
      </c>
      <c r="D53" s="516" t="e">
        <f t="shared" si="55"/>
        <v>#REF!</v>
      </c>
      <c r="E53" s="516" t="e">
        <f t="shared" si="55"/>
        <v>#REF!</v>
      </c>
      <c r="F53" s="516" t="e">
        <f t="shared" si="55"/>
        <v>#REF!</v>
      </c>
      <c r="G53" s="516" t="e">
        <f t="shared" si="55"/>
        <v>#REF!</v>
      </c>
      <c r="H53" s="516" t="e">
        <f t="shared" si="55"/>
        <v>#REF!</v>
      </c>
      <c r="I53" s="516" t="e">
        <f t="shared" si="55"/>
        <v>#REF!</v>
      </c>
      <c r="J53" s="20"/>
      <c r="K53" s="20"/>
      <c r="M53" s="21"/>
      <c r="N53" s="21"/>
      <c r="O53" s="21"/>
      <c r="P53" s="651" t="s">
        <v>1472</v>
      </c>
      <c r="Q53" s="185">
        <f>Q47</f>
        <v>0.30972066662266767</v>
      </c>
      <c r="R53" s="185">
        <f t="shared" ref="R53:U53" si="58">R47</f>
        <v>0.1680421186263015</v>
      </c>
      <c r="S53" s="185">
        <f t="shared" si="58"/>
        <v>0.19239904671133851</v>
      </c>
      <c r="T53" s="185">
        <f t="shared" si="58"/>
        <v>0.27297156827728641</v>
      </c>
      <c r="U53" s="185">
        <f t="shared" si="58"/>
        <v>5.6866599762405753E-2</v>
      </c>
      <c r="V53" s="651"/>
    </row>
    <row r="54" spans="1:22">
      <c r="A54" s="395" t="s">
        <v>972</v>
      </c>
      <c r="B54" s="516" t="e">
        <f t="shared" si="56"/>
        <v>#REF!</v>
      </c>
      <c r="C54" s="516" t="e">
        <f t="shared" si="57"/>
        <v>#REF!</v>
      </c>
      <c r="D54" s="516" t="e">
        <f t="shared" si="55"/>
        <v>#REF!</v>
      </c>
      <c r="E54" s="516" t="e">
        <f t="shared" si="55"/>
        <v>#REF!</v>
      </c>
      <c r="F54" s="516" t="e">
        <f t="shared" si="55"/>
        <v>#REF!</v>
      </c>
      <c r="G54" s="516" t="e">
        <f t="shared" si="55"/>
        <v>#REF!</v>
      </c>
      <c r="H54" s="516" t="e">
        <f t="shared" si="55"/>
        <v>#REF!</v>
      </c>
      <c r="I54" s="516" t="e">
        <f t="shared" si="55"/>
        <v>#REF!</v>
      </c>
      <c r="J54" s="20"/>
      <c r="K54" s="20"/>
      <c r="L54" s="20"/>
      <c r="M54" s="20"/>
      <c r="N54" s="20"/>
      <c r="O54" s="20"/>
      <c r="Q54" s="185" t="e">
        <f>Q52/Q53</f>
        <v>#REF!</v>
      </c>
      <c r="R54" s="185" t="e">
        <f t="shared" ref="R54:U54" si="59">R52/R53</f>
        <v>#REF!</v>
      </c>
      <c r="S54" s="185" t="e">
        <f t="shared" si="59"/>
        <v>#REF!</v>
      </c>
      <c r="T54" s="185" t="e">
        <f t="shared" si="59"/>
        <v>#REF!</v>
      </c>
      <c r="U54" s="185" t="e">
        <f t="shared" si="59"/>
        <v>#REF!</v>
      </c>
      <c r="V54" s="351" t="e">
        <f>SUM(Q54:U54)</f>
        <v>#REF!</v>
      </c>
    </row>
    <row r="55" spans="1:22" ht="14.5">
      <c r="B55" s="20"/>
      <c r="C55" s="20" t="e">
        <f>SUM(C52:C54)</f>
        <v>#REF!</v>
      </c>
      <c r="D55" s="20" t="e">
        <f t="shared" ref="D55" si="60">SUM(D52:D54)</f>
        <v>#REF!</v>
      </c>
      <c r="E55" s="20" t="e">
        <f t="shared" ref="E55" si="61">SUM(E52:E54)</f>
        <v>#REF!</v>
      </c>
      <c r="F55" s="20" t="e">
        <f t="shared" ref="F55" si="62">SUM(F52:F54)</f>
        <v>#REF!</v>
      </c>
      <c r="G55" s="20" t="e">
        <f t="shared" ref="G55" si="63">SUM(G52:G54)</f>
        <v>#REF!</v>
      </c>
      <c r="H55" s="20" t="e">
        <f t="shared" ref="H55" si="64">SUM(H52:H54)</f>
        <v>#REF!</v>
      </c>
      <c r="I55" s="20" t="e">
        <f t="shared" ref="I55" si="65">SUM(I52:I54)</f>
        <v>#REF!</v>
      </c>
      <c r="J55" s="20"/>
      <c r="K55" s="20"/>
      <c r="M55" s="20"/>
      <c r="P55" s="453" t="s">
        <v>1474</v>
      </c>
      <c r="Q55" s="185" t="e">
        <f>Q54</f>
        <v>#REF!</v>
      </c>
      <c r="R55" s="185" t="e">
        <f t="shared" ref="R55:U55" si="66">R54</f>
        <v>#REF!</v>
      </c>
      <c r="S55" s="185" t="e">
        <f t="shared" si="66"/>
        <v>#REF!</v>
      </c>
      <c r="T55" s="185" t="e">
        <f t="shared" si="66"/>
        <v>#REF!</v>
      </c>
      <c r="U55" s="185" t="e">
        <f t="shared" si="66"/>
        <v>#REF!</v>
      </c>
    </row>
    <row r="56" spans="1:22" ht="13">
      <c r="A56" s="396"/>
      <c r="B56" s="451" t="s">
        <v>619</v>
      </c>
      <c r="C56" s="24" t="s">
        <v>1464</v>
      </c>
      <c r="D56" s="24" t="s">
        <v>1465</v>
      </c>
      <c r="E56" s="24" t="s">
        <v>1466</v>
      </c>
      <c r="F56" s="24" t="s">
        <v>1271</v>
      </c>
      <c r="G56" s="24" t="s">
        <v>1467</v>
      </c>
      <c r="H56" s="24" t="s">
        <v>1468</v>
      </c>
      <c r="I56" s="24" t="s">
        <v>1469</v>
      </c>
      <c r="J56" s="20"/>
      <c r="K56" s="20"/>
      <c r="M56" s="20"/>
    </row>
    <row r="57" spans="1:22">
      <c r="A57" s="395" t="s">
        <v>512</v>
      </c>
      <c r="B57" s="516" t="e">
        <f t="shared" ref="B57:B59" si="67">SUM(C57:I57)</f>
        <v>#REF!</v>
      </c>
      <c r="C57" s="516" t="e">
        <f>AH31+AH38</f>
        <v>#REF!</v>
      </c>
      <c r="D57" s="516" t="e">
        <f t="shared" ref="D57:I59" si="68">AI31+AI38</f>
        <v>#REF!</v>
      </c>
      <c r="E57" s="516" t="e">
        <f t="shared" si="68"/>
        <v>#REF!</v>
      </c>
      <c r="F57" s="516" t="e">
        <f t="shared" si="68"/>
        <v>#REF!</v>
      </c>
      <c r="G57" s="516" t="e">
        <f t="shared" si="68"/>
        <v>#REF!</v>
      </c>
      <c r="H57" s="516" t="e">
        <f t="shared" si="68"/>
        <v>#REF!</v>
      </c>
      <c r="I57" s="516" t="e">
        <f t="shared" si="68"/>
        <v>#REF!</v>
      </c>
      <c r="J57" s="20"/>
      <c r="Q57" s="190" t="s">
        <v>1458</v>
      </c>
      <c r="R57" s="190" t="s">
        <v>923</v>
      </c>
      <c r="S57" s="190" t="s">
        <v>924</v>
      </c>
      <c r="T57" s="190" t="s">
        <v>926</v>
      </c>
      <c r="U57" s="190" t="s">
        <v>925</v>
      </c>
    </row>
    <row r="58" spans="1:22">
      <c r="A58" s="395" t="s">
        <v>947</v>
      </c>
      <c r="B58" s="516" t="e">
        <f t="shared" si="67"/>
        <v>#REF!</v>
      </c>
      <c r="C58" s="516" t="e">
        <f t="shared" ref="C58:C59" si="69">AH32+AH39</f>
        <v>#REF!</v>
      </c>
      <c r="D58" s="516" t="e">
        <f t="shared" si="68"/>
        <v>#REF!</v>
      </c>
      <c r="E58" s="516" t="e">
        <f t="shared" si="68"/>
        <v>#REF!</v>
      </c>
      <c r="F58" s="516" t="e">
        <f t="shared" si="68"/>
        <v>#REF!</v>
      </c>
      <c r="G58" s="516" t="e">
        <f t="shared" si="68"/>
        <v>#REF!</v>
      </c>
      <c r="H58" s="516" t="e">
        <f t="shared" si="68"/>
        <v>#REF!</v>
      </c>
      <c r="I58" s="516" t="e">
        <f t="shared" si="68"/>
        <v>#REF!</v>
      </c>
      <c r="J58" s="20"/>
      <c r="K58" s="20"/>
      <c r="M58" s="20"/>
      <c r="P58" s="651" t="s">
        <v>1471</v>
      </c>
      <c r="Q58" s="185" t="e">
        <f>I48/$I$73</f>
        <v>#REF!</v>
      </c>
      <c r="R58" s="185" t="e">
        <f>I53/$I$73</f>
        <v>#REF!</v>
      </c>
      <c r="S58" s="185" t="e">
        <f>I58/$I$73</f>
        <v>#REF!</v>
      </c>
      <c r="T58" s="185" t="e">
        <f>I63/$I$73</f>
        <v>#REF!</v>
      </c>
      <c r="U58" s="185" t="e">
        <f>I68/$I$73</f>
        <v>#REF!</v>
      </c>
    </row>
    <row r="59" spans="1:22">
      <c r="A59" s="395" t="s">
        <v>972</v>
      </c>
      <c r="B59" s="516" t="e">
        <f t="shared" si="67"/>
        <v>#REF!</v>
      </c>
      <c r="C59" s="516" t="e">
        <f t="shared" si="69"/>
        <v>#REF!</v>
      </c>
      <c r="D59" s="516" t="e">
        <f t="shared" si="68"/>
        <v>#REF!</v>
      </c>
      <c r="E59" s="516" t="e">
        <f t="shared" si="68"/>
        <v>#REF!</v>
      </c>
      <c r="F59" s="516" t="e">
        <f t="shared" si="68"/>
        <v>#REF!</v>
      </c>
      <c r="G59" s="516" t="e">
        <f t="shared" si="68"/>
        <v>#REF!</v>
      </c>
      <c r="H59" s="516" t="e">
        <f t="shared" si="68"/>
        <v>#REF!</v>
      </c>
      <c r="I59" s="516" t="e">
        <f t="shared" si="68"/>
        <v>#REF!</v>
      </c>
      <c r="J59" s="20"/>
      <c r="K59" s="20"/>
      <c r="M59" s="20"/>
      <c r="P59" s="651" t="s">
        <v>1472</v>
      </c>
      <c r="Q59" s="185">
        <f>Q53</f>
        <v>0.30972066662266767</v>
      </c>
      <c r="R59" s="185">
        <f t="shared" ref="R59:U59" si="70">R53</f>
        <v>0.1680421186263015</v>
      </c>
      <c r="S59" s="185">
        <f t="shared" si="70"/>
        <v>0.19239904671133851</v>
      </c>
      <c r="T59" s="185">
        <f t="shared" si="70"/>
        <v>0.27297156827728641</v>
      </c>
      <c r="U59" s="185">
        <f t="shared" si="70"/>
        <v>5.6866599762405753E-2</v>
      </c>
    </row>
    <row r="60" spans="1:22">
      <c r="B60" s="20"/>
      <c r="C60" s="20" t="e">
        <f>SUM(C57:C59)</f>
        <v>#REF!</v>
      </c>
      <c r="D60" s="20" t="e">
        <f t="shared" ref="D60" si="71">SUM(D57:D59)</f>
        <v>#REF!</v>
      </c>
      <c r="E60" s="20" t="e">
        <f t="shared" ref="E60" si="72">SUM(E57:E59)</f>
        <v>#REF!</v>
      </c>
      <c r="F60" s="20" t="e">
        <f t="shared" ref="F60" si="73">SUM(F57:F59)</f>
        <v>#REF!</v>
      </c>
      <c r="G60" s="20" t="e">
        <f t="shared" ref="G60" si="74">SUM(G57:G59)</f>
        <v>#REF!</v>
      </c>
      <c r="H60" s="20" t="e">
        <f t="shared" ref="H60" si="75">SUM(H57:H59)</f>
        <v>#REF!</v>
      </c>
      <c r="I60" s="20" t="e">
        <f t="shared" ref="I60" si="76">SUM(I57:I59)</f>
        <v>#REF!</v>
      </c>
      <c r="J60" s="20"/>
      <c r="K60" s="20"/>
      <c r="M60" s="20"/>
      <c r="Q60" s="20" t="e">
        <f>Q58/Q59</f>
        <v>#REF!</v>
      </c>
      <c r="R60" s="20" t="e">
        <f t="shared" ref="R60:U60" si="77">R58/R59</f>
        <v>#REF!</v>
      </c>
      <c r="S60" s="20" t="e">
        <f t="shared" si="77"/>
        <v>#REF!</v>
      </c>
      <c r="T60" s="20" t="e">
        <f t="shared" si="77"/>
        <v>#REF!</v>
      </c>
      <c r="U60" s="20" t="e">
        <f t="shared" si="77"/>
        <v>#REF!</v>
      </c>
      <c r="V60" s="351" t="e">
        <f>SUM(Q60:U60)</f>
        <v>#REF!</v>
      </c>
    </row>
    <row r="61" spans="1:22" ht="14.5">
      <c r="A61" s="396"/>
      <c r="B61" s="451" t="s">
        <v>620</v>
      </c>
      <c r="C61" s="24" t="s">
        <v>1464</v>
      </c>
      <c r="D61" s="24" t="s">
        <v>1465</v>
      </c>
      <c r="E61" s="24" t="s">
        <v>1466</v>
      </c>
      <c r="F61" s="24" t="s">
        <v>1271</v>
      </c>
      <c r="G61" s="24" t="s">
        <v>1467</v>
      </c>
      <c r="H61" s="24" t="s">
        <v>1468</v>
      </c>
      <c r="I61" s="24" t="s">
        <v>1469</v>
      </c>
      <c r="J61" s="20"/>
      <c r="K61" s="20"/>
      <c r="M61" s="20"/>
      <c r="P61" s="453" t="s">
        <v>1475</v>
      </c>
      <c r="Q61" s="185" t="e">
        <f>Q60</f>
        <v>#REF!</v>
      </c>
      <c r="R61" s="185" t="e">
        <f t="shared" ref="R61:U61" si="78">R60</f>
        <v>#REF!</v>
      </c>
      <c r="S61" s="185" t="e">
        <f t="shared" si="78"/>
        <v>#REF!</v>
      </c>
      <c r="T61" s="185" t="e">
        <f t="shared" si="78"/>
        <v>#REF!</v>
      </c>
      <c r="U61" s="185" t="e">
        <f t="shared" si="78"/>
        <v>#REF!</v>
      </c>
    </row>
    <row r="62" spans="1:22">
      <c r="A62" s="395" t="s">
        <v>512</v>
      </c>
      <c r="B62" s="516" t="e">
        <f t="shared" ref="B62:B64" si="79">SUM(C62:I62)</f>
        <v>#REF!</v>
      </c>
      <c r="C62" s="516" t="e">
        <f>AS31+AS38</f>
        <v>#REF!</v>
      </c>
      <c r="D62" s="516" t="e">
        <f t="shared" ref="D62:I64" si="80">AT31+AT38</f>
        <v>#REF!</v>
      </c>
      <c r="E62" s="516" t="e">
        <f t="shared" si="80"/>
        <v>#REF!</v>
      </c>
      <c r="F62" s="516" t="e">
        <f t="shared" si="80"/>
        <v>#REF!</v>
      </c>
      <c r="G62" s="516" t="e">
        <f t="shared" si="80"/>
        <v>#REF!</v>
      </c>
      <c r="H62" s="516" t="e">
        <f t="shared" si="80"/>
        <v>#REF!</v>
      </c>
      <c r="I62" s="516" t="e">
        <f t="shared" si="80"/>
        <v>#REF!</v>
      </c>
      <c r="J62" s="20"/>
    </row>
    <row r="63" spans="1:22">
      <c r="A63" s="395" t="s">
        <v>947</v>
      </c>
      <c r="B63" s="516" t="e">
        <f t="shared" si="79"/>
        <v>#REF!</v>
      </c>
      <c r="C63" s="516" t="e">
        <f t="shared" ref="C63:C64" si="81">AS32+AS39</f>
        <v>#REF!</v>
      </c>
      <c r="D63" s="516" t="e">
        <f t="shared" si="80"/>
        <v>#REF!</v>
      </c>
      <c r="E63" s="516" t="e">
        <f t="shared" si="80"/>
        <v>#REF!</v>
      </c>
      <c r="F63" s="516" t="e">
        <f t="shared" si="80"/>
        <v>#REF!</v>
      </c>
      <c r="G63" s="516" t="e">
        <f t="shared" si="80"/>
        <v>#REF!</v>
      </c>
      <c r="H63" s="516" t="e">
        <f t="shared" si="80"/>
        <v>#REF!</v>
      </c>
      <c r="I63" s="516" t="e">
        <f t="shared" si="80"/>
        <v>#REF!</v>
      </c>
      <c r="J63" s="20"/>
      <c r="K63" s="20"/>
      <c r="M63" s="20"/>
      <c r="Q63" s="190" t="s">
        <v>1458</v>
      </c>
      <c r="R63" s="190" t="s">
        <v>923</v>
      </c>
      <c r="S63" s="190" t="s">
        <v>924</v>
      </c>
      <c r="T63" s="190" t="s">
        <v>926</v>
      </c>
      <c r="U63" s="190" t="s">
        <v>925</v>
      </c>
    </row>
    <row r="64" spans="1:22">
      <c r="A64" s="395" t="s">
        <v>972</v>
      </c>
      <c r="B64" s="516" t="e">
        <f t="shared" si="79"/>
        <v>#REF!</v>
      </c>
      <c r="C64" s="516" t="e">
        <f t="shared" si="81"/>
        <v>#REF!</v>
      </c>
      <c r="D64" s="516" t="e">
        <f t="shared" si="80"/>
        <v>#REF!</v>
      </c>
      <c r="E64" s="516" t="e">
        <f t="shared" si="80"/>
        <v>#REF!</v>
      </c>
      <c r="F64" s="516" t="e">
        <f t="shared" si="80"/>
        <v>#REF!</v>
      </c>
      <c r="G64" s="516" t="e">
        <f t="shared" si="80"/>
        <v>#REF!</v>
      </c>
      <c r="H64" s="516" t="e">
        <f t="shared" si="80"/>
        <v>#REF!</v>
      </c>
      <c r="I64" s="516" t="e">
        <f t="shared" si="80"/>
        <v>#REF!</v>
      </c>
      <c r="J64" s="20"/>
      <c r="K64" s="20"/>
      <c r="M64" s="20"/>
      <c r="P64" s="651" t="s">
        <v>1471</v>
      </c>
      <c r="Q64" s="185" t="e">
        <f>D50/$D$75</f>
        <v>#REF!</v>
      </c>
      <c r="R64" s="185" t="e">
        <f>D55/$D$75</f>
        <v>#REF!</v>
      </c>
      <c r="S64" s="185" t="e">
        <f>D60/$D$75</f>
        <v>#REF!</v>
      </c>
      <c r="T64" s="185" t="e">
        <f>D65/$D$75</f>
        <v>#REF!</v>
      </c>
      <c r="U64" s="185" t="e">
        <f>D70/$D$75</f>
        <v>#REF!</v>
      </c>
    </row>
    <row r="65" spans="1:22">
      <c r="B65" s="20"/>
      <c r="C65" s="20" t="e">
        <f>SUM(C62:C64)</f>
        <v>#REF!</v>
      </c>
      <c r="D65" s="20" t="e">
        <f t="shared" ref="D65" si="82">SUM(D62:D64)</f>
        <v>#REF!</v>
      </c>
      <c r="E65" s="20" t="e">
        <f t="shared" ref="E65" si="83">SUM(E62:E64)</f>
        <v>#REF!</v>
      </c>
      <c r="F65" s="20" t="e">
        <f t="shared" ref="F65" si="84">SUM(F62:F64)</f>
        <v>#REF!</v>
      </c>
      <c r="G65" s="20" t="e">
        <f t="shared" ref="G65" si="85">SUM(G62:G64)</f>
        <v>#REF!</v>
      </c>
      <c r="H65" s="20" t="e">
        <f t="shared" ref="H65" si="86">SUM(H62:H64)</f>
        <v>#REF!</v>
      </c>
      <c r="I65" s="20" t="e">
        <f t="shared" ref="I65" si="87">SUM(I62:I64)</f>
        <v>#REF!</v>
      </c>
      <c r="J65" s="20"/>
      <c r="K65" s="20"/>
      <c r="M65" s="20"/>
      <c r="P65" s="651" t="s">
        <v>1472</v>
      </c>
      <c r="Q65" s="185">
        <f>Q59</f>
        <v>0.30972066662266767</v>
      </c>
      <c r="R65" s="185">
        <f t="shared" ref="R65:U65" si="88">R59</f>
        <v>0.1680421186263015</v>
      </c>
      <c r="S65" s="185">
        <f t="shared" si="88"/>
        <v>0.19239904671133851</v>
      </c>
      <c r="T65" s="185">
        <f t="shared" si="88"/>
        <v>0.27297156827728641</v>
      </c>
      <c r="U65" s="185">
        <f t="shared" si="88"/>
        <v>5.6866599762405753E-2</v>
      </c>
    </row>
    <row r="66" spans="1:22" ht="13">
      <c r="A66" s="396"/>
      <c r="B66" s="452" t="s">
        <v>1476</v>
      </c>
      <c r="C66" s="24" t="s">
        <v>1464</v>
      </c>
      <c r="D66" s="24" t="s">
        <v>1465</v>
      </c>
      <c r="E66" s="24" t="s">
        <v>1466</v>
      </c>
      <c r="F66" s="24" t="s">
        <v>1271</v>
      </c>
      <c r="G66" s="24" t="s">
        <v>1467</v>
      </c>
      <c r="H66" s="24" t="s">
        <v>1468</v>
      </c>
      <c r="I66" s="24" t="s">
        <v>1469</v>
      </c>
      <c r="J66" s="20"/>
      <c r="K66" s="20"/>
      <c r="M66" s="20"/>
      <c r="Q66" s="20" t="e">
        <f>Q64/Q65</f>
        <v>#REF!</v>
      </c>
      <c r="R66" s="20" t="e">
        <f t="shared" ref="R66" si="89">R64/R65</f>
        <v>#REF!</v>
      </c>
      <c r="S66" s="20" t="e">
        <f t="shared" ref="S66" si="90">S64/S65</f>
        <v>#REF!</v>
      </c>
      <c r="T66" s="20" t="e">
        <f t="shared" ref="T66" si="91">T64/T65</f>
        <v>#REF!</v>
      </c>
      <c r="U66" s="20" t="e">
        <f t="shared" ref="U66" si="92">U64/U65</f>
        <v>#REF!</v>
      </c>
      <c r="V66" s="351" t="e">
        <f>SUM(Q66:U66)</f>
        <v>#REF!</v>
      </c>
    </row>
    <row r="67" spans="1:22" ht="14.5">
      <c r="A67" s="395" t="s">
        <v>512</v>
      </c>
      <c r="B67" s="516" t="e">
        <f t="shared" ref="B67:B69" si="93">SUM(C67:I67)</f>
        <v>#REF!</v>
      </c>
      <c r="C67" s="516" t="e">
        <f>BD31+BD38</f>
        <v>#REF!</v>
      </c>
      <c r="D67" s="516" t="e">
        <f t="shared" ref="D67:I69" si="94">BE31+BE38</f>
        <v>#REF!</v>
      </c>
      <c r="E67" s="516" t="e">
        <f t="shared" si="94"/>
        <v>#REF!</v>
      </c>
      <c r="F67" s="516" t="e">
        <f t="shared" si="94"/>
        <v>#REF!</v>
      </c>
      <c r="G67" s="516" t="e">
        <f t="shared" si="94"/>
        <v>#REF!</v>
      </c>
      <c r="H67" s="516" t="e">
        <f t="shared" si="94"/>
        <v>#REF!</v>
      </c>
      <c r="I67" s="516" t="e">
        <f t="shared" si="94"/>
        <v>#REF!</v>
      </c>
      <c r="J67" s="20"/>
      <c r="P67" s="453" t="s">
        <v>1477</v>
      </c>
      <c r="Q67" s="185" t="e">
        <f>Q66</f>
        <v>#REF!</v>
      </c>
      <c r="R67" s="185" t="e">
        <f t="shared" ref="R67:U67" si="95">R66</f>
        <v>#REF!</v>
      </c>
      <c r="S67" s="185" t="e">
        <f t="shared" si="95"/>
        <v>#REF!</v>
      </c>
      <c r="T67" s="185" t="e">
        <f t="shared" si="95"/>
        <v>#REF!</v>
      </c>
      <c r="U67" s="185" t="e">
        <f t="shared" si="95"/>
        <v>#REF!</v>
      </c>
    </row>
    <row r="68" spans="1:22">
      <c r="A68" s="395" t="s">
        <v>947</v>
      </c>
      <c r="B68" s="516" t="e">
        <f t="shared" si="93"/>
        <v>#REF!</v>
      </c>
      <c r="C68" s="516" t="e">
        <f t="shared" ref="C68:C69" si="96">BD32+BD39</f>
        <v>#REF!</v>
      </c>
      <c r="D68" s="516" t="e">
        <f t="shared" si="94"/>
        <v>#REF!</v>
      </c>
      <c r="E68" s="516" t="e">
        <f t="shared" si="94"/>
        <v>#REF!</v>
      </c>
      <c r="F68" s="516" t="e">
        <f t="shared" si="94"/>
        <v>#REF!</v>
      </c>
      <c r="G68" s="516" t="e">
        <f t="shared" si="94"/>
        <v>#REF!</v>
      </c>
      <c r="H68" s="516" t="e">
        <f t="shared" si="94"/>
        <v>#REF!</v>
      </c>
      <c r="I68" s="516" t="e">
        <f t="shared" si="94"/>
        <v>#REF!</v>
      </c>
      <c r="J68" s="20"/>
      <c r="K68" s="20"/>
    </row>
    <row r="69" spans="1:22">
      <c r="A69" s="395" t="s">
        <v>972</v>
      </c>
      <c r="B69" s="516" t="e">
        <f t="shared" si="93"/>
        <v>#REF!</v>
      </c>
      <c r="C69" s="516" t="e">
        <f t="shared" si="96"/>
        <v>#REF!</v>
      </c>
      <c r="D69" s="516" t="e">
        <f t="shared" si="94"/>
        <v>#REF!</v>
      </c>
      <c r="E69" s="516" t="e">
        <f t="shared" si="94"/>
        <v>#REF!</v>
      </c>
      <c r="F69" s="516" t="e">
        <f t="shared" si="94"/>
        <v>#REF!</v>
      </c>
      <c r="G69" s="516" t="e">
        <f t="shared" si="94"/>
        <v>#REF!</v>
      </c>
      <c r="H69" s="516" t="e">
        <f t="shared" si="94"/>
        <v>#REF!</v>
      </c>
      <c r="I69" s="516" t="e">
        <f t="shared" si="94"/>
        <v>#REF!</v>
      </c>
      <c r="J69" s="20"/>
      <c r="K69" s="20"/>
      <c r="Q69" s="190" t="s">
        <v>1458</v>
      </c>
      <c r="R69" s="190" t="s">
        <v>923</v>
      </c>
      <c r="S69" s="190" t="s">
        <v>924</v>
      </c>
      <c r="T69" s="190" t="s">
        <v>926</v>
      </c>
      <c r="U69" s="190" t="s">
        <v>925</v>
      </c>
    </row>
    <row r="70" spans="1:22">
      <c r="B70" s="20"/>
      <c r="C70" s="20" t="e">
        <f>SUM(C67:C69)</f>
        <v>#REF!</v>
      </c>
      <c r="D70" s="20" t="e">
        <f t="shared" ref="D70" si="97">SUM(D67:D69)</f>
        <v>#REF!</v>
      </c>
      <c r="E70" s="20" t="e">
        <f t="shared" ref="E70" si="98">SUM(E67:E69)</f>
        <v>#REF!</v>
      </c>
      <c r="F70" s="20" t="e">
        <f t="shared" ref="F70" si="99">SUM(F67:F69)</f>
        <v>#REF!</v>
      </c>
      <c r="G70" s="20" t="e">
        <f t="shared" ref="G70" si="100">SUM(G67:G69)</f>
        <v>#REF!</v>
      </c>
      <c r="H70" s="20" t="e">
        <f t="shared" ref="H70" si="101">SUM(H67:H69)</f>
        <v>#REF!</v>
      </c>
      <c r="I70" s="20" t="e">
        <f t="shared" ref="I70" si="102">SUM(I67:I69)</f>
        <v>#REF!</v>
      </c>
      <c r="J70" s="20"/>
      <c r="K70" s="20"/>
      <c r="P70" s="651" t="s">
        <v>1471</v>
      </c>
      <c r="Q70" s="185" t="e">
        <f>C50/$C$75</f>
        <v>#REF!</v>
      </c>
      <c r="R70" s="185" t="e">
        <f>C55/$C$75</f>
        <v>#REF!</v>
      </c>
      <c r="S70" s="185" t="e">
        <f>C60/$C$75</f>
        <v>#REF!</v>
      </c>
      <c r="T70" s="185" t="e">
        <f>C65/$C$75</f>
        <v>#REF!</v>
      </c>
      <c r="U70" s="185" t="e">
        <f>C70/$C$75</f>
        <v>#REF!</v>
      </c>
    </row>
    <row r="71" spans="1:22">
      <c r="A71" s="396"/>
      <c r="B71" s="342" t="s">
        <v>622</v>
      </c>
      <c r="C71" s="24" t="s">
        <v>1464</v>
      </c>
      <c r="D71" s="24" t="s">
        <v>1465</v>
      </c>
      <c r="E71" s="24" t="s">
        <v>1466</v>
      </c>
      <c r="F71" s="24" t="s">
        <v>1271</v>
      </c>
      <c r="G71" s="24" t="s">
        <v>1467</v>
      </c>
      <c r="H71" s="24" t="s">
        <v>1468</v>
      </c>
      <c r="I71" s="24" t="s">
        <v>1469</v>
      </c>
      <c r="J71" s="20"/>
      <c r="K71" s="20"/>
      <c r="P71" s="651" t="s">
        <v>1472</v>
      </c>
      <c r="Q71" s="185">
        <f>Q65</f>
        <v>0.30972066662266767</v>
      </c>
      <c r="R71" s="185">
        <f t="shared" ref="R71:U71" si="103">R65</f>
        <v>0.1680421186263015</v>
      </c>
      <c r="S71" s="185">
        <f t="shared" si="103"/>
        <v>0.19239904671133851</v>
      </c>
      <c r="T71" s="185">
        <f t="shared" si="103"/>
        <v>0.27297156827728641</v>
      </c>
      <c r="U71" s="185">
        <f t="shared" si="103"/>
        <v>5.6866599762405753E-2</v>
      </c>
    </row>
    <row r="72" spans="1:22">
      <c r="A72" s="395" t="s">
        <v>512</v>
      </c>
      <c r="B72" s="516" t="e">
        <f>B47+B52+B57+B62+B67</f>
        <v>#REF!</v>
      </c>
      <c r="C72" s="516" t="e">
        <f t="shared" ref="C72:I72" si="104">C47+C52+C57+C62+C67</f>
        <v>#REF!</v>
      </c>
      <c r="D72" s="516" t="e">
        <f t="shared" si="104"/>
        <v>#REF!</v>
      </c>
      <c r="E72" s="516" t="e">
        <f t="shared" si="104"/>
        <v>#REF!</v>
      </c>
      <c r="F72" s="516" t="e">
        <f t="shared" si="104"/>
        <v>#REF!</v>
      </c>
      <c r="G72" s="516" t="e">
        <f t="shared" si="104"/>
        <v>#REF!</v>
      </c>
      <c r="H72" s="516" t="e">
        <f t="shared" si="104"/>
        <v>#REF!</v>
      </c>
      <c r="I72" s="516" t="e">
        <f t="shared" si="104"/>
        <v>#REF!</v>
      </c>
      <c r="J72" s="20"/>
      <c r="K72" s="20"/>
      <c r="Q72" s="20" t="e">
        <f>Q70/Q71</f>
        <v>#REF!</v>
      </c>
      <c r="R72" s="20" t="e">
        <f t="shared" ref="R72" si="105">R70/R71</f>
        <v>#REF!</v>
      </c>
      <c r="S72" s="20" t="e">
        <f t="shared" ref="S72" si="106">S70/S71</f>
        <v>#REF!</v>
      </c>
      <c r="T72" s="20" t="e">
        <f t="shared" ref="T72" si="107">T70/T71</f>
        <v>#REF!</v>
      </c>
      <c r="U72" s="20" t="e">
        <f t="shared" ref="U72" si="108">U70/U71</f>
        <v>#REF!</v>
      </c>
      <c r="V72" s="351" t="e">
        <f>SUM(Q72:U72)</f>
        <v>#REF!</v>
      </c>
    </row>
    <row r="73" spans="1:22" ht="14.5">
      <c r="A73" s="395" t="s">
        <v>947</v>
      </c>
      <c r="B73" s="516" t="e">
        <f t="shared" ref="B73:I74" si="109">B48+B53+B58+B63+B68</f>
        <v>#REF!</v>
      </c>
      <c r="C73" s="516" t="e">
        <f t="shared" si="109"/>
        <v>#REF!</v>
      </c>
      <c r="D73" s="516" t="e">
        <f t="shared" si="109"/>
        <v>#REF!</v>
      </c>
      <c r="E73" s="516" t="e">
        <f t="shared" si="109"/>
        <v>#REF!</v>
      </c>
      <c r="F73" s="516" t="e">
        <f t="shared" si="109"/>
        <v>#REF!</v>
      </c>
      <c r="G73" s="516" t="e">
        <f t="shared" si="109"/>
        <v>#REF!</v>
      </c>
      <c r="H73" s="516" t="e">
        <f t="shared" si="109"/>
        <v>#REF!</v>
      </c>
      <c r="I73" s="516" t="e">
        <f t="shared" si="109"/>
        <v>#REF!</v>
      </c>
      <c r="J73" s="20"/>
      <c r="K73" s="20"/>
      <c r="P73" s="453" t="s">
        <v>1478</v>
      </c>
      <c r="Q73" s="185" t="e">
        <f>Q72</f>
        <v>#REF!</v>
      </c>
      <c r="R73" s="185" t="e">
        <f t="shared" ref="R73:U73" si="110">R72</f>
        <v>#REF!</v>
      </c>
      <c r="S73" s="185" t="e">
        <f t="shared" si="110"/>
        <v>#REF!</v>
      </c>
      <c r="T73" s="185" t="e">
        <f t="shared" si="110"/>
        <v>#REF!</v>
      </c>
      <c r="U73" s="185" t="e">
        <f t="shared" si="110"/>
        <v>#REF!</v>
      </c>
    </row>
    <row r="74" spans="1:22">
      <c r="A74" s="395" t="s">
        <v>972</v>
      </c>
      <c r="B74" s="516" t="e">
        <f t="shared" si="109"/>
        <v>#REF!</v>
      </c>
      <c r="C74" s="516" t="e">
        <f t="shared" si="109"/>
        <v>#REF!</v>
      </c>
      <c r="D74" s="516" t="e">
        <f t="shared" si="109"/>
        <v>#REF!</v>
      </c>
      <c r="E74" s="516" t="e">
        <f t="shared" si="109"/>
        <v>#REF!</v>
      </c>
      <c r="F74" s="516" t="e">
        <f t="shared" si="109"/>
        <v>#REF!</v>
      </c>
      <c r="G74" s="516" t="e">
        <f t="shared" si="109"/>
        <v>#REF!</v>
      </c>
      <c r="H74" s="516" t="e">
        <f t="shared" si="109"/>
        <v>#REF!</v>
      </c>
      <c r="I74" s="516" t="e">
        <f t="shared" si="109"/>
        <v>#REF!</v>
      </c>
      <c r="J74" s="20"/>
      <c r="K74" s="20"/>
    </row>
    <row r="75" spans="1:22">
      <c r="B75" s="20"/>
      <c r="C75" s="20" t="e">
        <f>SUM(C72:C74)</f>
        <v>#REF!</v>
      </c>
      <c r="D75" s="20" t="e">
        <f t="shared" ref="D75" si="111">SUM(D72:D74)</f>
        <v>#REF!</v>
      </c>
      <c r="E75" s="20" t="e">
        <f t="shared" ref="E75" si="112">SUM(E72:E74)</f>
        <v>#REF!</v>
      </c>
      <c r="F75" s="20" t="e">
        <f t="shared" ref="F75" si="113">SUM(F72:F74)</f>
        <v>#REF!</v>
      </c>
      <c r="G75" s="20" t="e">
        <f t="shared" ref="G75" si="114">SUM(G72:G74)</f>
        <v>#REF!</v>
      </c>
      <c r="H75" s="20" t="e">
        <f t="shared" ref="H75" si="115">SUM(H72:H74)</f>
        <v>#REF!</v>
      </c>
      <c r="I75" s="20" t="e">
        <f t="shared" ref="I75" si="116">SUM(I72:I74)</f>
        <v>#REF!</v>
      </c>
      <c r="J75" s="20"/>
      <c r="K75" s="20"/>
    </row>
    <row r="76" spans="1:22">
      <c r="B76" s="20"/>
      <c r="C76" s="20"/>
      <c r="D76" s="20"/>
      <c r="E76" s="20"/>
      <c r="F76" s="20"/>
      <c r="G76" s="20"/>
      <c r="H76" s="20"/>
      <c r="I76" s="20"/>
      <c r="J76" s="20"/>
      <c r="K76" s="20"/>
    </row>
    <row r="77" spans="1:22">
      <c r="B77" s="20"/>
      <c r="C77" s="20"/>
      <c r="D77" s="20"/>
      <c r="E77" s="20"/>
      <c r="F77" s="20"/>
      <c r="G77" s="20"/>
      <c r="H77" s="20"/>
      <c r="I77" s="20"/>
      <c r="J77" s="20"/>
      <c r="K77" s="20"/>
    </row>
    <row r="78" spans="1:22">
      <c r="B78" s="20"/>
      <c r="C78" s="20"/>
      <c r="D78" s="20"/>
      <c r="E78" s="20"/>
      <c r="F78" s="20"/>
      <c r="G78" s="20"/>
      <c r="H78" s="20"/>
      <c r="I78" s="20"/>
      <c r="J78" s="20"/>
      <c r="K78" s="20"/>
    </row>
    <row r="79" spans="1:22">
      <c r="B79" s="20"/>
      <c r="C79" s="20"/>
      <c r="D79" s="20"/>
      <c r="E79" s="20"/>
      <c r="F79" s="20"/>
      <c r="G79" s="20"/>
      <c r="H79" s="20"/>
      <c r="I79" s="20"/>
      <c r="J79" s="20"/>
      <c r="K79" s="20"/>
    </row>
    <row r="80" spans="1:22">
      <c r="B80" s="20"/>
      <c r="C80" s="20"/>
      <c r="D80" s="20"/>
      <c r="E80" s="20"/>
      <c r="F80" s="20"/>
      <c r="G80" s="20"/>
      <c r="H80" s="20"/>
      <c r="I80" s="20"/>
      <c r="J80" s="20"/>
      <c r="K80" s="20"/>
    </row>
    <row r="81" spans="2:11">
      <c r="B81" s="20"/>
      <c r="C81" s="20"/>
      <c r="D81" s="20"/>
      <c r="E81" s="20"/>
      <c r="F81" s="20"/>
      <c r="G81" s="20"/>
      <c r="H81" s="20"/>
      <c r="I81" s="20"/>
      <c r="J81" s="20"/>
      <c r="K81" s="20"/>
    </row>
    <row r="82" spans="2:11">
      <c r="B82" s="20"/>
      <c r="C82" s="20"/>
      <c r="D82" s="20"/>
      <c r="E82" s="20"/>
      <c r="F82" s="20"/>
      <c r="G82" s="20"/>
      <c r="H82" s="20"/>
      <c r="I82" s="20"/>
      <c r="J82" s="20"/>
      <c r="K82" s="20"/>
    </row>
    <row r="83" spans="2:11">
      <c r="B83" s="20"/>
      <c r="C83" s="20"/>
      <c r="D83" s="20"/>
      <c r="E83" s="20"/>
      <c r="F83" s="20"/>
      <c r="G83" s="20"/>
      <c r="H83" s="20"/>
      <c r="I83" s="20"/>
      <c r="J83" s="20"/>
      <c r="K83" s="20"/>
    </row>
    <row r="84" spans="2:11">
      <c r="B84" s="20"/>
      <c r="C84" s="20"/>
      <c r="D84" s="20"/>
      <c r="E84" s="20"/>
      <c r="F84" s="20"/>
      <c r="G84" s="20"/>
      <c r="H84" s="20"/>
      <c r="I84" s="20"/>
      <c r="J84" s="20"/>
      <c r="K84" s="20"/>
    </row>
    <row r="85" spans="2:11">
      <c r="B85" s="20"/>
      <c r="C85" s="20"/>
      <c r="D85" s="20"/>
      <c r="E85" s="20"/>
      <c r="F85" s="20"/>
      <c r="G85" s="20"/>
      <c r="H85" s="20"/>
      <c r="I85" s="20"/>
      <c r="J85" s="20"/>
      <c r="K85" s="20"/>
    </row>
    <row r="104" spans="1:9" ht="25">
      <c r="A104" s="449" t="s">
        <v>1479</v>
      </c>
      <c r="B104" s="395" t="s">
        <v>1464</v>
      </c>
      <c r="C104" s="395" t="s">
        <v>1465</v>
      </c>
      <c r="D104" s="395" t="s">
        <v>1466</v>
      </c>
      <c r="E104" s="395" t="s">
        <v>1271</v>
      </c>
      <c r="F104" s="395" t="s">
        <v>1467</v>
      </c>
      <c r="G104" s="395" t="s">
        <v>1468</v>
      </c>
      <c r="H104" s="395" t="s">
        <v>1469</v>
      </c>
      <c r="I104" s="395" t="s">
        <v>1178</v>
      </c>
    </row>
    <row r="105" spans="1:9">
      <c r="A105" s="449" t="s">
        <v>512</v>
      </c>
      <c r="B105" s="450">
        <f>'Dmd Share'!L66</f>
        <v>3.0154552803936079E-2</v>
      </c>
      <c r="C105" s="450">
        <f>'Dmd Share'!M66</f>
        <v>8.1536079353858818E-3</v>
      </c>
      <c r="D105" s="450">
        <f>'Dmd Share'!N66</f>
        <v>0.1690390181738694</v>
      </c>
      <c r="E105" s="450">
        <f>'Dmd Share'!O66</f>
        <v>0.24231938336197503</v>
      </c>
      <c r="F105" s="450">
        <f>'Dmd Share'!P66</f>
        <v>0.55033343772483367</v>
      </c>
      <c r="G105" s="450">
        <f>'Dmd Share'!Q66</f>
        <v>0</v>
      </c>
      <c r="H105" s="450">
        <f>'Dmd Share'!R66</f>
        <v>0</v>
      </c>
      <c r="I105" s="450">
        <f>SUM(B105:H105)</f>
        <v>1</v>
      </c>
    </row>
    <row r="106" spans="1:9">
      <c r="A106" s="449" t="s">
        <v>947</v>
      </c>
      <c r="B106" s="450">
        <f>'Dmd Share'!L67</f>
        <v>0.61785240168181488</v>
      </c>
      <c r="C106" s="450">
        <f>'Dmd Share'!M67</f>
        <v>0.19959392970755438</v>
      </c>
      <c r="D106" s="450">
        <f>'Dmd Share'!N67</f>
        <v>0.12594823567982066</v>
      </c>
      <c r="E106" s="450">
        <f>'Dmd Share'!O67</f>
        <v>0</v>
      </c>
      <c r="F106" s="450">
        <f>'Dmd Share'!P67</f>
        <v>0</v>
      </c>
      <c r="G106" s="450">
        <f>'Dmd Share'!Q67</f>
        <v>0</v>
      </c>
      <c r="H106" s="450">
        <f>'Dmd Share'!R67</f>
        <v>5.6605432930810017E-2</v>
      </c>
      <c r="I106" s="450">
        <f t="shared" ref="I106:I107" si="117">SUM(B106:H106)</f>
        <v>0.99999999999999989</v>
      </c>
    </row>
    <row r="107" spans="1:9">
      <c r="A107" s="449" t="s">
        <v>972</v>
      </c>
      <c r="B107" s="450">
        <f>'Dmd Share'!L68</f>
        <v>0.86877173040282651</v>
      </c>
      <c r="C107" s="450">
        <f>'Dmd Share'!M68</f>
        <v>0.1300971990195158</v>
      </c>
      <c r="D107" s="450">
        <f>'Dmd Share'!N68</f>
        <v>1.1180759804963511E-3</v>
      </c>
      <c r="E107" s="450">
        <f>'Dmd Share'!O68</f>
        <v>0</v>
      </c>
      <c r="F107" s="450">
        <f>'Dmd Share'!P68</f>
        <v>0</v>
      </c>
      <c r="G107" s="450">
        <f>'Dmd Share'!Q68</f>
        <v>1.2994597161259685E-5</v>
      </c>
      <c r="H107" s="450">
        <f>'Dmd Share'!R68</f>
        <v>0</v>
      </c>
      <c r="I107" s="450">
        <f t="shared" si="117"/>
        <v>1</v>
      </c>
    </row>
    <row r="108" spans="1:9">
      <c r="A108" s="449"/>
    </row>
    <row r="109" spans="1:9" ht="25">
      <c r="A109" s="449" t="s">
        <v>1480</v>
      </c>
      <c r="B109" s="395" t="s">
        <v>1464</v>
      </c>
      <c r="C109" s="395" t="s">
        <v>1465</v>
      </c>
      <c r="D109" s="395" t="s">
        <v>1466</v>
      </c>
      <c r="E109" s="395" t="s">
        <v>1271</v>
      </c>
      <c r="F109" s="395" t="s">
        <v>1467</v>
      </c>
      <c r="G109" s="395" t="s">
        <v>1468</v>
      </c>
      <c r="H109" s="395" t="s">
        <v>1469</v>
      </c>
      <c r="I109" s="395" t="s">
        <v>1178</v>
      </c>
    </row>
    <row r="110" spans="1:9">
      <c r="A110" s="449" t="s">
        <v>512</v>
      </c>
      <c r="B110" s="450">
        <f>'Dmd Share'!L71</f>
        <v>1.8100992321231232E-2</v>
      </c>
      <c r="C110" s="450">
        <f>'Dmd Share'!M71</f>
        <v>8.1809631266721531E-3</v>
      </c>
      <c r="D110" s="450">
        <f>'Dmd Share'!N71</f>
        <v>0.15671146417284634</v>
      </c>
      <c r="E110" s="450">
        <f>'Dmd Share'!O71</f>
        <v>0.31772602887064699</v>
      </c>
      <c r="F110" s="450">
        <f>'Dmd Share'!P71</f>
        <v>0.49928055150860323</v>
      </c>
      <c r="G110" s="450">
        <f>'Dmd Share'!Q71</f>
        <v>0</v>
      </c>
      <c r="H110" s="450">
        <f>'Dmd Share'!R71</f>
        <v>0</v>
      </c>
      <c r="I110" s="450">
        <f>SUM(B110:H110)</f>
        <v>1</v>
      </c>
    </row>
    <row r="111" spans="1:9">
      <c r="A111" s="449" t="s">
        <v>947</v>
      </c>
      <c r="B111" s="450">
        <f>'Dmd Share'!L72</f>
        <v>0.74191848994227139</v>
      </c>
      <c r="C111" s="450">
        <f>'Dmd Share'!M72</f>
        <v>0.14216301987730587</v>
      </c>
      <c r="D111" s="450">
        <f>'Dmd Share'!N72</f>
        <v>8.3372677922483429E-2</v>
      </c>
      <c r="E111" s="450">
        <f>'Dmd Share'!O72</f>
        <v>8.803413042585316E-5</v>
      </c>
      <c r="F111" s="450">
        <f>'Dmd Share'!P72</f>
        <v>0</v>
      </c>
      <c r="G111" s="450">
        <f>'Dmd Share'!Q72</f>
        <v>0</v>
      </c>
      <c r="H111" s="450">
        <f>'Dmd Share'!R72</f>
        <v>3.2457778127513555E-2</v>
      </c>
      <c r="I111" s="450">
        <f t="shared" ref="I111" si="118">SUM(B111:H111)</f>
        <v>1</v>
      </c>
    </row>
    <row r="112" spans="1:9">
      <c r="A112" s="449" t="s">
        <v>972</v>
      </c>
      <c r="B112" s="450">
        <f>'Dmd Share'!L73</f>
        <v>0.78696565663955109</v>
      </c>
      <c r="C112" s="450">
        <f>'Dmd Share'!M73</f>
        <v>0.17524365341163553</v>
      </c>
      <c r="D112" s="450">
        <f>'Dmd Share'!N73</f>
        <v>1.8444499852274712E-2</v>
      </c>
      <c r="E112" s="450">
        <f>'Dmd Share'!O73</f>
        <v>0</v>
      </c>
      <c r="F112" s="450">
        <f>'Dmd Share'!P73</f>
        <v>0</v>
      </c>
      <c r="G112" s="450">
        <f>'Dmd Share'!Q73</f>
        <v>1.934619009653862E-2</v>
      </c>
      <c r="H112" s="450">
        <f>'Dmd Share'!R73</f>
        <v>0</v>
      </c>
      <c r="I112" s="450">
        <f>SUM(B112:H112)</f>
        <v>0.99999999999999989</v>
      </c>
    </row>
  </sheetData>
  <conditionalFormatting sqref="C34:G36">
    <cfRule type="colorScale" priority="1">
      <colorScale>
        <cfvo type="min"/>
        <cfvo type="max"/>
        <color rgb="FFFFEF9C"/>
        <color rgb="FF63BE7B"/>
      </colorScale>
    </cfRule>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T60"/>
  <sheetViews>
    <sheetView workbookViewId="0">
      <selection activeCell="AE8" sqref="AE8"/>
    </sheetView>
  </sheetViews>
  <sheetFormatPr defaultColWidth="9.26953125" defaultRowHeight="12.5"/>
  <cols>
    <col min="1" max="1" width="12" style="16" customWidth="1"/>
    <col min="2" max="2" width="57.26953125" style="16" customWidth="1"/>
    <col min="3" max="12" width="13.453125" style="16" customWidth="1"/>
    <col min="13" max="43" width="12" style="16" customWidth="1"/>
    <col min="44" max="44" width="14.7265625" style="16" customWidth="1"/>
    <col min="45" max="45" width="16.7265625" style="16" customWidth="1"/>
    <col min="46" max="47" width="15" style="16" customWidth="1"/>
    <col min="48" max="48" width="12" style="16" customWidth="1"/>
    <col min="49" max="49" width="13.7265625" style="16" customWidth="1"/>
    <col min="50" max="51" width="12" style="16" customWidth="1"/>
    <col min="52" max="52" width="13.7265625" style="16" customWidth="1"/>
    <col min="53" max="53" width="16.453125" style="16" customWidth="1"/>
    <col min="54" max="16384" width="9.26953125" style="16"/>
  </cols>
  <sheetData>
    <row r="1" spans="1:72" ht="13">
      <c r="C1" s="687" t="s">
        <v>1483</v>
      </c>
      <c r="D1" s="688"/>
      <c r="E1" s="689"/>
      <c r="F1" s="690" t="s">
        <v>1484</v>
      </c>
      <c r="G1" s="691"/>
      <c r="H1" s="691"/>
      <c r="I1" s="691"/>
      <c r="J1" s="691"/>
      <c r="K1" s="691"/>
      <c r="L1" s="691"/>
      <c r="M1" s="684" t="s">
        <v>1456</v>
      </c>
      <c r="N1" s="685"/>
      <c r="O1" s="685"/>
      <c r="P1" s="685"/>
      <c r="Q1" s="685"/>
      <c r="R1" s="685"/>
      <c r="S1" s="685"/>
      <c r="T1" s="686"/>
      <c r="U1" s="684" t="s">
        <v>1284</v>
      </c>
      <c r="V1" s="685"/>
      <c r="W1" s="685"/>
      <c r="X1" s="685"/>
      <c r="Y1" s="685"/>
      <c r="Z1" s="685"/>
      <c r="AA1" s="685"/>
      <c r="AB1" s="686"/>
      <c r="AC1" s="684" t="s">
        <v>1285</v>
      </c>
      <c r="AD1" s="685"/>
      <c r="AE1" s="685"/>
      <c r="AF1" s="685"/>
      <c r="AG1" s="685"/>
      <c r="AH1" s="685"/>
      <c r="AI1" s="685"/>
      <c r="AJ1" s="686"/>
      <c r="AK1" s="684" t="s">
        <v>1447</v>
      </c>
      <c r="AL1" s="685"/>
      <c r="AM1" s="685"/>
      <c r="AN1" s="685"/>
      <c r="AO1" s="685"/>
      <c r="AP1" s="685"/>
      <c r="AQ1" s="685"/>
      <c r="AR1" s="686"/>
      <c r="AS1" s="677" t="s">
        <v>1485</v>
      </c>
      <c r="AT1" s="677"/>
      <c r="AU1" s="677"/>
      <c r="AV1" s="677"/>
      <c r="AW1" s="677"/>
      <c r="AX1" s="677"/>
      <c r="AY1" s="677"/>
      <c r="AZ1" s="677"/>
      <c r="BA1" s="270"/>
    </row>
    <row r="2" spans="1:72" ht="52">
      <c r="A2" s="652"/>
      <c r="B2" s="652" t="s">
        <v>1486</v>
      </c>
      <c r="C2" s="271" t="s">
        <v>1487</v>
      </c>
      <c r="D2" s="272" t="s">
        <v>1488</v>
      </c>
      <c r="E2" s="273" t="s">
        <v>1489</v>
      </c>
      <c r="F2" s="274" t="s">
        <v>1441</v>
      </c>
      <c r="G2" s="275" t="s">
        <v>1443</v>
      </c>
      <c r="H2" s="275" t="s">
        <v>1444</v>
      </c>
      <c r="I2" s="275" t="s">
        <v>1490</v>
      </c>
      <c r="J2" s="275" t="s">
        <v>1284</v>
      </c>
      <c r="K2" s="275" t="s">
        <v>1446</v>
      </c>
      <c r="L2" s="275" t="s">
        <v>1447</v>
      </c>
      <c r="M2" s="410" t="s">
        <v>1491</v>
      </c>
      <c r="N2" s="409" t="s">
        <v>1492</v>
      </c>
      <c r="O2" s="409" t="s">
        <v>1493</v>
      </c>
      <c r="P2" s="409" t="s">
        <v>1494</v>
      </c>
      <c r="Q2" s="409" t="s">
        <v>1495</v>
      </c>
      <c r="R2" s="409" t="s">
        <v>1496</v>
      </c>
      <c r="S2" s="409" t="s">
        <v>1497</v>
      </c>
      <c r="T2" s="411" t="s">
        <v>1498</v>
      </c>
      <c r="U2" s="410" t="s">
        <v>1499</v>
      </c>
      <c r="V2" s="409" t="s">
        <v>1500</v>
      </c>
      <c r="W2" s="409" t="s">
        <v>1501</v>
      </c>
      <c r="X2" s="409" t="s">
        <v>1502</v>
      </c>
      <c r="Y2" s="409" t="s">
        <v>1503</v>
      </c>
      <c r="Z2" s="409" t="s">
        <v>1504</v>
      </c>
      <c r="AA2" s="409" t="s">
        <v>1505</v>
      </c>
      <c r="AB2" s="411" t="s">
        <v>1506</v>
      </c>
      <c r="AC2" s="410" t="s">
        <v>1507</v>
      </c>
      <c r="AD2" s="409" t="s">
        <v>1508</v>
      </c>
      <c r="AE2" s="409" t="s">
        <v>1509</v>
      </c>
      <c r="AF2" s="409" t="s">
        <v>1510</v>
      </c>
      <c r="AG2" s="409" t="s">
        <v>1511</v>
      </c>
      <c r="AH2" s="409" t="s">
        <v>1512</v>
      </c>
      <c r="AI2" s="409" t="s">
        <v>1513</v>
      </c>
      <c r="AJ2" s="411" t="s">
        <v>1514</v>
      </c>
      <c r="AK2" s="410" t="s">
        <v>1515</v>
      </c>
      <c r="AL2" s="409" t="s">
        <v>1516</v>
      </c>
      <c r="AM2" s="409" t="s">
        <v>1517</v>
      </c>
      <c r="AN2" s="409" t="s">
        <v>1518</v>
      </c>
      <c r="AO2" s="409" t="s">
        <v>1519</v>
      </c>
      <c r="AP2" s="409" t="s">
        <v>1520</v>
      </c>
      <c r="AQ2" s="409" t="s">
        <v>1521</v>
      </c>
      <c r="AR2" s="411" t="s">
        <v>1522</v>
      </c>
      <c r="AS2" s="412" t="s">
        <v>1464</v>
      </c>
      <c r="AT2" s="413" t="s">
        <v>1465</v>
      </c>
      <c r="AU2" s="413" t="s">
        <v>1466</v>
      </c>
      <c r="AV2" s="413" t="s">
        <v>1523</v>
      </c>
      <c r="AW2" s="413" t="s">
        <v>1341</v>
      </c>
      <c r="AX2" s="413" t="s">
        <v>1524</v>
      </c>
      <c r="AY2" s="413" t="s">
        <v>1525</v>
      </c>
      <c r="AZ2" s="414" t="s">
        <v>1526</v>
      </c>
      <c r="BA2" s="270"/>
    </row>
    <row r="3" spans="1:72">
      <c r="A3" s="678" t="s">
        <v>1450</v>
      </c>
      <c r="B3" s="484" t="s">
        <v>1527</v>
      </c>
      <c r="C3" s="276">
        <v>34397279.617698602</v>
      </c>
      <c r="D3" s="277">
        <f>C3/C$30</f>
        <v>6.2632292502352305E-2</v>
      </c>
      <c r="E3" s="278">
        <v>55.38356966714651</v>
      </c>
      <c r="F3" s="485">
        <v>3139269.7531758077</v>
      </c>
      <c r="G3" s="486">
        <v>373088.3616361348</v>
      </c>
      <c r="H3" s="486">
        <v>93126.849293603183</v>
      </c>
      <c r="I3" s="486">
        <v>61486.808703047362</v>
      </c>
      <c r="J3" s="486">
        <v>8619051.6034933645</v>
      </c>
      <c r="K3" s="486">
        <v>22111256.241396647</v>
      </c>
      <c r="L3" s="487">
        <v>0</v>
      </c>
      <c r="M3" s="488">
        <v>3060305.6636657752</v>
      </c>
      <c r="N3" s="489">
        <v>606666.10914281721</v>
      </c>
      <c r="O3" s="489">
        <v>0</v>
      </c>
      <c r="P3" s="489">
        <v>0</v>
      </c>
      <c r="Q3" s="489">
        <v>0</v>
      </c>
      <c r="R3" s="489">
        <v>0</v>
      </c>
      <c r="S3" s="489">
        <v>0</v>
      </c>
      <c r="T3" s="490">
        <v>0</v>
      </c>
      <c r="U3" s="488">
        <v>172381.0320698673</v>
      </c>
      <c r="V3" s="489">
        <v>258571.54810480092</v>
      </c>
      <c r="W3" s="489">
        <v>1465238.7725938722</v>
      </c>
      <c r="X3" s="489">
        <v>0</v>
      </c>
      <c r="Y3" s="489">
        <v>1637619.8046637392</v>
      </c>
      <c r="Z3" s="489">
        <v>0</v>
      </c>
      <c r="AA3" s="489">
        <v>0</v>
      </c>
      <c r="AB3" s="490">
        <v>5085240.446061085</v>
      </c>
      <c r="AC3" s="488">
        <v>15829244.599615162</v>
      </c>
      <c r="AD3" s="489">
        <v>6282011.6417814801</v>
      </c>
      <c r="AE3" s="489">
        <v>0</v>
      </c>
      <c r="AF3" s="489">
        <v>0</v>
      </c>
      <c r="AG3" s="489">
        <v>0</v>
      </c>
      <c r="AH3" s="489">
        <v>0</v>
      </c>
      <c r="AI3" s="489">
        <v>0</v>
      </c>
      <c r="AJ3" s="490">
        <v>0</v>
      </c>
      <c r="AK3" s="488">
        <v>0</v>
      </c>
      <c r="AL3" s="489">
        <v>0</v>
      </c>
      <c r="AM3" s="489">
        <v>0</v>
      </c>
      <c r="AN3" s="489">
        <v>0</v>
      </c>
      <c r="AO3" s="489">
        <v>0</v>
      </c>
      <c r="AP3" s="489">
        <v>0</v>
      </c>
      <c r="AQ3" s="489">
        <v>0</v>
      </c>
      <c r="AR3" s="491"/>
      <c r="AS3" s="281">
        <f t="shared" ref="AS3:AZ28" si="0">M3+U3+AC3+AK3</f>
        <v>19061931.295350805</v>
      </c>
      <c r="AT3" s="281">
        <f t="shared" si="0"/>
        <v>7147249.2990290979</v>
      </c>
      <c r="AU3" s="281">
        <f t="shared" si="0"/>
        <v>1465238.7725938722</v>
      </c>
      <c r="AV3" s="281">
        <f t="shared" si="0"/>
        <v>0</v>
      </c>
      <c r="AW3" s="281">
        <f t="shared" si="0"/>
        <v>1637619.8046637392</v>
      </c>
      <c r="AX3" s="281">
        <f t="shared" si="0"/>
        <v>0</v>
      </c>
      <c r="AY3" s="281">
        <f t="shared" si="0"/>
        <v>0</v>
      </c>
      <c r="AZ3" s="281">
        <f t="shared" si="0"/>
        <v>5085240.446061085</v>
      </c>
      <c r="BA3" s="492">
        <f>SUM(AS3:AZ3)</f>
        <v>34397279.617698595</v>
      </c>
      <c r="BB3" s="491"/>
      <c r="BC3" s="491"/>
      <c r="BD3" s="491"/>
      <c r="BE3" s="491"/>
      <c r="BF3" s="491"/>
      <c r="BG3" s="491"/>
      <c r="BH3" s="491"/>
      <c r="BI3" s="491"/>
      <c r="BJ3" s="491"/>
      <c r="BK3" s="491"/>
      <c r="BL3" s="491"/>
      <c r="BM3" s="491"/>
      <c r="BN3" s="491"/>
      <c r="BO3" s="491"/>
      <c r="BP3" s="491"/>
      <c r="BQ3" s="491"/>
      <c r="BR3" s="491"/>
      <c r="BS3" s="491"/>
      <c r="BT3" s="493"/>
    </row>
    <row r="4" spans="1:72" ht="19.5" customHeight="1" thickBot="1">
      <c r="A4" s="679"/>
      <c r="B4" s="494" t="s">
        <v>1528</v>
      </c>
      <c r="C4" s="276">
        <v>44962795.526013903</v>
      </c>
      <c r="D4" s="277">
        <f t="shared" ref="D4:D28" si="1">C4/C$30</f>
        <v>8.1870513959475061E-2</v>
      </c>
      <c r="E4" s="278">
        <v>55.383569667146503</v>
      </c>
      <c r="F4" s="495">
        <v>4103532.1857376532</v>
      </c>
      <c r="G4" s="496">
        <v>487686.69801287673</v>
      </c>
      <c r="H4" s="496">
        <v>121731.82092620224</v>
      </c>
      <c r="I4" s="496">
        <v>80373.181774519093</v>
      </c>
      <c r="J4" s="496">
        <v>11266491.396506637</v>
      </c>
      <c r="K4" s="496">
        <v>28902980.243056018</v>
      </c>
      <c r="L4" s="497">
        <v>0</v>
      </c>
      <c r="M4" s="498">
        <v>3920530.1320734117</v>
      </c>
      <c r="N4" s="499">
        <v>872793.75437784009</v>
      </c>
      <c r="O4" s="499">
        <v>0</v>
      </c>
      <c r="P4" s="499">
        <v>0</v>
      </c>
      <c r="Q4" s="499">
        <v>0</v>
      </c>
      <c r="R4" s="499">
        <v>0</v>
      </c>
      <c r="S4" s="499">
        <v>0</v>
      </c>
      <c r="T4" s="500">
        <v>0</v>
      </c>
      <c r="U4" s="498">
        <v>225329.82793013274</v>
      </c>
      <c r="V4" s="499">
        <v>337994.74189519911</v>
      </c>
      <c r="W4" s="499">
        <v>1915303.5374061286</v>
      </c>
      <c r="X4" s="499">
        <v>0</v>
      </c>
      <c r="Y4" s="499">
        <v>2140633.3653362612</v>
      </c>
      <c r="Z4" s="499">
        <v>0</v>
      </c>
      <c r="AA4" s="499">
        <v>0</v>
      </c>
      <c r="AB4" s="500">
        <v>6647229.9239389161</v>
      </c>
      <c r="AC4" s="498">
        <v>20685590.124127481</v>
      </c>
      <c r="AD4" s="499">
        <v>8217390.1189285321</v>
      </c>
      <c r="AE4" s="499">
        <v>0</v>
      </c>
      <c r="AF4" s="499">
        <v>0</v>
      </c>
      <c r="AG4" s="499">
        <v>0</v>
      </c>
      <c r="AH4" s="499">
        <v>0</v>
      </c>
      <c r="AI4" s="499">
        <v>0</v>
      </c>
      <c r="AJ4" s="500">
        <v>0</v>
      </c>
      <c r="AK4" s="498">
        <v>0</v>
      </c>
      <c r="AL4" s="499">
        <v>0</v>
      </c>
      <c r="AM4" s="499">
        <v>0</v>
      </c>
      <c r="AN4" s="499">
        <v>0</v>
      </c>
      <c r="AO4" s="499">
        <v>0</v>
      </c>
      <c r="AP4" s="499">
        <v>0</v>
      </c>
      <c r="AQ4" s="499">
        <v>0</v>
      </c>
      <c r="AR4" s="500">
        <v>0</v>
      </c>
      <c r="AS4" s="501">
        <f t="shared" si="0"/>
        <v>24831450.084131025</v>
      </c>
      <c r="AT4" s="501">
        <f t="shared" si="0"/>
        <v>9428178.615201572</v>
      </c>
      <c r="AU4" s="501">
        <f t="shared" si="0"/>
        <v>1915303.5374061286</v>
      </c>
      <c r="AV4" s="501">
        <f t="shared" si="0"/>
        <v>0</v>
      </c>
      <c r="AW4" s="501">
        <f t="shared" si="0"/>
        <v>2140633.3653362612</v>
      </c>
      <c r="AX4" s="501">
        <f t="shared" si="0"/>
        <v>0</v>
      </c>
      <c r="AY4" s="501">
        <f t="shared" si="0"/>
        <v>0</v>
      </c>
      <c r="AZ4" s="501">
        <f t="shared" si="0"/>
        <v>6647229.9239389161</v>
      </c>
      <c r="BA4" s="502">
        <f t="shared" ref="BA4:BA31" si="2">SUM(AS4:AZ4)</f>
        <v>44962795.526013903</v>
      </c>
      <c r="BB4" s="503"/>
      <c r="BC4" s="503"/>
      <c r="BD4" s="503"/>
      <c r="BE4" s="503"/>
      <c r="BF4" s="503"/>
      <c r="BG4" s="503"/>
      <c r="BH4" s="503"/>
      <c r="BI4" s="503"/>
      <c r="BJ4" s="503"/>
      <c r="BK4" s="503"/>
      <c r="BL4" s="503"/>
      <c r="BM4" s="503"/>
      <c r="BN4" s="503"/>
      <c r="BO4" s="503"/>
      <c r="BP4" s="503"/>
      <c r="BQ4" s="503"/>
      <c r="BR4" s="503"/>
      <c r="BS4" s="503"/>
      <c r="BT4" s="504"/>
    </row>
    <row r="5" spans="1:72" s="510" customFormat="1">
      <c r="A5" s="680" t="s">
        <v>1451</v>
      </c>
      <c r="B5" s="505" t="s">
        <v>1529</v>
      </c>
      <c r="C5" s="506">
        <v>0</v>
      </c>
      <c r="D5" s="507">
        <f t="shared" si="1"/>
        <v>0</v>
      </c>
      <c r="E5" s="508">
        <v>0</v>
      </c>
      <c r="F5" s="495">
        <v>0</v>
      </c>
      <c r="G5" s="496">
        <v>0</v>
      </c>
      <c r="H5" s="496">
        <v>0</v>
      </c>
      <c r="I5" s="496">
        <v>0</v>
      </c>
      <c r="J5" s="496">
        <v>0</v>
      </c>
      <c r="K5" s="496">
        <v>0</v>
      </c>
      <c r="L5" s="496">
        <v>0</v>
      </c>
      <c r="M5" s="498">
        <v>0</v>
      </c>
      <c r="N5" s="499">
        <v>0</v>
      </c>
      <c r="O5" s="499">
        <v>0</v>
      </c>
      <c r="P5" s="499">
        <v>0</v>
      </c>
      <c r="Q5" s="499">
        <v>0</v>
      </c>
      <c r="R5" s="499">
        <v>0</v>
      </c>
      <c r="S5" s="499">
        <v>0</v>
      </c>
      <c r="T5" s="500">
        <v>0</v>
      </c>
      <c r="U5" s="498">
        <v>0</v>
      </c>
      <c r="V5" s="499">
        <v>0</v>
      </c>
      <c r="W5" s="499">
        <v>0</v>
      </c>
      <c r="X5" s="499">
        <v>0</v>
      </c>
      <c r="Y5" s="499">
        <v>0</v>
      </c>
      <c r="Z5" s="499">
        <v>0</v>
      </c>
      <c r="AA5" s="499">
        <v>0</v>
      </c>
      <c r="AB5" s="500">
        <v>0</v>
      </c>
      <c r="AC5" s="498">
        <v>0</v>
      </c>
      <c r="AD5" s="499">
        <v>0</v>
      </c>
      <c r="AE5" s="499">
        <v>0</v>
      </c>
      <c r="AF5" s="499">
        <v>0</v>
      </c>
      <c r="AG5" s="499">
        <v>0</v>
      </c>
      <c r="AH5" s="499">
        <v>0</v>
      </c>
      <c r="AI5" s="499">
        <v>0</v>
      </c>
      <c r="AJ5" s="500">
        <v>0</v>
      </c>
      <c r="AK5" s="498">
        <v>0</v>
      </c>
      <c r="AL5" s="499">
        <v>0</v>
      </c>
      <c r="AM5" s="499">
        <v>0</v>
      </c>
      <c r="AN5" s="499">
        <v>0</v>
      </c>
      <c r="AO5" s="499">
        <v>0</v>
      </c>
      <c r="AP5" s="499">
        <v>0</v>
      </c>
      <c r="AQ5" s="499">
        <v>0</v>
      </c>
      <c r="AR5" s="500">
        <v>0</v>
      </c>
      <c r="AS5" s="509">
        <f t="shared" si="0"/>
        <v>0</v>
      </c>
      <c r="AT5" s="509">
        <f t="shared" si="0"/>
        <v>0</v>
      </c>
      <c r="AU5" s="509">
        <f t="shared" si="0"/>
        <v>0</v>
      </c>
      <c r="AV5" s="509">
        <f t="shared" si="0"/>
        <v>0</v>
      </c>
      <c r="AW5" s="509">
        <f t="shared" si="0"/>
        <v>0</v>
      </c>
      <c r="AX5" s="509">
        <f t="shared" si="0"/>
        <v>0</v>
      </c>
      <c r="AY5" s="509">
        <f t="shared" si="0"/>
        <v>0</v>
      </c>
      <c r="AZ5" s="509">
        <f t="shared" si="0"/>
        <v>0</v>
      </c>
      <c r="BA5" s="502">
        <f t="shared" si="2"/>
        <v>0</v>
      </c>
      <c r="BB5" s="503"/>
      <c r="BC5" s="503"/>
      <c r="BD5" s="503"/>
      <c r="BE5" s="503"/>
      <c r="BF5" s="503"/>
      <c r="BG5" s="503"/>
      <c r="BH5" s="503"/>
      <c r="BI5" s="503"/>
      <c r="BJ5" s="503"/>
      <c r="BK5" s="503"/>
      <c r="BL5" s="503"/>
      <c r="BM5" s="503"/>
      <c r="BN5" s="503"/>
      <c r="BO5" s="503"/>
      <c r="BP5" s="503"/>
      <c r="BQ5" s="503"/>
      <c r="BR5" s="503"/>
      <c r="BS5" s="503"/>
      <c r="BT5" s="503"/>
    </row>
    <row r="6" spans="1:72">
      <c r="A6" s="681"/>
      <c r="B6" s="494" t="s">
        <v>1530</v>
      </c>
      <c r="C6" s="511">
        <v>15347555.11749785</v>
      </c>
      <c r="D6" s="277">
        <f t="shared" si="1"/>
        <v>2.794559837285799E-2</v>
      </c>
      <c r="E6" s="278">
        <v>92.325096950615716</v>
      </c>
      <c r="F6" s="512">
        <v>894733.86049749935</v>
      </c>
      <c r="G6" s="416">
        <v>727824.03106786753</v>
      </c>
      <c r="H6" s="416">
        <v>618523.40654032386</v>
      </c>
      <c r="I6" s="416">
        <v>73567.567150399409</v>
      </c>
      <c r="J6" s="416">
        <v>2526671.94755285</v>
      </c>
      <c r="K6" s="416">
        <v>10033937.678923406</v>
      </c>
      <c r="L6" s="416">
        <v>472296.62576550397</v>
      </c>
      <c r="M6" s="283">
        <v>1674553.9025025198</v>
      </c>
      <c r="N6" s="284">
        <v>640094.96275357017</v>
      </c>
      <c r="O6" s="284">
        <v>0</v>
      </c>
      <c r="P6" s="284">
        <v>0</v>
      </c>
      <c r="Q6" s="284">
        <v>0</v>
      </c>
      <c r="R6" s="284">
        <v>0</v>
      </c>
      <c r="S6" s="284">
        <v>0</v>
      </c>
      <c r="T6" s="285">
        <v>0</v>
      </c>
      <c r="U6" s="283">
        <v>101687.83633791166</v>
      </c>
      <c r="V6" s="284">
        <v>15651.09262169853</v>
      </c>
      <c r="W6" s="284">
        <v>510031.84203062457</v>
      </c>
      <c r="X6" s="284">
        <v>219597.21043935098</v>
      </c>
      <c r="Y6" s="284">
        <v>560848.0719143491</v>
      </c>
      <c r="Z6" s="284">
        <v>220104.12692545314</v>
      </c>
      <c r="AA6" s="284">
        <v>80459.316654335707</v>
      </c>
      <c r="AB6" s="285">
        <v>818292.45062912616</v>
      </c>
      <c r="AC6" s="283">
        <v>6621879.412535945</v>
      </c>
      <c r="AD6" s="284">
        <v>2990361.2979181465</v>
      </c>
      <c r="AE6" s="284">
        <v>146714.12176358575</v>
      </c>
      <c r="AF6" s="284">
        <v>0</v>
      </c>
      <c r="AG6" s="284">
        <v>0</v>
      </c>
      <c r="AH6" s="284">
        <v>0</v>
      </c>
      <c r="AI6" s="284">
        <v>59878.807191540611</v>
      </c>
      <c r="AJ6" s="285">
        <v>215104.03951418691</v>
      </c>
      <c r="AK6" s="283">
        <v>335837.66814836051</v>
      </c>
      <c r="AL6" s="284">
        <v>136458.95761714349</v>
      </c>
      <c r="AM6" s="284">
        <v>0</v>
      </c>
      <c r="AN6" s="284">
        <v>0</v>
      </c>
      <c r="AO6" s="284">
        <v>0</v>
      </c>
      <c r="AP6" s="284">
        <v>0</v>
      </c>
      <c r="AQ6" s="284">
        <v>0</v>
      </c>
      <c r="AR6" s="285">
        <v>0</v>
      </c>
      <c r="AS6" s="286">
        <f t="shared" si="0"/>
        <v>8733958.8195247371</v>
      </c>
      <c r="AT6" s="286">
        <f t="shared" si="0"/>
        <v>3782566.3109105588</v>
      </c>
      <c r="AU6" s="286">
        <f t="shared" si="0"/>
        <v>656745.96379421034</v>
      </c>
      <c r="AV6" s="286">
        <f t="shared" si="0"/>
        <v>219597.21043935098</v>
      </c>
      <c r="AW6" s="286">
        <f t="shared" si="0"/>
        <v>560848.0719143491</v>
      </c>
      <c r="AX6" s="286">
        <f t="shared" si="0"/>
        <v>220104.12692545314</v>
      </c>
      <c r="AY6" s="286">
        <f t="shared" si="0"/>
        <v>140338.12384587631</v>
      </c>
      <c r="AZ6" s="286">
        <f t="shared" si="0"/>
        <v>1033396.4901433131</v>
      </c>
      <c r="BA6" s="282">
        <f t="shared" si="2"/>
        <v>15347555.11749785</v>
      </c>
    </row>
    <row r="7" spans="1:72">
      <c r="A7" s="681"/>
      <c r="B7" s="494" t="s">
        <v>1531</v>
      </c>
      <c r="C7" s="511">
        <v>9775689.723280102</v>
      </c>
      <c r="D7" s="277">
        <f t="shared" si="1"/>
        <v>1.7800066312386009E-2</v>
      </c>
      <c r="E7" s="278">
        <v>92.325096950615688</v>
      </c>
      <c r="F7" s="279">
        <v>569904.49216005963</v>
      </c>
      <c r="G7" s="280">
        <v>463590.57494145189</v>
      </c>
      <c r="H7" s="280">
        <v>393971.08286197303</v>
      </c>
      <c r="I7" s="280">
        <v>46859.171031022634</v>
      </c>
      <c r="J7" s="280">
        <v>1609374.3141949642</v>
      </c>
      <c r="K7" s="280">
        <v>6391158.7676953841</v>
      </c>
      <c r="L7" s="280">
        <v>300831.32039524679</v>
      </c>
      <c r="M7" s="283">
        <v>1087319.1817228743</v>
      </c>
      <c r="N7" s="284">
        <v>387006.139271633</v>
      </c>
      <c r="O7" s="284">
        <v>0</v>
      </c>
      <c r="P7" s="284">
        <v>0</v>
      </c>
      <c r="Q7" s="284">
        <v>0</v>
      </c>
      <c r="R7" s="284">
        <v>0</v>
      </c>
      <c r="S7" s="284">
        <v>0</v>
      </c>
      <c r="T7" s="285">
        <v>0</v>
      </c>
      <c r="U7" s="283">
        <v>52744.268481620151</v>
      </c>
      <c r="V7" s="284">
        <v>7833.6524910942162</v>
      </c>
      <c r="W7" s="284">
        <v>189737.63971004327</v>
      </c>
      <c r="X7" s="284">
        <v>112144.01593266016</v>
      </c>
      <c r="Y7" s="284">
        <v>490099.47150866076</v>
      </c>
      <c r="Z7" s="284">
        <v>69103.167302520902</v>
      </c>
      <c r="AA7" s="284">
        <v>44811.899700335183</v>
      </c>
      <c r="AB7" s="285">
        <v>642900.19906802976</v>
      </c>
      <c r="AC7" s="283">
        <v>4162711.5007776478</v>
      </c>
      <c r="AD7" s="284">
        <v>2001773.4880817742</v>
      </c>
      <c r="AE7" s="284">
        <v>0</v>
      </c>
      <c r="AF7" s="284">
        <v>0</v>
      </c>
      <c r="AG7" s="284">
        <v>0</v>
      </c>
      <c r="AH7" s="284">
        <v>0</v>
      </c>
      <c r="AI7" s="284">
        <v>0</v>
      </c>
      <c r="AJ7" s="285">
        <v>226673.7788359616</v>
      </c>
      <c r="AK7" s="283">
        <v>300831.32039524679</v>
      </c>
      <c r="AL7" s="284">
        <v>0</v>
      </c>
      <c r="AM7" s="284">
        <v>0</v>
      </c>
      <c r="AN7" s="284">
        <v>0</v>
      </c>
      <c r="AO7" s="284">
        <v>0</v>
      </c>
      <c r="AP7" s="284">
        <v>0</v>
      </c>
      <c r="AQ7" s="284">
        <v>0</v>
      </c>
      <c r="AR7" s="285">
        <v>0</v>
      </c>
      <c r="AS7" s="281">
        <f t="shared" si="0"/>
        <v>5603606.2713773893</v>
      </c>
      <c r="AT7" s="281">
        <f t="shared" si="0"/>
        <v>2396613.2798445015</v>
      </c>
      <c r="AU7" s="281">
        <f t="shared" si="0"/>
        <v>189737.63971004327</v>
      </c>
      <c r="AV7" s="281">
        <f t="shared" si="0"/>
        <v>112144.01593266016</v>
      </c>
      <c r="AW7" s="281">
        <f t="shared" si="0"/>
        <v>490099.47150866076</v>
      </c>
      <c r="AX7" s="281">
        <f t="shared" si="0"/>
        <v>69103.167302520902</v>
      </c>
      <c r="AY7" s="281">
        <f t="shared" si="0"/>
        <v>44811.899700335183</v>
      </c>
      <c r="AZ7" s="281">
        <f t="shared" si="0"/>
        <v>869573.97790399136</v>
      </c>
      <c r="BA7" s="282">
        <f t="shared" si="2"/>
        <v>9775689.723280102</v>
      </c>
    </row>
    <row r="8" spans="1:72">
      <c r="A8" s="681"/>
      <c r="B8" s="494" t="s">
        <v>1532</v>
      </c>
      <c r="C8" s="511">
        <v>29488103.896492932</v>
      </c>
      <c r="D8" s="277">
        <f t="shared" si="1"/>
        <v>5.3693419046853971E-2</v>
      </c>
      <c r="E8" s="278">
        <v>92.325096950615702</v>
      </c>
      <c r="F8" s="279">
        <v>1719101.5009276555</v>
      </c>
      <c r="G8" s="280">
        <v>1398408.4423990396</v>
      </c>
      <c r="H8" s="280">
        <v>1188403.1257642661</v>
      </c>
      <c r="I8" s="280">
        <v>141349.42321007777</v>
      </c>
      <c r="J8" s="280">
        <v>4854634.1310641011</v>
      </c>
      <c r="K8" s="280">
        <v>19278757.724068489</v>
      </c>
      <c r="L8" s="280">
        <v>907449.5490593029</v>
      </c>
      <c r="M8" s="283">
        <v>3367038.5104097067</v>
      </c>
      <c r="N8" s="284">
        <v>961497.24186536227</v>
      </c>
      <c r="O8" s="284">
        <v>118726.74002596918</v>
      </c>
      <c r="P8" s="284">
        <v>0</v>
      </c>
      <c r="Q8" s="284">
        <v>0</v>
      </c>
      <c r="R8" s="284">
        <v>0</v>
      </c>
      <c r="S8" s="284">
        <v>0</v>
      </c>
      <c r="T8" s="285">
        <v>0</v>
      </c>
      <c r="U8" s="283">
        <v>458100.47299010138</v>
      </c>
      <c r="V8" s="284">
        <v>90534.00245193622</v>
      </c>
      <c r="W8" s="284">
        <v>997559.45935597096</v>
      </c>
      <c r="X8" s="284">
        <v>343545.64152403577</v>
      </c>
      <c r="Y8" s="284">
        <v>1044313.7465681074</v>
      </c>
      <c r="Z8" s="284">
        <v>411164.98442470666</v>
      </c>
      <c r="AA8" s="284">
        <v>157665.95797598618</v>
      </c>
      <c r="AB8" s="285">
        <v>1351749.8657732559</v>
      </c>
      <c r="AC8" s="283">
        <v>11716275.511208959</v>
      </c>
      <c r="AD8" s="284">
        <v>6415268.9985720925</v>
      </c>
      <c r="AE8" s="284">
        <v>525550.57127979188</v>
      </c>
      <c r="AF8" s="284">
        <v>0</v>
      </c>
      <c r="AG8" s="284">
        <v>0</v>
      </c>
      <c r="AH8" s="284">
        <v>0</v>
      </c>
      <c r="AI8" s="284">
        <v>91338.902922091656</v>
      </c>
      <c r="AJ8" s="285">
        <v>530323.74008555943</v>
      </c>
      <c r="AK8" s="283">
        <v>515834.88510496251</v>
      </c>
      <c r="AL8" s="284">
        <v>251675.41333271962</v>
      </c>
      <c r="AM8" s="284">
        <v>139939.25062162083</v>
      </c>
      <c r="AN8" s="284">
        <v>0</v>
      </c>
      <c r="AO8" s="284">
        <v>0</v>
      </c>
      <c r="AP8" s="284">
        <v>0</v>
      </c>
      <c r="AQ8" s="284">
        <v>0</v>
      </c>
      <c r="AR8" s="285">
        <v>0</v>
      </c>
      <c r="AS8" s="281">
        <f t="shared" si="0"/>
        <v>16057249.379713729</v>
      </c>
      <c r="AT8" s="281">
        <f t="shared" si="0"/>
        <v>7718975.6562221106</v>
      </c>
      <c r="AU8" s="281">
        <f t="shared" si="0"/>
        <v>1781776.0212833527</v>
      </c>
      <c r="AV8" s="281">
        <f t="shared" si="0"/>
        <v>343545.64152403577</v>
      </c>
      <c r="AW8" s="281">
        <f t="shared" si="0"/>
        <v>1044313.7465681074</v>
      </c>
      <c r="AX8" s="281">
        <f t="shared" si="0"/>
        <v>411164.98442470666</v>
      </c>
      <c r="AY8" s="281">
        <f t="shared" si="0"/>
        <v>249004.86089807784</v>
      </c>
      <c r="AZ8" s="281">
        <f t="shared" si="0"/>
        <v>1882073.6058588154</v>
      </c>
      <c r="BA8" s="282">
        <f t="shared" si="2"/>
        <v>29488103.896492932</v>
      </c>
    </row>
    <row r="9" spans="1:72">
      <c r="A9" s="681"/>
      <c r="B9" s="494" t="s">
        <v>1533</v>
      </c>
      <c r="C9" s="511">
        <v>23935005.240082145</v>
      </c>
      <c r="D9" s="277">
        <f t="shared" si="1"/>
        <v>4.3582058404142476E-2</v>
      </c>
      <c r="E9" s="278">
        <v>92.325096950615716</v>
      </c>
      <c r="F9" s="279">
        <v>1395366.1984292641</v>
      </c>
      <c r="G9" s="280">
        <v>1135064.9575192549</v>
      </c>
      <c r="H9" s="280">
        <v>964607.12232774834</v>
      </c>
      <c r="I9" s="280">
        <v>114730.98430103433</v>
      </c>
      <c r="J9" s="280">
        <v>3940426.0705796089</v>
      </c>
      <c r="K9" s="280">
        <v>15648248.14669528</v>
      </c>
      <c r="L9" s="280">
        <v>736561.7602299538</v>
      </c>
      <c r="M9" s="283">
        <v>2624514.1567053339</v>
      </c>
      <c r="N9" s="284">
        <v>934770.82703948882</v>
      </c>
      <c r="O9" s="284">
        <v>50484.27883247898</v>
      </c>
      <c r="P9" s="284">
        <v>0</v>
      </c>
      <c r="Q9" s="284">
        <v>0</v>
      </c>
      <c r="R9" s="284">
        <v>0</v>
      </c>
      <c r="S9" s="284">
        <v>0</v>
      </c>
      <c r="T9" s="285">
        <v>0</v>
      </c>
      <c r="U9" s="283">
        <v>169716.87899562062</v>
      </c>
      <c r="V9" s="284">
        <v>48736.791878293101</v>
      </c>
      <c r="W9" s="284">
        <v>531778.82693040872</v>
      </c>
      <c r="X9" s="284">
        <v>192001.24017173125</v>
      </c>
      <c r="Y9" s="284">
        <v>1294596.4116856148</v>
      </c>
      <c r="Z9" s="284">
        <v>357113.48479489156</v>
      </c>
      <c r="AA9" s="284">
        <v>143757.11261244744</v>
      </c>
      <c r="AB9" s="285">
        <v>1202725.3235106007</v>
      </c>
      <c r="AC9" s="283">
        <v>10789896.878575906</v>
      </c>
      <c r="AD9" s="284">
        <v>4659798.3434358919</v>
      </c>
      <c r="AE9" s="284">
        <v>16694.191843506916</v>
      </c>
      <c r="AF9" s="284">
        <v>0</v>
      </c>
      <c r="AG9" s="284">
        <v>0</v>
      </c>
      <c r="AH9" s="284">
        <v>0</v>
      </c>
      <c r="AI9" s="284">
        <v>19414.921934670536</v>
      </c>
      <c r="AJ9" s="285">
        <v>162443.81090530622</v>
      </c>
      <c r="AK9" s="283">
        <v>504583.62257053575</v>
      </c>
      <c r="AL9" s="284">
        <v>231978.13765941796</v>
      </c>
      <c r="AM9" s="284">
        <v>0</v>
      </c>
      <c r="AN9" s="284">
        <v>0</v>
      </c>
      <c r="AO9" s="284">
        <v>0</v>
      </c>
      <c r="AP9" s="284">
        <v>0</v>
      </c>
      <c r="AQ9" s="284">
        <v>0</v>
      </c>
      <c r="AR9" s="285">
        <v>0</v>
      </c>
      <c r="AS9" s="281">
        <f t="shared" si="0"/>
        <v>14088711.536847396</v>
      </c>
      <c r="AT9" s="281">
        <f t="shared" si="0"/>
        <v>5875284.1000130922</v>
      </c>
      <c r="AU9" s="281">
        <f t="shared" si="0"/>
        <v>598957.29760639463</v>
      </c>
      <c r="AV9" s="281">
        <f t="shared" si="0"/>
        <v>192001.24017173125</v>
      </c>
      <c r="AW9" s="281">
        <f t="shared" si="0"/>
        <v>1294596.4116856148</v>
      </c>
      <c r="AX9" s="281">
        <f t="shared" si="0"/>
        <v>357113.48479489156</v>
      </c>
      <c r="AY9" s="281">
        <f t="shared" si="0"/>
        <v>163172.03454711798</v>
      </c>
      <c r="AZ9" s="281">
        <f t="shared" si="0"/>
        <v>1365169.1344159069</v>
      </c>
      <c r="BA9" s="282">
        <f t="shared" si="2"/>
        <v>23935005.240082145</v>
      </c>
    </row>
    <row r="10" spans="1:72">
      <c r="A10" s="681"/>
      <c r="B10" s="494" t="s">
        <v>1534</v>
      </c>
      <c r="C10" s="511">
        <v>16610568.537238672</v>
      </c>
      <c r="D10" s="277">
        <f t="shared" si="1"/>
        <v>3.0245356575215973E-2</v>
      </c>
      <c r="E10" s="278">
        <v>92.325096950615716</v>
      </c>
      <c r="F10" s="279">
        <v>968365.18902203196</v>
      </c>
      <c r="G10" s="280">
        <v>787719.66339568584</v>
      </c>
      <c r="H10" s="280">
        <v>669424.24103177851</v>
      </c>
      <c r="I10" s="280">
        <v>79621.744760923422</v>
      </c>
      <c r="J10" s="280">
        <v>2734602.171787953</v>
      </c>
      <c r="K10" s="280">
        <v>10859671.670057589</v>
      </c>
      <c r="L10" s="280">
        <v>511163.85718271171</v>
      </c>
      <c r="M10" s="283">
        <v>1879371.1136497634</v>
      </c>
      <c r="N10" s="284">
        <v>625745.11848823749</v>
      </c>
      <c r="O10" s="284">
        <v>0</v>
      </c>
      <c r="P10" s="284">
        <v>0</v>
      </c>
      <c r="Q10" s="284">
        <v>0</v>
      </c>
      <c r="R10" s="284">
        <v>0</v>
      </c>
      <c r="S10" s="284">
        <v>0</v>
      </c>
      <c r="T10" s="285">
        <v>14.606072418693502</v>
      </c>
      <c r="U10" s="283">
        <v>56223.717307023922</v>
      </c>
      <c r="V10" s="284">
        <v>127817.40295091413</v>
      </c>
      <c r="W10" s="284">
        <v>373327.47584755335</v>
      </c>
      <c r="X10" s="284">
        <v>78583.143372521707</v>
      </c>
      <c r="Y10" s="284">
        <v>796593.03951106395</v>
      </c>
      <c r="Z10" s="284">
        <v>315192.95581559453</v>
      </c>
      <c r="AA10" s="284">
        <v>84312.192576945221</v>
      </c>
      <c r="AB10" s="285">
        <v>902552.2444063361</v>
      </c>
      <c r="AC10" s="283">
        <v>7049694.2243986726</v>
      </c>
      <c r="AD10" s="284">
        <v>3316152.785815795</v>
      </c>
      <c r="AE10" s="284">
        <v>0</v>
      </c>
      <c r="AF10" s="284">
        <v>0</v>
      </c>
      <c r="AG10" s="284">
        <v>0</v>
      </c>
      <c r="AH10" s="284">
        <v>0</v>
      </c>
      <c r="AI10" s="284">
        <v>90424.789541529521</v>
      </c>
      <c r="AJ10" s="285">
        <v>403399.87030159082</v>
      </c>
      <c r="AK10" s="283">
        <v>342864.0435004913</v>
      </c>
      <c r="AL10" s="284">
        <v>168299.81368222041</v>
      </c>
      <c r="AM10" s="284">
        <v>0</v>
      </c>
      <c r="AN10" s="284">
        <v>0</v>
      </c>
      <c r="AO10" s="284">
        <v>0</v>
      </c>
      <c r="AP10" s="284">
        <v>0</v>
      </c>
      <c r="AQ10" s="284">
        <v>0</v>
      </c>
      <c r="AR10" s="285">
        <v>0</v>
      </c>
      <c r="AS10" s="281">
        <f t="shared" si="0"/>
        <v>9328153.0988559499</v>
      </c>
      <c r="AT10" s="281">
        <f t="shared" si="0"/>
        <v>4238015.1209371667</v>
      </c>
      <c r="AU10" s="281">
        <f t="shared" si="0"/>
        <v>373327.47584755335</v>
      </c>
      <c r="AV10" s="281">
        <f t="shared" si="0"/>
        <v>78583.143372521707</v>
      </c>
      <c r="AW10" s="281">
        <f t="shared" si="0"/>
        <v>796593.03951106395</v>
      </c>
      <c r="AX10" s="281">
        <f t="shared" si="0"/>
        <v>315192.95581559453</v>
      </c>
      <c r="AY10" s="281">
        <f t="shared" si="0"/>
        <v>174736.98211847473</v>
      </c>
      <c r="AZ10" s="281">
        <f t="shared" si="0"/>
        <v>1305966.7207803456</v>
      </c>
      <c r="BA10" s="282">
        <f t="shared" si="2"/>
        <v>16610568.537238669</v>
      </c>
    </row>
    <row r="11" spans="1:72">
      <c r="A11" s="681"/>
      <c r="B11" s="494" t="s">
        <v>1535</v>
      </c>
      <c r="C11" s="511">
        <v>78375533.713674605</v>
      </c>
      <c r="D11" s="277">
        <f t="shared" si="1"/>
        <v>0.14271010402976964</v>
      </c>
      <c r="E11" s="278">
        <v>92.325096950615702</v>
      </c>
      <c r="F11" s="279">
        <v>4569147.5489954576</v>
      </c>
      <c r="G11" s="280">
        <v>3716787.2307913341</v>
      </c>
      <c r="H11" s="280">
        <v>3158620.4923759447</v>
      </c>
      <c r="I11" s="280">
        <v>375688.32920205069</v>
      </c>
      <c r="J11" s="280">
        <v>12902984.279434174</v>
      </c>
      <c r="K11" s="280">
        <v>51240423.299654685</v>
      </c>
      <c r="L11" s="280">
        <v>2411882.5332209594</v>
      </c>
      <c r="M11" s="283">
        <v>8652265.4779239111</v>
      </c>
      <c r="N11" s="284">
        <v>3167978.1234408752</v>
      </c>
      <c r="O11" s="284">
        <v>0</v>
      </c>
      <c r="P11" s="284">
        <v>0</v>
      </c>
      <c r="Q11" s="284">
        <v>0</v>
      </c>
      <c r="R11" s="284">
        <v>0</v>
      </c>
      <c r="S11" s="284">
        <v>0</v>
      </c>
      <c r="T11" s="285">
        <v>0</v>
      </c>
      <c r="U11" s="283">
        <v>895064.58898701216</v>
      </c>
      <c r="V11" s="284">
        <v>210870.66491157387</v>
      </c>
      <c r="W11" s="284">
        <v>1757502.0345002031</v>
      </c>
      <c r="X11" s="284">
        <v>203770.52842316352</v>
      </c>
      <c r="Y11" s="284">
        <v>4372867.9796338566</v>
      </c>
      <c r="Z11" s="284">
        <v>1094017.3979818092</v>
      </c>
      <c r="AA11" s="284">
        <v>290102.83154979203</v>
      </c>
      <c r="AB11" s="285">
        <v>4078788.2534467643</v>
      </c>
      <c r="AC11" s="283">
        <v>35329320.871670403</v>
      </c>
      <c r="AD11" s="284">
        <v>15261320.868300993</v>
      </c>
      <c r="AE11" s="284">
        <v>135.73654066432192</v>
      </c>
      <c r="AF11" s="284">
        <v>0</v>
      </c>
      <c r="AG11" s="284">
        <v>0</v>
      </c>
      <c r="AH11" s="284">
        <v>0</v>
      </c>
      <c r="AI11" s="284">
        <v>63110.874252552305</v>
      </c>
      <c r="AJ11" s="285">
        <v>586534.94889008068</v>
      </c>
      <c r="AK11" s="283">
        <v>1631033.893329449</v>
      </c>
      <c r="AL11" s="284">
        <v>780848.63989151036</v>
      </c>
      <c r="AM11" s="284">
        <v>0</v>
      </c>
      <c r="AN11" s="284">
        <v>0</v>
      </c>
      <c r="AO11" s="284">
        <v>0</v>
      </c>
      <c r="AP11" s="284">
        <v>0</v>
      </c>
      <c r="AQ11" s="284">
        <v>0</v>
      </c>
      <c r="AR11" s="285">
        <v>0</v>
      </c>
      <c r="AS11" s="281">
        <f t="shared" si="0"/>
        <v>46507684.831910774</v>
      </c>
      <c r="AT11" s="281">
        <f t="shared" si="0"/>
        <v>19421018.29654495</v>
      </c>
      <c r="AU11" s="281">
        <f t="shared" si="0"/>
        <v>1757637.7710408673</v>
      </c>
      <c r="AV11" s="281">
        <f t="shared" si="0"/>
        <v>203770.52842316352</v>
      </c>
      <c r="AW11" s="281">
        <f t="shared" si="0"/>
        <v>4372867.9796338566</v>
      </c>
      <c r="AX11" s="281">
        <f t="shared" si="0"/>
        <v>1094017.3979818092</v>
      </c>
      <c r="AY11" s="281">
        <f t="shared" si="0"/>
        <v>353213.70580234431</v>
      </c>
      <c r="AZ11" s="281">
        <f t="shared" si="0"/>
        <v>4665323.202336845</v>
      </c>
      <c r="BA11" s="282">
        <f t="shared" si="2"/>
        <v>78375533.71367462</v>
      </c>
    </row>
    <row r="12" spans="1:72" s="159" customFormat="1" ht="13" thickBot="1">
      <c r="A12" s="682"/>
      <c r="B12" s="513" t="s">
        <v>1536</v>
      </c>
      <c r="C12" s="514">
        <v>19991192.019257538</v>
      </c>
      <c r="D12" s="287">
        <f t="shared" si="1"/>
        <v>3.6400965423340717E-2</v>
      </c>
      <c r="E12" s="288">
        <v>92.325096950615702</v>
      </c>
      <c r="F12" s="289">
        <v>1165449.2376407394</v>
      </c>
      <c r="G12" s="290">
        <v>948038.29339040269</v>
      </c>
      <c r="H12" s="290">
        <v>805667.09771613497</v>
      </c>
      <c r="I12" s="290">
        <v>95826.556740395681</v>
      </c>
      <c r="J12" s="290">
        <v>3291155.0853863554</v>
      </c>
      <c r="K12" s="290">
        <v>13069858.574407509</v>
      </c>
      <c r="L12" s="290">
        <v>615197.17397600214</v>
      </c>
      <c r="M12" s="291">
        <v>2005770.7505679845</v>
      </c>
      <c r="N12" s="292">
        <v>1009210.4349196877</v>
      </c>
      <c r="O12" s="292">
        <v>0</v>
      </c>
      <c r="P12" s="292">
        <v>0</v>
      </c>
      <c r="Q12" s="292">
        <v>0</v>
      </c>
      <c r="R12" s="292">
        <v>0</v>
      </c>
      <c r="S12" s="292">
        <v>0</v>
      </c>
      <c r="T12" s="293">
        <v>0</v>
      </c>
      <c r="U12" s="291">
        <v>647923.36680807953</v>
      </c>
      <c r="V12" s="292">
        <v>150950.34049636943</v>
      </c>
      <c r="W12" s="292">
        <v>526039.41975393961</v>
      </c>
      <c r="X12" s="292">
        <v>134887.83931300163</v>
      </c>
      <c r="Y12" s="292">
        <v>744069.70160692558</v>
      </c>
      <c r="Z12" s="292">
        <v>203339.30652170378</v>
      </c>
      <c r="AA12" s="292">
        <v>87693.058411811988</v>
      </c>
      <c r="AB12" s="293">
        <v>796252.05247452366</v>
      </c>
      <c r="AC12" s="291">
        <v>6954956.5113566583</v>
      </c>
      <c r="AD12" s="292">
        <v>5049265.2735583549</v>
      </c>
      <c r="AE12" s="292">
        <v>678159.06604041741</v>
      </c>
      <c r="AF12" s="292">
        <v>0</v>
      </c>
      <c r="AG12" s="292">
        <v>0</v>
      </c>
      <c r="AH12" s="292">
        <v>0</v>
      </c>
      <c r="AI12" s="292">
        <v>17382.150455331401</v>
      </c>
      <c r="AJ12" s="293">
        <v>370095.57299674809</v>
      </c>
      <c r="AK12" s="291">
        <v>408924.59011785145</v>
      </c>
      <c r="AL12" s="292">
        <v>203791.36496143378</v>
      </c>
      <c r="AM12" s="292">
        <v>2481.2188967169814</v>
      </c>
      <c r="AN12" s="292">
        <v>0</v>
      </c>
      <c r="AO12" s="292">
        <v>0</v>
      </c>
      <c r="AP12" s="292">
        <v>0</v>
      </c>
      <c r="AQ12" s="292">
        <v>0</v>
      </c>
      <c r="AR12" s="293">
        <v>0</v>
      </c>
      <c r="AS12" s="294">
        <f t="shared" si="0"/>
        <v>10017575.218850574</v>
      </c>
      <c r="AT12" s="294">
        <f t="shared" si="0"/>
        <v>6413217.4139358457</v>
      </c>
      <c r="AU12" s="294">
        <f t="shared" si="0"/>
        <v>1206679.7046910741</v>
      </c>
      <c r="AV12" s="294">
        <f t="shared" si="0"/>
        <v>134887.83931300163</v>
      </c>
      <c r="AW12" s="294">
        <f t="shared" si="0"/>
        <v>744069.70160692558</v>
      </c>
      <c r="AX12" s="294">
        <f t="shared" si="0"/>
        <v>203339.30652170378</v>
      </c>
      <c r="AY12" s="294">
        <f t="shared" si="0"/>
        <v>105075.20886714339</v>
      </c>
      <c r="AZ12" s="294">
        <f t="shared" si="0"/>
        <v>1166347.6254712718</v>
      </c>
      <c r="BA12" s="295">
        <f t="shared" si="2"/>
        <v>19991192.019257538</v>
      </c>
    </row>
    <row r="13" spans="1:72">
      <c r="A13" s="678" t="s">
        <v>1452</v>
      </c>
      <c r="B13" s="296" t="s">
        <v>1537</v>
      </c>
      <c r="C13" s="276">
        <v>4442987.8062184351</v>
      </c>
      <c r="D13" s="277">
        <f t="shared" si="1"/>
        <v>8.0900151103890094E-3</v>
      </c>
      <c r="E13" s="278">
        <v>141.604614679127</v>
      </c>
      <c r="F13" s="279">
        <v>169259.17517266417</v>
      </c>
      <c r="G13" s="280">
        <v>39183.843101471008</v>
      </c>
      <c r="H13" s="280">
        <v>21859.0988477215</v>
      </c>
      <c r="I13" s="280">
        <v>4909.2263456678638</v>
      </c>
      <c r="J13" s="280">
        <v>1858111.8173282866</v>
      </c>
      <c r="K13" s="280">
        <v>2144566.6444759206</v>
      </c>
      <c r="L13" s="297">
        <v>205098.00094670246</v>
      </c>
      <c r="M13" s="283">
        <v>137934.02680676509</v>
      </c>
      <c r="N13" s="284">
        <v>97277.31666075949</v>
      </c>
      <c r="O13" s="284">
        <v>0</v>
      </c>
      <c r="P13" s="284">
        <v>0</v>
      </c>
      <c r="Q13" s="284">
        <v>0</v>
      </c>
      <c r="R13" s="284">
        <v>0</v>
      </c>
      <c r="S13" s="284">
        <v>0</v>
      </c>
      <c r="T13" s="285">
        <v>0</v>
      </c>
      <c r="U13" s="283">
        <v>140576.72146277488</v>
      </c>
      <c r="V13" s="284">
        <v>12443.728007353993</v>
      </c>
      <c r="W13" s="284">
        <v>373753.5530040476</v>
      </c>
      <c r="X13" s="284">
        <v>359660.22444605251</v>
      </c>
      <c r="Y13" s="284">
        <v>401941.42184487538</v>
      </c>
      <c r="Z13" s="284">
        <v>70590.525001990201</v>
      </c>
      <c r="AA13" s="284">
        <v>116825.66934066512</v>
      </c>
      <c r="AB13" s="285">
        <v>382319.97422052693</v>
      </c>
      <c r="AC13" s="283">
        <v>1100353.0825032438</v>
      </c>
      <c r="AD13" s="284">
        <v>1010626.7032852992</v>
      </c>
      <c r="AE13" s="284">
        <v>0</v>
      </c>
      <c r="AF13" s="284">
        <v>0</v>
      </c>
      <c r="AG13" s="284">
        <v>0</v>
      </c>
      <c r="AH13" s="284">
        <v>0</v>
      </c>
      <c r="AI13" s="284">
        <v>17302.888919636429</v>
      </c>
      <c r="AJ13" s="285">
        <v>16283.96976774107</v>
      </c>
      <c r="AK13" s="283">
        <v>132025.25969283318</v>
      </c>
      <c r="AL13" s="284">
        <v>54804.647697949513</v>
      </c>
      <c r="AM13" s="284">
        <v>0</v>
      </c>
      <c r="AN13" s="284">
        <v>0</v>
      </c>
      <c r="AO13" s="284">
        <v>0</v>
      </c>
      <c r="AP13" s="284">
        <v>0</v>
      </c>
      <c r="AQ13" s="284">
        <v>18268.093555919786</v>
      </c>
      <c r="AR13" s="285">
        <v>0</v>
      </c>
      <c r="AS13" s="286">
        <f t="shared" si="0"/>
        <v>1510889.0904656169</v>
      </c>
      <c r="AT13" s="286">
        <f t="shared" si="0"/>
        <v>1175152.3956513624</v>
      </c>
      <c r="AU13" s="286">
        <f t="shared" si="0"/>
        <v>373753.5530040476</v>
      </c>
      <c r="AV13" s="286">
        <f t="shared" si="0"/>
        <v>359660.22444605251</v>
      </c>
      <c r="AW13" s="286">
        <f t="shared" si="0"/>
        <v>401941.42184487538</v>
      </c>
      <c r="AX13" s="286">
        <f t="shared" si="0"/>
        <v>70590.525001990201</v>
      </c>
      <c r="AY13" s="286">
        <f>S13+AA13+AI13+AQ13</f>
        <v>152396.65181622133</v>
      </c>
      <c r="AZ13" s="286">
        <f t="shared" si="0"/>
        <v>398603.94398826797</v>
      </c>
      <c r="BA13" s="282">
        <f t="shared" si="2"/>
        <v>4442987.8062184351</v>
      </c>
    </row>
    <row r="14" spans="1:72">
      <c r="A14" s="683"/>
      <c r="B14" s="296" t="s">
        <v>1538</v>
      </c>
      <c r="C14" s="276">
        <v>8169233.5181015972</v>
      </c>
      <c r="D14" s="277">
        <f t="shared" si="1"/>
        <v>1.4874950255150236E-2</v>
      </c>
      <c r="E14" s="278">
        <v>141.604614679127</v>
      </c>
      <c r="F14" s="279">
        <v>311213.48681882425</v>
      </c>
      <c r="G14" s="280">
        <v>72046.554794625859</v>
      </c>
      <c r="H14" s="280">
        <v>40191.89130619981</v>
      </c>
      <c r="I14" s="280">
        <v>9026.4970691224134</v>
      </c>
      <c r="J14" s="280">
        <v>3416473.3284331309</v>
      </c>
      <c r="K14" s="280">
        <v>3943172.1350517781</v>
      </c>
      <c r="L14" s="297">
        <v>377109.6246279144</v>
      </c>
      <c r="M14" s="283">
        <v>432478.42998877232</v>
      </c>
      <c r="N14" s="284">
        <v>0</v>
      </c>
      <c r="O14" s="284">
        <v>0</v>
      </c>
      <c r="P14" s="284">
        <v>0</v>
      </c>
      <c r="Q14" s="284">
        <v>0</v>
      </c>
      <c r="R14" s="284">
        <v>0</v>
      </c>
      <c r="S14" s="284">
        <v>0</v>
      </c>
      <c r="T14" s="285">
        <v>0</v>
      </c>
      <c r="U14" s="283">
        <v>104084.03433983016</v>
      </c>
      <c r="V14" s="284">
        <v>26391.464520370548</v>
      </c>
      <c r="W14" s="284">
        <v>614021.9580951453</v>
      </c>
      <c r="X14" s="284">
        <v>462107.20497227821</v>
      </c>
      <c r="Y14" s="284">
        <v>833042.08265726699</v>
      </c>
      <c r="Z14" s="284">
        <v>152820.74599377968</v>
      </c>
      <c r="AA14" s="284">
        <v>150115.93636314021</v>
      </c>
      <c r="AB14" s="285">
        <v>1073889.9014913195</v>
      </c>
      <c r="AC14" s="283">
        <v>3519474.5995497908</v>
      </c>
      <c r="AD14" s="284">
        <v>402798.30001233454</v>
      </c>
      <c r="AE14" s="284">
        <v>0</v>
      </c>
      <c r="AF14" s="284">
        <v>0</v>
      </c>
      <c r="AG14" s="284">
        <v>0</v>
      </c>
      <c r="AH14" s="284">
        <v>0</v>
      </c>
      <c r="AI14" s="284">
        <v>20899.235489652616</v>
      </c>
      <c r="AJ14" s="285">
        <v>0</v>
      </c>
      <c r="AK14" s="283">
        <v>186238.18526236436</v>
      </c>
      <c r="AL14" s="284">
        <v>190871.43936555003</v>
      </c>
      <c r="AM14" s="284">
        <v>0</v>
      </c>
      <c r="AN14" s="284">
        <v>0</v>
      </c>
      <c r="AO14" s="284">
        <v>0</v>
      </c>
      <c r="AP14" s="284">
        <v>0</v>
      </c>
      <c r="AQ14" s="284">
        <v>0</v>
      </c>
      <c r="AR14" s="285">
        <v>0</v>
      </c>
      <c r="AS14" s="281">
        <f t="shared" si="0"/>
        <v>4242275.2491407581</v>
      </c>
      <c r="AT14" s="281">
        <f t="shared" si="0"/>
        <v>620061.20389825513</v>
      </c>
      <c r="AU14" s="281">
        <f t="shared" si="0"/>
        <v>614021.9580951453</v>
      </c>
      <c r="AV14" s="281">
        <f t="shared" si="0"/>
        <v>462107.20497227821</v>
      </c>
      <c r="AW14" s="281">
        <f t="shared" si="0"/>
        <v>833042.08265726699</v>
      </c>
      <c r="AX14" s="281">
        <f t="shared" si="0"/>
        <v>152820.74599377968</v>
      </c>
      <c r="AY14" s="281">
        <f t="shared" si="0"/>
        <v>171015.17185279282</v>
      </c>
      <c r="AZ14" s="281">
        <f t="shared" si="0"/>
        <v>1073889.9014913195</v>
      </c>
      <c r="BA14" s="282">
        <f t="shared" si="2"/>
        <v>8169233.5181015963</v>
      </c>
    </row>
    <row r="15" spans="1:72">
      <c r="A15" s="683"/>
      <c r="B15" s="296" t="s">
        <v>1539</v>
      </c>
      <c r="C15" s="276">
        <v>5880425.3125215936</v>
      </c>
      <c r="D15" s="277">
        <f t="shared" si="1"/>
        <v>1.070737344073522E-2</v>
      </c>
      <c r="E15" s="278">
        <v>141.60461467912702</v>
      </c>
      <c r="F15" s="279">
        <v>224019.50702381178</v>
      </c>
      <c r="G15" s="280">
        <v>51860.971235003315</v>
      </c>
      <c r="H15" s="280">
        <v>28931.161592013952</v>
      </c>
      <c r="I15" s="280">
        <v>6497.5057612264591</v>
      </c>
      <c r="J15" s="280">
        <v>2459265.755539543</v>
      </c>
      <c r="K15" s="280">
        <v>2838397.1621338488</v>
      </c>
      <c r="L15" s="297">
        <v>271453.24923614523</v>
      </c>
      <c r="M15" s="283">
        <v>216126.20932023617</v>
      </c>
      <c r="N15" s="284">
        <v>95182.936291819351</v>
      </c>
      <c r="O15" s="284">
        <v>0</v>
      </c>
      <c r="P15" s="284">
        <v>0</v>
      </c>
      <c r="Q15" s="284">
        <v>0</v>
      </c>
      <c r="R15" s="284">
        <v>0</v>
      </c>
      <c r="S15" s="284">
        <v>0</v>
      </c>
      <c r="T15" s="285">
        <v>0</v>
      </c>
      <c r="U15" s="283">
        <v>85249.57085675378</v>
      </c>
      <c r="V15" s="284">
        <v>11895.311941975517</v>
      </c>
      <c r="W15" s="284">
        <v>358786.66264350328</v>
      </c>
      <c r="X15" s="284">
        <v>316930.84850593837</v>
      </c>
      <c r="Y15" s="284">
        <v>581493.72094460123</v>
      </c>
      <c r="Z15" s="284">
        <v>142879.84662692071</v>
      </c>
      <c r="AA15" s="284">
        <v>74215.264505747691</v>
      </c>
      <c r="AB15" s="285">
        <v>887814.52951410215</v>
      </c>
      <c r="AC15" s="283">
        <v>1596893.548270162</v>
      </c>
      <c r="AD15" s="284">
        <v>570827.27466090699</v>
      </c>
      <c r="AE15" s="284">
        <v>622123.38334269868</v>
      </c>
      <c r="AF15" s="284">
        <v>0</v>
      </c>
      <c r="AG15" s="284">
        <v>0</v>
      </c>
      <c r="AH15" s="284">
        <v>0</v>
      </c>
      <c r="AI15" s="284">
        <v>973.69799759660907</v>
      </c>
      <c r="AJ15" s="285">
        <v>47579.25786248425</v>
      </c>
      <c r="AK15" s="283">
        <v>158181.08845915002</v>
      </c>
      <c r="AL15" s="284">
        <v>24894.61496090658</v>
      </c>
      <c r="AM15" s="284">
        <v>88377.545816088648</v>
      </c>
      <c r="AN15" s="284">
        <v>0</v>
      </c>
      <c r="AO15" s="284">
        <v>0</v>
      </c>
      <c r="AP15" s="284">
        <v>0</v>
      </c>
      <c r="AQ15" s="284">
        <v>0</v>
      </c>
      <c r="AR15" s="285">
        <v>0</v>
      </c>
      <c r="AS15" s="281">
        <f t="shared" si="0"/>
        <v>2056450.4169063019</v>
      </c>
      <c r="AT15" s="281">
        <f t="shared" si="0"/>
        <v>702800.13785560848</v>
      </c>
      <c r="AU15" s="281">
        <f t="shared" si="0"/>
        <v>1069287.5918022906</v>
      </c>
      <c r="AV15" s="281">
        <f t="shared" si="0"/>
        <v>316930.84850593837</v>
      </c>
      <c r="AW15" s="281">
        <f t="shared" si="0"/>
        <v>581493.72094460123</v>
      </c>
      <c r="AX15" s="281">
        <f t="shared" si="0"/>
        <v>142879.84662692071</v>
      </c>
      <c r="AY15" s="281">
        <f t="shared" si="0"/>
        <v>75188.962503344301</v>
      </c>
      <c r="AZ15" s="281">
        <f t="shared" si="0"/>
        <v>935393.78737658635</v>
      </c>
      <c r="BA15" s="282">
        <f t="shared" si="2"/>
        <v>5880425.3125215927</v>
      </c>
    </row>
    <row r="16" spans="1:72">
      <c r="A16" s="683"/>
      <c r="B16" s="296" t="s">
        <v>1540</v>
      </c>
      <c r="C16" s="276">
        <v>8936194.1313820612</v>
      </c>
      <c r="D16" s="277">
        <f t="shared" si="1"/>
        <v>1.6271470619628393E-2</v>
      </c>
      <c r="E16" s="278">
        <v>141.604614679127</v>
      </c>
      <c r="F16" s="279">
        <v>340431.46500280255</v>
      </c>
      <c r="G16" s="280">
        <v>78810.576134888834</v>
      </c>
      <c r="H16" s="280">
        <v>43965.268274406262</v>
      </c>
      <c r="I16" s="280">
        <v>9873.9410444437653</v>
      </c>
      <c r="J16" s="280">
        <v>3737225.6332148821</v>
      </c>
      <c r="K16" s="280">
        <v>4313373.0495278444</v>
      </c>
      <c r="L16" s="297">
        <v>412514.19818279095</v>
      </c>
      <c r="M16" s="283">
        <v>395618.39019616606</v>
      </c>
      <c r="N16" s="284">
        <v>77462.860260375324</v>
      </c>
      <c r="O16" s="284">
        <v>0</v>
      </c>
      <c r="P16" s="284">
        <v>0</v>
      </c>
      <c r="Q16" s="284">
        <v>0</v>
      </c>
      <c r="R16" s="284">
        <v>0</v>
      </c>
      <c r="S16" s="284">
        <v>0</v>
      </c>
      <c r="T16" s="285">
        <v>0</v>
      </c>
      <c r="U16" s="283">
        <v>97028.533506760898</v>
      </c>
      <c r="V16" s="284">
        <v>30831.703077630831</v>
      </c>
      <c r="W16" s="284">
        <v>509509.23251453118</v>
      </c>
      <c r="X16" s="284">
        <v>213033.68001914676</v>
      </c>
      <c r="Y16" s="284">
        <v>828961.98933947331</v>
      </c>
      <c r="Z16" s="284">
        <v>52957.669691063398</v>
      </c>
      <c r="AA16" s="284">
        <v>89973.057853865161</v>
      </c>
      <c r="AB16" s="285">
        <v>1914929.7672124102</v>
      </c>
      <c r="AC16" s="283">
        <v>3197591.1269872924</v>
      </c>
      <c r="AD16" s="284">
        <v>528926.294971711</v>
      </c>
      <c r="AE16" s="284">
        <v>244655.98685666162</v>
      </c>
      <c r="AF16" s="284">
        <v>0</v>
      </c>
      <c r="AG16" s="284">
        <v>0</v>
      </c>
      <c r="AH16" s="284">
        <v>0</v>
      </c>
      <c r="AI16" s="284">
        <v>107566.57105345896</v>
      </c>
      <c r="AJ16" s="285">
        <v>234633.06965872055</v>
      </c>
      <c r="AK16" s="283">
        <v>192682.22125335669</v>
      </c>
      <c r="AL16" s="284">
        <v>5875.6933925839576</v>
      </c>
      <c r="AM16" s="284">
        <v>213956.2835368503</v>
      </c>
      <c r="AN16" s="284">
        <v>0</v>
      </c>
      <c r="AO16" s="284">
        <v>0</v>
      </c>
      <c r="AP16" s="284">
        <v>0</v>
      </c>
      <c r="AQ16" s="284">
        <v>0</v>
      </c>
      <c r="AR16" s="285">
        <v>0</v>
      </c>
      <c r="AS16" s="281">
        <f t="shared" si="0"/>
        <v>3882920.2719435762</v>
      </c>
      <c r="AT16" s="281">
        <f t="shared" si="0"/>
        <v>643096.55170230113</v>
      </c>
      <c r="AU16" s="281">
        <f t="shared" si="0"/>
        <v>968121.5029080431</v>
      </c>
      <c r="AV16" s="281">
        <f t="shared" si="0"/>
        <v>213033.68001914676</v>
      </c>
      <c r="AW16" s="281">
        <f t="shared" si="0"/>
        <v>828961.98933947331</v>
      </c>
      <c r="AX16" s="281">
        <f t="shared" si="0"/>
        <v>52957.669691063398</v>
      </c>
      <c r="AY16" s="281">
        <f t="shared" si="0"/>
        <v>197539.62890732411</v>
      </c>
      <c r="AZ16" s="281">
        <f t="shared" si="0"/>
        <v>2149562.8368711309</v>
      </c>
      <c r="BA16" s="282">
        <f t="shared" si="2"/>
        <v>8936194.1313820593</v>
      </c>
    </row>
    <row r="17" spans="1:53">
      <c r="A17" s="683"/>
      <c r="B17" s="296" t="s">
        <v>1541</v>
      </c>
      <c r="C17" s="276">
        <v>24011211.693687584</v>
      </c>
      <c r="D17" s="277">
        <f t="shared" si="1"/>
        <v>4.3720818938284452E-2</v>
      </c>
      <c r="E17" s="278">
        <v>141.60461467912702</v>
      </c>
      <c r="F17" s="279">
        <v>914726.3200861417</v>
      </c>
      <c r="G17" s="280">
        <v>211761.0024418339</v>
      </c>
      <c r="H17" s="280">
        <v>118132.99355251009</v>
      </c>
      <c r="I17" s="280">
        <v>26530.901766842278</v>
      </c>
      <c r="J17" s="280">
        <v>10041782.274074188</v>
      </c>
      <c r="K17" s="280">
        <v>11589868.335821612</v>
      </c>
      <c r="L17" s="297">
        <v>1108409.8659444519</v>
      </c>
      <c r="M17" s="283">
        <v>1131949.9174419632</v>
      </c>
      <c r="N17" s="284">
        <v>139098.57423374013</v>
      </c>
      <c r="O17" s="284">
        <v>0</v>
      </c>
      <c r="P17" s="284">
        <v>0</v>
      </c>
      <c r="Q17" s="284">
        <v>0</v>
      </c>
      <c r="R17" s="284">
        <v>0</v>
      </c>
      <c r="S17" s="284">
        <v>0</v>
      </c>
      <c r="T17" s="285">
        <v>102.726171624389</v>
      </c>
      <c r="U17" s="283">
        <v>153017.35659252276</v>
      </c>
      <c r="V17" s="284">
        <v>120172.06843548569</v>
      </c>
      <c r="W17" s="284">
        <v>2012264.5992783674</v>
      </c>
      <c r="X17" s="284">
        <v>994494.46517966921</v>
      </c>
      <c r="Y17" s="284">
        <v>2503680.4403422363</v>
      </c>
      <c r="Z17" s="284">
        <v>839592.88373312552</v>
      </c>
      <c r="AA17" s="284">
        <v>352019.11322522914</v>
      </c>
      <c r="AB17" s="285">
        <v>3066541.3472875524</v>
      </c>
      <c r="AC17" s="283">
        <v>7344800.4364121938</v>
      </c>
      <c r="AD17" s="284">
        <v>2260162.9561243011</v>
      </c>
      <c r="AE17" s="284">
        <v>749953.92732611531</v>
      </c>
      <c r="AF17" s="284">
        <v>0</v>
      </c>
      <c r="AG17" s="284">
        <v>0</v>
      </c>
      <c r="AH17" s="284">
        <v>0</v>
      </c>
      <c r="AI17" s="284">
        <v>596568.05628693546</v>
      </c>
      <c r="AJ17" s="285">
        <v>638382.95967206685</v>
      </c>
      <c r="AK17" s="283">
        <v>999014.47815479594</v>
      </c>
      <c r="AL17" s="284">
        <v>104814.57861344973</v>
      </c>
      <c r="AM17" s="284">
        <v>0</v>
      </c>
      <c r="AN17" s="284">
        <v>0</v>
      </c>
      <c r="AO17" s="284">
        <v>0</v>
      </c>
      <c r="AP17" s="284">
        <v>0</v>
      </c>
      <c r="AQ17" s="284">
        <v>4558.5028501050792</v>
      </c>
      <c r="AR17" s="285">
        <v>22.30632610119752</v>
      </c>
      <c r="AS17" s="281">
        <f t="shared" si="0"/>
        <v>9628782.1886014752</v>
      </c>
      <c r="AT17" s="281">
        <f t="shared" si="0"/>
        <v>2624248.1774069769</v>
      </c>
      <c r="AU17" s="281">
        <f t="shared" si="0"/>
        <v>2762218.5266044829</v>
      </c>
      <c r="AV17" s="281">
        <f t="shared" si="0"/>
        <v>994494.46517966921</v>
      </c>
      <c r="AW17" s="281">
        <f t="shared" si="0"/>
        <v>2503680.4403422363</v>
      </c>
      <c r="AX17" s="281">
        <f t="shared" si="0"/>
        <v>839592.88373312552</v>
      </c>
      <c r="AY17" s="281">
        <f t="shared" si="0"/>
        <v>953145.6723622696</v>
      </c>
      <c r="AZ17" s="281">
        <f t="shared" si="0"/>
        <v>3705049.3394573447</v>
      </c>
      <c r="BA17" s="282">
        <f t="shared" si="2"/>
        <v>24011211.693687581</v>
      </c>
    </row>
    <row r="18" spans="1:53">
      <c r="A18" s="683"/>
      <c r="B18" s="296" t="s">
        <v>1542</v>
      </c>
      <c r="C18" s="276">
        <v>23497676.752764527</v>
      </c>
      <c r="D18" s="277">
        <f t="shared" si="1"/>
        <v>4.2785748752864276E-2</v>
      </c>
      <c r="E18" s="278">
        <v>141.604614679127</v>
      </c>
      <c r="F18" s="279">
        <v>895162.79564852675</v>
      </c>
      <c r="G18" s="280">
        <v>207232.00676822683</v>
      </c>
      <c r="H18" s="280">
        <v>115606.44801041231</v>
      </c>
      <c r="I18" s="280">
        <v>25963.477463342733</v>
      </c>
      <c r="J18" s="280">
        <v>9827015.6836719811</v>
      </c>
      <c r="K18" s="280">
        <v>11341992.36741695</v>
      </c>
      <c r="L18" s="297">
        <v>1084703.9737850837</v>
      </c>
      <c r="M18" s="283">
        <v>1158807.005191087</v>
      </c>
      <c r="N18" s="284">
        <v>85157.722699421298</v>
      </c>
      <c r="O18" s="284">
        <v>0</v>
      </c>
      <c r="P18" s="284">
        <v>0</v>
      </c>
      <c r="Q18" s="284">
        <v>0</v>
      </c>
      <c r="R18" s="284">
        <v>0</v>
      </c>
      <c r="S18" s="284">
        <v>0</v>
      </c>
      <c r="T18" s="285">
        <v>0</v>
      </c>
      <c r="U18" s="283">
        <v>291635.70589098346</v>
      </c>
      <c r="V18" s="284">
        <v>164970.00243939218</v>
      </c>
      <c r="W18" s="284">
        <v>1759308.9043014972</v>
      </c>
      <c r="X18" s="284">
        <v>1019206.0227526488</v>
      </c>
      <c r="Y18" s="284">
        <v>2460315.9204310863</v>
      </c>
      <c r="Z18" s="284">
        <v>245311.52104428606</v>
      </c>
      <c r="AA18" s="284">
        <v>422349.8673212463</v>
      </c>
      <c r="AB18" s="285">
        <v>3463917.7394908406</v>
      </c>
      <c r="AC18" s="283">
        <v>8039578.3763451269</v>
      </c>
      <c r="AD18" s="284">
        <v>2185836.3867615601</v>
      </c>
      <c r="AE18" s="284">
        <v>582131.69165127375</v>
      </c>
      <c r="AF18" s="284">
        <v>0</v>
      </c>
      <c r="AG18" s="284">
        <v>0</v>
      </c>
      <c r="AH18" s="284">
        <v>0</v>
      </c>
      <c r="AI18" s="284">
        <v>157972.42303074256</v>
      </c>
      <c r="AJ18" s="285">
        <v>376473.48962824699</v>
      </c>
      <c r="AK18" s="283">
        <v>1084703.9737850837</v>
      </c>
      <c r="AL18" s="284">
        <v>0</v>
      </c>
      <c r="AM18" s="284">
        <v>0</v>
      </c>
      <c r="AN18" s="284">
        <v>0</v>
      </c>
      <c r="AO18" s="284">
        <v>0</v>
      </c>
      <c r="AP18" s="284">
        <v>0</v>
      </c>
      <c r="AQ18" s="284">
        <v>0</v>
      </c>
      <c r="AR18" s="285">
        <v>0</v>
      </c>
      <c r="AS18" s="281">
        <f t="shared" si="0"/>
        <v>10574725.061212281</v>
      </c>
      <c r="AT18" s="281">
        <f t="shared" si="0"/>
        <v>2435964.1119003734</v>
      </c>
      <c r="AU18" s="281">
        <f t="shared" si="0"/>
        <v>2341440.5959527707</v>
      </c>
      <c r="AV18" s="281">
        <f t="shared" si="0"/>
        <v>1019206.0227526488</v>
      </c>
      <c r="AW18" s="281">
        <f t="shared" si="0"/>
        <v>2460315.9204310863</v>
      </c>
      <c r="AX18" s="281">
        <f t="shared" si="0"/>
        <v>245311.52104428606</v>
      </c>
      <c r="AY18" s="281">
        <f t="shared" si="0"/>
        <v>580322.29035198886</v>
      </c>
      <c r="AZ18" s="281">
        <f t="shared" si="0"/>
        <v>3840391.2291190876</v>
      </c>
      <c r="BA18" s="282">
        <f t="shared" si="2"/>
        <v>23497676.752764527</v>
      </c>
    </row>
    <row r="19" spans="1:53">
      <c r="A19" s="683"/>
      <c r="B19" s="296" t="s">
        <v>1543</v>
      </c>
      <c r="C19" s="276">
        <v>51321318.408548974</v>
      </c>
      <c r="D19" s="277">
        <f t="shared" si="1"/>
        <v>9.3448431442720567E-2</v>
      </c>
      <c r="E19" s="278">
        <v>141.60461467912702</v>
      </c>
      <c r="F19" s="279">
        <v>1955126.6853460269</v>
      </c>
      <c r="G19" s="280">
        <v>452615.80179595738</v>
      </c>
      <c r="H19" s="280">
        <v>252496.25275084699</v>
      </c>
      <c r="I19" s="280">
        <v>56706.87821223135</v>
      </c>
      <c r="J19" s="280">
        <v>21463202.77591693</v>
      </c>
      <c r="K19" s="280">
        <v>24772066.098281585</v>
      </c>
      <c r="L19" s="297">
        <v>2369103.9162453874</v>
      </c>
      <c r="M19" s="283">
        <v>2506828.8750806861</v>
      </c>
      <c r="N19" s="284">
        <v>210116.74302437637</v>
      </c>
      <c r="O19" s="284">
        <v>0</v>
      </c>
      <c r="P19" s="284">
        <v>0</v>
      </c>
      <c r="Q19" s="284">
        <v>0</v>
      </c>
      <c r="R19" s="284">
        <v>0</v>
      </c>
      <c r="S19" s="284">
        <v>0</v>
      </c>
      <c r="T19" s="285">
        <v>0</v>
      </c>
      <c r="U19" s="283">
        <v>673084.28741643659</v>
      </c>
      <c r="V19" s="284">
        <v>60820.114048518102</v>
      </c>
      <c r="W19" s="284">
        <v>3280161.1701495843</v>
      </c>
      <c r="X19" s="284">
        <v>3604871.3886736045</v>
      </c>
      <c r="Y19" s="284">
        <v>5236646.1461449815</v>
      </c>
      <c r="Z19" s="284">
        <v>725372.90503117221</v>
      </c>
      <c r="AA19" s="284">
        <v>1584772.7835169109</v>
      </c>
      <c r="AB19" s="285">
        <v>6297473.9809357198</v>
      </c>
      <c r="AC19" s="283">
        <v>12373881.452501521</v>
      </c>
      <c r="AD19" s="284">
        <v>3906258.9550083899</v>
      </c>
      <c r="AE19" s="284">
        <v>6906360.6437796028</v>
      </c>
      <c r="AF19" s="284">
        <v>294677.93651885045</v>
      </c>
      <c r="AG19" s="284">
        <v>0</v>
      </c>
      <c r="AH19" s="284">
        <v>0</v>
      </c>
      <c r="AI19" s="284">
        <v>0</v>
      </c>
      <c r="AJ19" s="285">
        <v>1290887.1104732179</v>
      </c>
      <c r="AK19" s="283">
        <v>1475986.3081733049</v>
      </c>
      <c r="AL19" s="284">
        <v>244963.4416785709</v>
      </c>
      <c r="AM19" s="284">
        <v>632755.26061532926</v>
      </c>
      <c r="AN19" s="284">
        <v>12282.438374665608</v>
      </c>
      <c r="AO19" s="284">
        <v>49.074364351369518</v>
      </c>
      <c r="AP19" s="284">
        <v>0</v>
      </c>
      <c r="AQ19" s="284">
        <v>28.040307127497094</v>
      </c>
      <c r="AR19" s="285">
        <v>3039.352732038014</v>
      </c>
      <c r="AS19" s="281">
        <f t="shared" si="0"/>
        <v>17029780.923171949</v>
      </c>
      <c r="AT19" s="281">
        <f t="shared" si="0"/>
        <v>4422159.2537598554</v>
      </c>
      <c r="AU19" s="281">
        <f t="shared" si="0"/>
        <v>10819277.074544515</v>
      </c>
      <c r="AV19" s="281">
        <f t="shared" si="0"/>
        <v>3911831.7635671203</v>
      </c>
      <c r="AW19" s="281">
        <f t="shared" si="0"/>
        <v>5236695.2205093326</v>
      </c>
      <c r="AX19" s="281">
        <f t="shared" si="0"/>
        <v>725372.90503117221</v>
      </c>
      <c r="AY19" s="281">
        <f t="shared" si="0"/>
        <v>1584800.8238240383</v>
      </c>
      <c r="AZ19" s="281">
        <f t="shared" si="0"/>
        <v>7591400.4441409763</v>
      </c>
      <c r="BA19" s="282">
        <f t="shared" si="2"/>
        <v>51321318.408548974</v>
      </c>
    </row>
    <row r="20" spans="1:53" ht="13" thickBot="1">
      <c r="A20" s="653"/>
      <c r="B20" s="296" t="s">
        <v>1544</v>
      </c>
      <c r="C20" s="276">
        <v>24931224.521907061</v>
      </c>
      <c r="D20" s="277">
        <f t="shared" si="1"/>
        <v>4.5396024454633192E-2</v>
      </c>
      <c r="E20" s="278">
        <v>141.604614679127</v>
      </c>
      <c r="F20" s="279">
        <v>949774.94485048414</v>
      </c>
      <c r="G20" s="280">
        <v>219874.83031726431</v>
      </c>
      <c r="H20" s="280">
        <v>122659.37359908018</v>
      </c>
      <c r="I20" s="280">
        <v>27547.458960252996</v>
      </c>
      <c r="J20" s="280">
        <v>10426542.88624954</v>
      </c>
      <c r="K20" s="280">
        <v>12033945.364601204</v>
      </c>
      <c r="L20" s="297">
        <v>1150879.6633292299</v>
      </c>
      <c r="M20" s="283">
        <v>973904.63490867044</v>
      </c>
      <c r="N20" s="284">
        <v>337001.61196280218</v>
      </c>
      <c r="O20" s="284">
        <v>8949.0782931108188</v>
      </c>
      <c r="P20" s="284">
        <v>0</v>
      </c>
      <c r="Q20" s="284">
        <v>0</v>
      </c>
      <c r="R20" s="284">
        <v>0</v>
      </c>
      <c r="S20" s="284">
        <v>0</v>
      </c>
      <c r="T20" s="285">
        <v>1.2825624980479653</v>
      </c>
      <c r="U20" s="283">
        <v>361984.7096534723</v>
      </c>
      <c r="V20" s="284">
        <v>88025.140171856328</v>
      </c>
      <c r="W20" s="284">
        <v>1780466.8304246203</v>
      </c>
      <c r="X20" s="284">
        <v>1318812.1591436421</v>
      </c>
      <c r="Y20" s="284">
        <v>2475680.8443285008</v>
      </c>
      <c r="Z20" s="284">
        <v>442917.97398342739</v>
      </c>
      <c r="AA20" s="284">
        <v>466119.26334511384</v>
      </c>
      <c r="AB20" s="285">
        <v>3492535.9651989071</v>
      </c>
      <c r="AC20" s="283">
        <v>7916677.5939243371</v>
      </c>
      <c r="AD20" s="284">
        <v>3700405.4141291804</v>
      </c>
      <c r="AE20" s="284">
        <v>86146.768340725757</v>
      </c>
      <c r="AF20" s="284">
        <v>0</v>
      </c>
      <c r="AG20" s="284">
        <v>0</v>
      </c>
      <c r="AH20" s="284">
        <v>0</v>
      </c>
      <c r="AI20" s="284">
        <v>43130.580079103951</v>
      </c>
      <c r="AJ20" s="285">
        <v>287585.00812785729</v>
      </c>
      <c r="AK20" s="283">
        <v>827016.76545657613</v>
      </c>
      <c r="AL20" s="284">
        <v>294283.06470012647</v>
      </c>
      <c r="AM20" s="284">
        <v>29579.833172527276</v>
      </c>
      <c r="AN20" s="284">
        <v>0</v>
      </c>
      <c r="AO20" s="284">
        <v>0</v>
      </c>
      <c r="AP20" s="284">
        <v>0</v>
      </c>
      <c r="AQ20" s="284">
        <v>0</v>
      </c>
      <c r="AR20" s="285">
        <v>0</v>
      </c>
      <c r="AS20" s="281">
        <f t="shared" si="0"/>
        <v>10079583.703943055</v>
      </c>
      <c r="AT20" s="281">
        <f t="shared" si="0"/>
        <v>4419715.2309639649</v>
      </c>
      <c r="AU20" s="281">
        <f t="shared" si="0"/>
        <v>1905142.5102309841</v>
      </c>
      <c r="AV20" s="281">
        <f t="shared" si="0"/>
        <v>1318812.1591436421</v>
      </c>
      <c r="AW20" s="281">
        <f t="shared" si="0"/>
        <v>2475680.8443285008</v>
      </c>
      <c r="AX20" s="281">
        <f t="shared" si="0"/>
        <v>442917.97398342739</v>
      </c>
      <c r="AY20" s="281">
        <f t="shared" si="0"/>
        <v>509249.84342421778</v>
      </c>
      <c r="AZ20" s="281">
        <f t="shared" si="0"/>
        <v>3780122.2558892625</v>
      </c>
      <c r="BA20" s="282">
        <f t="shared" si="2"/>
        <v>24931224.52190705</v>
      </c>
    </row>
    <row r="21" spans="1:53" s="158" customFormat="1">
      <c r="A21" s="680" t="s">
        <v>1454</v>
      </c>
      <c r="B21" s="298" t="s">
        <v>1545</v>
      </c>
      <c r="C21" s="299">
        <v>9902317.5423552338</v>
      </c>
      <c r="D21" s="300">
        <f t="shared" si="1"/>
        <v>1.8030636598507351E-2</v>
      </c>
      <c r="E21" s="301">
        <v>199.94947393904599</v>
      </c>
      <c r="F21" s="302">
        <v>385851.85027860606</v>
      </c>
      <c r="G21" s="303">
        <v>61543.993272008738</v>
      </c>
      <c r="H21" s="303">
        <v>12107.143179009014</v>
      </c>
      <c r="I21" s="303">
        <v>7619.98388694809</v>
      </c>
      <c r="J21" s="303">
        <v>4840100.3851558315</v>
      </c>
      <c r="K21" s="303">
        <v>4060971.9174332097</v>
      </c>
      <c r="L21" s="303">
        <v>534122.26914962009</v>
      </c>
      <c r="M21" s="304">
        <v>441131.4379183859</v>
      </c>
      <c r="N21" s="305">
        <v>25991.532698185954</v>
      </c>
      <c r="O21" s="306">
        <v>0</v>
      </c>
      <c r="P21" s="306">
        <v>0</v>
      </c>
      <c r="Q21" s="306">
        <v>0</v>
      </c>
      <c r="R21" s="306">
        <v>0</v>
      </c>
      <c r="S21" s="306">
        <v>0</v>
      </c>
      <c r="T21" s="307">
        <v>0</v>
      </c>
      <c r="U21" s="304">
        <v>194622.37668465578</v>
      </c>
      <c r="V21" s="306">
        <v>109952.30535100697</v>
      </c>
      <c r="W21" s="306">
        <v>631958.44573241775</v>
      </c>
      <c r="X21" s="306">
        <v>561009.82386927679</v>
      </c>
      <c r="Y21" s="306">
        <v>2312431.8372348463</v>
      </c>
      <c r="Z21" s="306">
        <v>401398.73698881723</v>
      </c>
      <c r="AA21" s="306">
        <v>75495.738740693938</v>
      </c>
      <c r="AB21" s="307">
        <v>553231.12055411609</v>
      </c>
      <c r="AC21" s="304">
        <v>3975291.4974163952</v>
      </c>
      <c r="AD21" s="306">
        <v>68576.890584375215</v>
      </c>
      <c r="AE21" s="306">
        <v>0</v>
      </c>
      <c r="AF21" s="306">
        <v>0</v>
      </c>
      <c r="AG21" s="306">
        <v>0</v>
      </c>
      <c r="AH21" s="306">
        <v>0</v>
      </c>
      <c r="AI21" s="306">
        <v>16990.025580756006</v>
      </c>
      <c r="AJ21" s="307">
        <v>113.50385168295416</v>
      </c>
      <c r="AK21" s="304">
        <v>357859.94429521344</v>
      </c>
      <c r="AL21" s="306">
        <v>176262.32485440664</v>
      </c>
      <c r="AM21" s="306">
        <v>0</v>
      </c>
      <c r="AN21" s="306">
        <v>0</v>
      </c>
      <c r="AO21" s="306">
        <v>0</v>
      </c>
      <c r="AP21" s="306">
        <v>0</v>
      </c>
      <c r="AQ21" s="306">
        <v>0</v>
      </c>
      <c r="AR21" s="307">
        <v>0</v>
      </c>
      <c r="AS21" s="308">
        <f t="shared" si="0"/>
        <v>4968905.2563146502</v>
      </c>
      <c r="AT21" s="308">
        <f t="shared" si="0"/>
        <v>380783.0534879748</v>
      </c>
      <c r="AU21" s="308">
        <f t="shared" si="0"/>
        <v>631958.44573241775</v>
      </c>
      <c r="AV21" s="308">
        <f t="shared" si="0"/>
        <v>561009.82386927679</v>
      </c>
      <c r="AW21" s="308">
        <f t="shared" si="0"/>
        <v>2312431.8372348463</v>
      </c>
      <c r="AX21" s="308">
        <f t="shared" si="0"/>
        <v>401398.73698881723</v>
      </c>
      <c r="AY21" s="308">
        <f t="shared" si="0"/>
        <v>92485.76432144994</v>
      </c>
      <c r="AZ21" s="308">
        <f t="shared" si="0"/>
        <v>553344.62440579908</v>
      </c>
      <c r="BA21" s="309">
        <f t="shared" si="2"/>
        <v>9902317.5423552319</v>
      </c>
    </row>
    <row r="22" spans="1:53">
      <c r="A22" s="681"/>
      <c r="B22" s="28" t="s">
        <v>1546</v>
      </c>
      <c r="C22" s="276">
        <v>30432882.188917208</v>
      </c>
      <c r="D22" s="277">
        <f t="shared" si="1"/>
        <v>5.5413718762955456E-2</v>
      </c>
      <c r="E22" s="278">
        <v>199.94947393904596</v>
      </c>
      <c r="F22" s="279">
        <v>1185841.9861489926</v>
      </c>
      <c r="G22" s="280">
        <v>189143.71193120489</v>
      </c>
      <c r="H22" s="280">
        <v>37208.992787308453</v>
      </c>
      <c r="I22" s="280">
        <v>23418.56549449559</v>
      </c>
      <c r="J22" s="280">
        <v>14875124.350834122</v>
      </c>
      <c r="K22" s="280">
        <v>12480621.774360036</v>
      </c>
      <c r="L22" s="280">
        <v>1641522.8073610479</v>
      </c>
      <c r="M22" s="283">
        <v>1372869.00646488</v>
      </c>
      <c r="N22" s="284">
        <v>62744.249897121837</v>
      </c>
      <c r="O22" s="284">
        <v>0</v>
      </c>
      <c r="P22" s="284">
        <v>0</v>
      </c>
      <c r="Q22" s="284">
        <v>0</v>
      </c>
      <c r="R22" s="284">
        <v>0</v>
      </c>
      <c r="S22" s="284">
        <v>0</v>
      </c>
      <c r="T22" s="285">
        <v>0</v>
      </c>
      <c r="U22" s="283">
        <v>637653.94901640469</v>
      </c>
      <c r="V22" s="284">
        <v>409501.20531961956</v>
      </c>
      <c r="W22" s="284">
        <v>2286383.1696376358</v>
      </c>
      <c r="X22" s="284">
        <v>671721.33131731697</v>
      </c>
      <c r="Y22" s="284">
        <v>6293049.2566817803</v>
      </c>
      <c r="Z22" s="284">
        <v>583677.15450777567</v>
      </c>
      <c r="AA22" s="284">
        <v>2136992.0714683286</v>
      </c>
      <c r="AB22" s="285">
        <v>1856146.2128852627</v>
      </c>
      <c r="AC22" s="283">
        <v>11750552.236565653</v>
      </c>
      <c r="AD22" s="284">
        <v>364440.32317241572</v>
      </c>
      <c r="AE22" s="284">
        <v>0</v>
      </c>
      <c r="AF22" s="284">
        <v>0</v>
      </c>
      <c r="AG22" s="284">
        <v>0</v>
      </c>
      <c r="AH22" s="284">
        <v>0</v>
      </c>
      <c r="AI22" s="284">
        <v>280955.02391743526</v>
      </c>
      <c r="AJ22" s="285">
        <v>84674.190704532695</v>
      </c>
      <c r="AK22" s="283">
        <v>1099812.1699734535</v>
      </c>
      <c r="AL22" s="284">
        <v>541710.63738759444</v>
      </c>
      <c r="AM22" s="284">
        <v>0</v>
      </c>
      <c r="AN22" s="284">
        <v>0</v>
      </c>
      <c r="AO22" s="284">
        <v>0</v>
      </c>
      <c r="AP22" s="284">
        <v>0</v>
      </c>
      <c r="AQ22" s="284">
        <v>0</v>
      </c>
      <c r="AR22" s="285">
        <v>0</v>
      </c>
      <c r="AS22" s="281">
        <f t="shared" si="0"/>
        <v>14860887.362020392</v>
      </c>
      <c r="AT22" s="281">
        <f t="shared" si="0"/>
        <v>1378396.4157767515</v>
      </c>
      <c r="AU22" s="281">
        <f t="shared" si="0"/>
        <v>2286383.1696376358</v>
      </c>
      <c r="AV22" s="281">
        <f t="shared" si="0"/>
        <v>671721.33131731697</v>
      </c>
      <c r="AW22" s="281">
        <f t="shared" si="0"/>
        <v>6293049.2566817803</v>
      </c>
      <c r="AX22" s="281">
        <f t="shared" si="0"/>
        <v>583677.15450777567</v>
      </c>
      <c r="AY22" s="281">
        <f t="shared" si="0"/>
        <v>2417947.0953857638</v>
      </c>
      <c r="AZ22" s="281">
        <f t="shared" si="0"/>
        <v>1940820.4035897953</v>
      </c>
      <c r="BA22" s="282">
        <f t="shared" si="2"/>
        <v>30432882.188917212</v>
      </c>
    </row>
    <row r="23" spans="1:53" s="159" customFormat="1" ht="13" thickBot="1">
      <c r="A23" s="682"/>
      <c r="B23" s="310" t="s">
        <v>1547</v>
      </c>
      <c r="C23" s="311">
        <v>21772801.940473631</v>
      </c>
      <c r="D23" s="287">
        <f t="shared" si="1"/>
        <v>3.9645010154520099E-2</v>
      </c>
      <c r="E23" s="288">
        <v>199.94947393904599</v>
      </c>
      <c r="F23" s="289">
        <v>848394.92154714395</v>
      </c>
      <c r="G23" s="290">
        <v>135320.36014859777</v>
      </c>
      <c r="H23" s="290">
        <v>26620.68039870408</v>
      </c>
      <c r="I23" s="290">
        <v>16754.502090089551</v>
      </c>
      <c r="J23" s="290">
        <v>10642210.432785532</v>
      </c>
      <c r="K23" s="290">
        <v>8929095.3219693061</v>
      </c>
      <c r="L23" s="290">
        <v>1174405.7215342568</v>
      </c>
      <c r="M23" s="291">
        <v>836881.06564445246</v>
      </c>
      <c r="N23" s="292">
        <v>190209.39854008288</v>
      </c>
      <c r="O23" s="292">
        <v>0</v>
      </c>
      <c r="P23" s="292">
        <v>0</v>
      </c>
      <c r="Q23" s="292">
        <v>0</v>
      </c>
      <c r="R23" s="292">
        <v>0</v>
      </c>
      <c r="S23" s="292">
        <v>0</v>
      </c>
      <c r="T23" s="293">
        <v>0</v>
      </c>
      <c r="U23" s="291">
        <v>461930.86564221</v>
      </c>
      <c r="V23" s="292">
        <v>49996.448962243769</v>
      </c>
      <c r="W23" s="292">
        <v>1004531.2533015115</v>
      </c>
      <c r="X23" s="292">
        <v>1365548.5754430369</v>
      </c>
      <c r="Y23" s="292">
        <v>3640490.8666728758</v>
      </c>
      <c r="Z23" s="292">
        <v>862352.60792440909</v>
      </c>
      <c r="AA23" s="292">
        <v>1842260.5997807912</v>
      </c>
      <c r="AB23" s="293">
        <v>1415099.2150584534</v>
      </c>
      <c r="AC23" s="291">
        <v>8557564.0909695569</v>
      </c>
      <c r="AD23" s="292">
        <v>371531.23099974816</v>
      </c>
      <c r="AE23" s="292">
        <v>0</v>
      </c>
      <c r="AF23" s="292">
        <v>0</v>
      </c>
      <c r="AG23" s="292">
        <v>0</v>
      </c>
      <c r="AH23" s="292">
        <v>0</v>
      </c>
      <c r="AI23" s="292">
        <v>0</v>
      </c>
      <c r="AJ23" s="293">
        <v>0</v>
      </c>
      <c r="AK23" s="291">
        <v>1116028.8289433727</v>
      </c>
      <c r="AL23" s="292">
        <v>58376.892590884105</v>
      </c>
      <c r="AM23" s="292">
        <v>0</v>
      </c>
      <c r="AN23" s="292">
        <v>0</v>
      </c>
      <c r="AO23" s="292">
        <v>0</v>
      </c>
      <c r="AP23" s="292">
        <v>0</v>
      </c>
      <c r="AQ23" s="292">
        <v>0</v>
      </c>
      <c r="AR23" s="293">
        <v>0</v>
      </c>
      <c r="AS23" s="294">
        <f t="shared" si="0"/>
        <v>10972404.851199593</v>
      </c>
      <c r="AT23" s="294">
        <f t="shared" si="0"/>
        <v>670113.97109295893</v>
      </c>
      <c r="AU23" s="294">
        <f t="shared" si="0"/>
        <v>1004531.2533015115</v>
      </c>
      <c r="AV23" s="294">
        <f t="shared" si="0"/>
        <v>1365548.5754430369</v>
      </c>
      <c r="AW23" s="294">
        <f t="shared" si="0"/>
        <v>3640490.8666728758</v>
      </c>
      <c r="AX23" s="294">
        <f t="shared" si="0"/>
        <v>862352.60792440909</v>
      </c>
      <c r="AY23" s="294">
        <f t="shared" si="0"/>
        <v>1842260.5997807912</v>
      </c>
      <c r="AZ23" s="294">
        <f t="shared" si="0"/>
        <v>1415099.2150584534</v>
      </c>
      <c r="BA23" s="295">
        <f t="shared" si="2"/>
        <v>21772801.940473631</v>
      </c>
    </row>
    <row r="24" spans="1:53">
      <c r="A24" s="678" t="s">
        <v>1453</v>
      </c>
      <c r="B24" s="28" t="s">
        <v>1548</v>
      </c>
      <c r="C24" s="276">
        <v>16652838.725563886</v>
      </c>
      <c r="D24" s="277">
        <f t="shared" si="1"/>
        <v>3.03223242548912E-2</v>
      </c>
      <c r="E24" s="278">
        <v>117.9471648922992</v>
      </c>
      <c r="F24" s="279">
        <v>1252079.6222221514</v>
      </c>
      <c r="G24" s="280">
        <v>121098.82930076309</v>
      </c>
      <c r="H24" s="280">
        <v>63312.224735448239</v>
      </c>
      <c r="I24" s="280">
        <v>27001.096381752486</v>
      </c>
      <c r="J24" s="280">
        <v>5017909.5320062079</v>
      </c>
      <c r="K24" s="280">
        <v>9064746.4765921067</v>
      </c>
      <c r="L24" s="280">
        <v>1106690.9443254548</v>
      </c>
      <c r="M24" s="283">
        <v>1137241.6208800573</v>
      </c>
      <c r="N24" s="284">
        <v>326250.15176005766</v>
      </c>
      <c r="O24" s="284">
        <v>0</v>
      </c>
      <c r="P24" s="284">
        <v>0</v>
      </c>
      <c r="Q24" s="284">
        <v>0</v>
      </c>
      <c r="R24" s="284">
        <v>0</v>
      </c>
      <c r="S24" s="284">
        <v>0</v>
      </c>
      <c r="T24" s="285">
        <v>0</v>
      </c>
      <c r="U24" s="283">
        <v>97764.144303326044</v>
      </c>
      <c r="V24" s="284">
        <v>727.51236846662766</v>
      </c>
      <c r="W24" s="284">
        <v>963798.38238488883</v>
      </c>
      <c r="X24" s="284">
        <v>1022049.909877732</v>
      </c>
      <c r="Y24" s="284">
        <v>1538782.5607703717</v>
      </c>
      <c r="Z24" s="284">
        <v>140870.35090923795</v>
      </c>
      <c r="AA24" s="284">
        <v>242865.22076120335</v>
      </c>
      <c r="AB24" s="285">
        <v>1011051.4506309817</v>
      </c>
      <c r="AC24" s="283">
        <v>6885020.5946795009</v>
      </c>
      <c r="AD24" s="284">
        <v>1707030.8180027376</v>
      </c>
      <c r="AE24" s="284">
        <v>208611.30601009287</v>
      </c>
      <c r="AF24" s="284">
        <v>0</v>
      </c>
      <c r="AG24" s="284">
        <v>0</v>
      </c>
      <c r="AH24" s="284">
        <v>0</v>
      </c>
      <c r="AI24" s="284">
        <v>0</v>
      </c>
      <c r="AJ24" s="285">
        <v>264083.75789977412</v>
      </c>
      <c r="AK24" s="283">
        <v>1034927.2914073681</v>
      </c>
      <c r="AL24" s="284">
        <v>71763.652918086576</v>
      </c>
      <c r="AM24" s="284">
        <v>0</v>
      </c>
      <c r="AN24" s="284">
        <v>0</v>
      </c>
      <c r="AO24" s="284">
        <v>0</v>
      </c>
      <c r="AP24" s="284">
        <v>0</v>
      </c>
      <c r="AQ24" s="284">
        <v>0</v>
      </c>
      <c r="AR24" s="285">
        <v>0</v>
      </c>
      <c r="AS24" s="286">
        <f t="shared" si="0"/>
        <v>9154953.6512702517</v>
      </c>
      <c r="AT24" s="286">
        <f t="shared" si="0"/>
        <v>2105772.1350493482</v>
      </c>
      <c r="AU24" s="286">
        <f t="shared" si="0"/>
        <v>1172409.6883949817</v>
      </c>
      <c r="AV24" s="286">
        <f t="shared" si="0"/>
        <v>1022049.909877732</v>
      </c>
      <c r="AW24" s="286">
        <f t="shared" si="0"/>
        <v>1538782.5607703717</v>
      </c>
      <c r="AX24" s="286">
        <f t="shared" si="0"/>
        <v>140870.35090923795</v>
      </c>
      <c r="AY24" s="286">
        <f t="shared" si="0"/>
        <v>242865.22076120335</v>
      </c>
      <c r="AZ24" s="286">
        <f t="shared" si="0"/>
        <v>1275135.2085307557</v>
      </c>
      <c r="BA24" s="282">
        <f t="shared" si="2"/>
        <v>16652838.725563886</v>
      </c>
    </row>
    <row r="25" spans="1:53">
      <c r="A25" s="683"/>
      <c r="B25" s="28" t="s">
        <v>1549</v>
      </c>
      <c r="C25" s="276">
        <v>12860737.708922133</v>
      </c>
      <c r="D25" s="277">
        <f t="shared" si="1"/>
        <v>2.3417476467144413E-2</v>
      </c>
      <c r="E25" s="278">
        <v>117.94716489229921</v>
      </c>
      <c r="F25" s="279">
        <v>966962.32260786183</v>
      </c>
      <c r="G25" s="280">
        <v>93522.810504604349</v>
      </c>
      <c r="H25" s="280">
        <v>48895.082064356</v>
      </c>
      <c r="I25" s="280">
        <v>20852.541968473706</v>
      </c>
      <c r="J25" s="280">
        <v>3875256.3092540759</v>
      </c>
      <c r="K25" s="280">
        <v>7000567.8163666734</v>
      </c>
      <c r="L25" s="280">
        <v>854680.8261560871</v>
      </c>
      <c r="M25" s="283">
        <v>688004.54177935363</v>
      </c>
      <c r="N25" s="284">
        <v>322722.6532152376</v>
      </c>
      <c r="O25" s="284">
        <v>33417.193536069739</v>
      </c>
      <c r="P25" s="284">
        <v>0</v>
      </c>
      <c r="Q25" s="284">
        <v>0</v>
      </c>
      <c r="R25" s="284">
        <v>0</v>
      </c>
      <c r="S25" s="284">
        <v>86088.368614634906</v>
      </c>
      <c r="T25" s="285">
        <v>0</v>
      </c>
      <c r="U25" s="283">
        <v>65064.754581072957</v>
      </c>
      <c r="V25" s="284">
        <v>9318.8608945401884</v>
      </c>
      <c r="W25" s="284">
        <v>581162.77136905363</v>
      </c>
      <c r="X25" s="284">
        <v>1268168.8604259379</v>
      </c>
      <c r="Y25" s="284">
        <v>773271.25068903773</v>
      </c>
      <c r="Z25" s="284">
        <v>98967.806109928933</v>
      </c>
      <c r="AA25" s="284">
        <v>141230.18782565679</v>
      </c>
      <c r="AB25" s="285">
        <v>938071.81735884701</v>
      </c>
      <c r="AC25" s="283">
        <v>5068799.7868632264</v>
      </c>
      <c r="AD25" s="284">
        <v>723209.57331364043</v>
      </c>
      <c r="AE25" s="284">
        <v>996808.51241349487</v>
      </c>
      <c r="AF25" s="284">
        <v>1314.391032362227</v>
      </c>
      <c r="AG25" s="284">
        <v>3019.5469662375485</v>
      </c>
      <c r="AH25" s="284">
        <v>0</v>
      </c>
      <c r="AI25" s="284">
        <v>31302.586931957627</v>
      </c>
      <c r="AJ25" s="285">
        <v>176113.41884575546</v>
      </c>
      <c r="AK25" s="283">
        <v>572755.3605694857</v>
      </c>
      <c r="AL25" s="284">
        <v>84023.989061219021</v>
      </c>
      <c r="AM25" s="284">
        <v>197887.44444926505</v>
      </c>
      <c r="AN25" s="284">
        <v>0</v>
      </c>
      <c r="AO25" s="284">
        <v>0</v>
      </c>
      <c r="AP25" s="284">
        <v>0</v>
      </c>
      <c r="AQ25" s="284">
        <v>0</v>
      </c>
      <c r="AR25" s="285">
        <v>14.032076117236551</v>
      </c>
      <c r="AS25" s="281">
        <f t="shared" si="0"/>
        <v>6394624.4437931385</v>
      </c>
      <c r="AT25" s="281">
        <f t="shared" si="0"/>
        <v>1139275.0764846371</v>
      </c>
      <c r="AU25" s="281">
        <f t="shared" si="0"/>
        <v>1809275.9217678832</v>
      </c>
      <c r="AV25" s="281">
        <f t="shared" si="0"/>
        <v>1269483.2514583</v>
      </c>
      <c r="AW25" s="281">
        <f t="shared" si="0"/>
        <v>776290.79765527532</v>
      </c>
      <c r="AX25" s="281">
        <f t="shared" si="0"/>
        <v>98967.806109928933</v>
      </c>
      <c r="AY25" s="281">
        <f t="shared" si="0"/>
        <v>258621.14337224932</v>
      </c>
      <c r="AZ25" s="281">
        <f t="shared" si="0"/>
        <v>1114199.2682807199</v>
      </c>
      <c r="BA25" s="282">
        <f t="shared" si="2"/>
        <v>12860737.708922133</v>
      </c>
    </row>
    <row r="26" spans="1:53">
      <c r="A26" s="683"/>
      <c r="B26" s="28" t="s">
        <v>1550</v>
      </c>
      <c r="C26" s="276">
        <v>21495373.182532851</v>
      </c>
      <c r="D26" s="277">
        <f t="shared" si="1"/>
        <v>3.9139853952953198E-2</v>
      </c>
      <c r="E26" s="278">
        <v>117.94716489229921</v>
      </c>
      <c r="F26" s="279">
        <v>1616176.0272495858</v>
      </c>
      <c r="G26" s="280">
        <v>156313.56135045999</v>
      </c>
      <c r="H26" s="280">
        <v>81722.997510069545</v>
      </c>
      <c r="I26" s="280">
        <v>34852.835160910632</v>
      </c>
      <c r="J26" s="280">
        <v>6477084.1634995705</v>
      </c>
      <c r="K26" s="280">
        <v>11700714.306461239</v>
      </c>
      <c r="L26" s="280">
        <v>1428509.2913010134</v>
      </c>
      <c r="M26" s="283">
        <v>1727296.9976982796</v>
      </c>
      <c r="N26" s="284">
        <v>140724.40451368745</v>
      </c>
      <c r="O26" s="284">
        <v>0</v>
      </c>
      <c r="P26" s="284">
        <v>0</v>
      </c>
      <c r="Q26" s="284">
        <v>0</v>
      </c>
      <c r="R26" s="284">
        <v>0</v>
      </c>
      <c r="S26" s="284">
        <v>21044.019059059236</v>
      </c>
      <c r="T26" s="285">
        <v>0</v>
      </c>
      <c r="U26" s="283">
        <v>153249.38681561439</v>
      </c>
      <c r="V26" s="284">
        <v>52584.292991440074</v>
      </c>
      <c r="W26" s="284">
        <v>791597.10343861347</v>
      </c>
      <c r="X26" s="284">
        <v>1191254.7416245851</v>
      </c>
      <c r="Y26" s="284">
        <v>2720084.196566781</v>
      </c>
      <c r="Z26" s="284">
        <v>115857.15681572867</v>
      </c>
      <c r="AA26" s="284">
        <v>290443.87715331098</v>
      </c>
      <c r="AB26" s="285">
        <v>1162013.4080934967</v>
      </c>
      <c r="AC26" s="283">
        <v>8501405.3288375363</v>
      </c>
      <c r="AD26" s="284">
        <v>1153717.8386113357</v>
      </c>
      <c r="AE26" s="284">
        <v>1654240.5822657775</v>
      </c>
      <c r="AF26" s="284">
        <v>0</v>
      </c>
      <c r="AG26" s="284">
        <v>0</v>
      </c>
      <c r="AH26" s="284">
        <v>0</v>
      </c>
      <c r="AI26" s="284">
        <v>206073.28874295353</v>
      </c>
      <c r="AJ26" s="285">
        <v>185277.26800363557</v>
      </c>
      <c r="AK26" s="283">
        <v>918853.56360227533</v>
      </c>
      <c r="AL26" s="284">
        <v>52561.061541260911</v>
      </c>
      <c r="AM26" s="284">
        <v>457094.66615747707</v>
      </c>
      <c r="AN26" s="284">
        <v>0</v>
      </c>
      <c r="AO26" s="284">
        <v>0</v>
      </c>
      <c r="AP26" s="284">
        <v>0</v>
      </c>
      <c r="AQ26" s="284">
        <v>0</v>
      </c>
      <c r="AR26" s="285">
        <v>0</v>
      </c>
      <c r="AS26" s="281">
        <f t="shared" si="0"/>
        <v>11300805.276953707</v>
      </c>
      <c r="AT26" s="281">
        <f t="shared" si="0"/>
        <v>1399587.5976577241</v>
      </c>
      <c r="AU26" s="281">
        <f t="shared" si="0"/>
        <v>2902932.3518618681</v>
      </c>
      <c r="AV26" s="281">
        <f t="shared" si="0"/>
        <v>1191254.7416245851</v>
      </c>
      <c r="AW26" s="281">
        <f t="shared" si="0"/>
        <v>2720084.196566781</v>
      </c>
      <c r="AX26" s="281">
        <f t="shared" si="0"/>
        <v>115857.15681572867</v>
      </c>
      <c r="AY26" s="281">
        <f t="shared" si="0"/>
        <v>517561.1849553237</v>
      </c>
      <c r="AZ26" s="281">
        <f t="shared" si="0"/>
        <v>1347290.6760971323</v>
      </c>
      <c r="BA26" s="282">
        <f t="shared" si="2"/>
        <v>21495373.182532851</v>
      </c>
    </row>
    <row r="27" spans="1:53">
      <c r="A27" s="683"/>
      <c r="B27" s="28" t="s">
        <v>1551</v>
      </c>
      <c r="C27" s="276">
        <v>6876260.3857971029</v>
      </c>
      <c r="D27" s="277">
        <f t="shared" si="1"/>
        <v>1.2520639905022729E-2</v>
      </c>
      <c r="E27" s="278">
        <v>117.9471648922992</v>
      </c>
      <c r="F27" s="279">
        <v>517006.47847704712</v>
      </c>
      <c r="G27" s="280">
        <v>50003.912030262349</v>
      </c>
      <c r="H27" s="280">
        <v>26142.770614642137</v>
      </c>
      <c r="I27" s="280">
        <v>11149.244431096069</v>
      </c>
      <c r="J27" s="280">
        <v>2071986.2302803635</v>
      </c>
      <c r="K27" s="280">
        <v>3742998.9043608867</v>
      </c>
      <c r="L27" s="280">
        <v>456972.84560280468</v>
      </c>
      <c r="M27" s="283">
        <v>600955.14942028385</v>
      </c>
      <c r="N27" s="284">
        <v>3347.25613276384</v>
      </c>
      <c r="O27" s="284">
        <v>0</v>
      </c>
      <c r="P27" s="284">
        <v>0</v>
      </c>
      <c r="Q27" s="284">
        <v>0</v>
      </c>
      <c r="R27" s="284">
        <v>0</v>
      </c>
      <c r="S27" s="284">
        <v>0</v>
      </c>
      <c r="T27" s="285">
        <v>0</v>
      </c>
      <c r="U27" s="283">
        <v>19448.008705862387</v>
      </c>
      <c r="V27" s="284">
        <v>91076.437859297759</v>
      </c>
      <c r="W27" s="284">
        <v>426850.16670664586</v>
      </c>
      <c r="X27" s="284">
        <v>11046.66703481667</v>
      </c>
      <c r="Y27" s="284">
        <v>765123.5958906489</v>
      </c>
      <c r="Z27" s="284">
        <v>102053.65361237312</v>
      </c>
      <c r="AA27" s="284">
        <v>122611.16922919739</v>
      </c>
      <c r="AB27" s="285">
        <v>533776.53124152112</v>
      </c>
      <c r="AC27" s="283">
        <v>3317646.6657707593</v>
      </c>
      <c r="AD27" s="284">
        <v>375471.70783975848</v>
      </c>
      <c r="AE27" s="284">
        <v>0</v>
      </c>
      <c r="AF27" s="284">
        <v>0</v>
      </c>
      <c r="AG27" s="284">
        <v>0</v>
      </c>
      <c r="AH27" s="284">
        <v>0</v>
      </c>
      <c r="AI27" s="284">
        <v>0</v>
      </c>
      <c r="AJ27" s="285">
        <v>49880.530750369129</v>
      </c>
      <c r="AK27" s="283">
        <v>306176.22874205688</v>
      </c>
      <c r="AL27" s="284">
        <v>150796.6168607478</v>
      </c>
      <c r="AM27" s="284">
        <v>0</v>
      </c>
      <c r="AN27" s="284">
        <v>0</v>
      </c>
      <c r="AO27" s="284">
        <v>0</v>
      </c>
      <c r="AP27" s="284">
        <v>0</v>
      </c>
      <c r="AQ27" s="284">
        <v>0</v>
      </c>
      <c r="AR27" s="285">
        <v>0</v>
      </c>
      <c r="AS27" s="281">
        <f t="shared" si="0"/>
        <v>4244226.0526389619</v>
      </c>
      <c r="AT27" s="281">
        <f t="shared" si="0"/>
        <v>620692.01869256794</v>
      </c>
      <c r="AU27" s="281">
        <f t="shared" si="0"/>
        <v>426850.16670664586</v>
      </c>
      <c r="AV27" s="281">
        <f t="shared" si="0"/>
        <v>11046.66703481667</v>
      </c>
      <c r="AW27" s="281">
        <f t="shared" si="0"/>
        <v>765123.5958906489</v>
      </c>
      <c r="AX27" s="281">
        <f t="shared" si="0"/>
        <v>102053.65361237312</v>
      </c>
      <c r="AY27" s="281">
        <f t="shared" si="0"/>
        <v>122611.16922919739</v>
      </c>
      <c r="AZ27" s="281">
        <f t="shared" si="0"/>
        <v>583657.06199189019</v>
      </c>
      <c r="BA27" s="282">
        <f t="shared" si="2"/>
        <v>6876260.385797102</v>
      </c>
    </row>
    <row r="28" spans="1:53">
      <c r="A28" s="679"/>
      <c r="B28" s="28" t="s">
        <v>1552</v>
      </c>
      <c r="C28" s="276">
        <v>5126798.6831815643</v>
      </c>
      <c r="D28" s="277">
        <f t="shared" si="1"/>
        <v>9.3351322632061733E-3</v>
      </c>
      <c r="E28" s="278">
        <v>117.9471648922992</v>
      </c>
      <c r="F28" s="279">
        <v>385469.42441668519</v>
      </c>
      <c r="G28" s="280">
        <v>37281.891023235046</v>
      </c>
      <c r="H28" s="280">
        <v>19491.513474198993</v>
      </c>
      <c r="I28" s="280">
        <v>8312.6479308253656</v>
      </c>
      <c r="J28" s="280">
        <v>1544830.4283114073</v>
      </c>
      <c r="K28" s="280">
        <v>2790703.1987420809</v>
      </c>
      <c r="L28" s="280">
        <v>340709.57928313105</v>
      </c>
      <c r="M28" s="283">
        <v>204440.35371507867</v>
      </c>
      <c r="N28" s="284">
        <v>177393.17201983606</v>
      </c>
      <c r="O28" s="284">
        <v>68721.95111002987</v>
      </c>
      <c r="P28" s="284">
        <v>0</v>
      </c>
      <c r="Q28" s="284">
        <v>0</v>
      </c>
      <c r="R28" s="284">
        <v>0</v>
      </c>
      <c r="S28" s="284">
        <v>0</v>
      </c>
      <c r="T28" s="285">
        <v>0</v>
      </c>
      <c r="U28" s="283">
        <v>8158.4534701575558</v>
      </c>
      <c r="V28" s="284">
        <v>1625.3881428011216</v>
      </c>
      <c r="W28" s="284">
        <v>212082.59326207239</v>
      </c>
      <c r="X28" s="284">
        <v>228368.87887407714</v>
      </c>
      <c r="Y28" s="284">
        <v>235423.68693212038</v>
      </c>
      <c r="Z28" s="284">
        <v>30114.621958405838</v>
      </c>
      <c r="AA28" s="284">
        <v>0</v>
      </c>
      <c r="AB28" s="285">
        <v>829056.8056717728</v>
      </c>
      <c r="AC28" s="283">
        <v>1674732.0320913938</v>
      </c>
      <c r="AD28" s="284">
        <v>916723.35988154134</v>
      </c>
      <c r="AE28" s="284">
        <v>0</v>
      </c>
      <c r="AF28" s="284">
        <v>0</v>
      </c>
      <c r="AG28" s="284">
        <v>0</v>
      </c>
      <c r="AH28" s="284">
        <v>0</v>
      </c>
      <c r="AI28" s="284">
        <v>5841.745182044363</v>
      </c>
      <c r="AJ28" s="285">
        <v>193406.06158710134</v>
      </c>
      <c r="AK28" s="283">
        <v>340709.57928313105</v>
      </c>
      <c r="AL28" s="284">
        <v>0</v>
      </c>
      <c r="AM28" s="284">
        <v>0</v>
      </c>
      <c r="AN28" s="284">
        <v>0</v>
      </c>
      <c r="AO28" s="284">
        <v>0</v>
      </c>
      <c r="AP28" s="284">
        <v>0</v>
      </c>
      <c r="AQ28" s="284">
        <v>0</v>
      </c>
      <c r="AR28" s="285">
        <v>0</v>
      </c>
      <c r="AS28" s="281">
        <f t="shared" si="0"/>
        <v>2228040.4185597608</v>
      </c>
      <c r="AT28" s="281">
        <f t="shared" si="0"/>
        <v>1095741.9200441786</v>
      </c>
      <c r="AU28" s="281">
        <f t="shared" si="0"/>
        <v>280804.54437210225</v>
      </c>
      <c r="AV28" s="281">
        <f t="shared" si="0"/>
        <v>228368.87887407714</v>
      </c>
      <c r="AW28" s="281">
        <f t="shared" si="0"/>
        <v>235423.68693212038</v>
      </c>
      <c r="AX28" s="281">
        <f t="shared" si="0"/>
        <v>30114.621958405838</v>
      </c>
      <c r="AY28" s="281">
        <f t="shared" si="0"/>
        <v>5841.745182044363</v>
      </c>
      <c r="AZ28" s="281">
        <f t="shared" si="0"/>
        <v>1022462.8672588741</v>
      </c>
      <c r="BA28" s="282">
        <f t="shared" si="2"/>
        <v>5126798.6831815634</v>
      </c>
    </row>
    <row r="29" spans="1:53" s="323" customFormat="1">
      <c r="A29" s="312"/>
      <c r="B29" s="313" t="s">
        <v>1553</v>
      </c>
      <c r="C29" s="314"/>
      <c r="D29" s="315"/>
      <c r="E29" s="316"/>
      <c r="F29" s="317"/>
      <c r="G29" s="318"/>
      <c r="H29" s="318"/>
      <c r="I29" s="318"/>
      <c r="J29" s="318"/>
      <c r="K29" s="318"/>
      <c r="L29" s="318"/>
      <c r="M29" s="157"/>
      <c r="N29" s="319"/>
      <c r="O29" s="319"/>
      <c r="P29" s="319"/>
      <c r="Q29" s="319"/>
      <c r="R29" s="319"/>
      <c r="S29" s="319"/>
      <c r="T29" s="320"/>
      <c r="U29" s="157"/>
      <c r="V29" s="319"/>
      <c r="W29" s="319"/>
      <c r="X29" s="319"/>
      <c r="Y29" s="319"/>
      <c r="Z29" s="319"/>
      <c r="AA29" s="319"/>
      <c r="AB29" s="320"/>
      <c r="AC29" s="157"/>
      <c r="AD29" s="319"/>
      <c r="AE29" s="319"/>
      <c r="AF29" s="319"/>
      <c r="AG29" s="319"/>
      <c r="AH29" s="319"/>
      <c r="AI29" s="319"/>
      <c r="AJ29" s="320"/>
      <c r="AK29" s="157"/>
      <c r="AL29" s="319"/>
      <c r="AM29" s="319"/>
      <c r="AN29" s="319"/>
      <c r="AO29" s="319"/>
      <c r="AP29" s="319"/>
      <c r="AQ29" s="319"/>
      <c r="AR29" s="320"/>
      <c r="AS29" s="321">
        <f>SUM(AS3:AS28)</f>
        <v>277360574.75469786</v>
      </c>
      <c r="AT29" s="321">
        <f t="shared" ref="AT29:AZ29" si="3">SUM(AT3:AT28)</f>
        <v>92254677.344063729</v>
      </c>
      <c r="AU29" s="321">
        <f t="shared" si="3"/>
        <v>41313813.038890824</v>
      </c>
      <c r="AV29" s="321">
        <f t="shared" si="3"/>
        <v>16201089.167262102</v>
      </c>
      <c r="AW29" s="321">
        <f t="shared" si="3"/>
        <v>46685130.031230643</v>
      </c>
      <c r="AX29" s="321">
        <f t="shared" si="3"/>
        <v>7677771.5836991211</v>
      </c>
      <c r="AY29" s="321">
        <f t="shared" si="3"/>
        <v>10954205.783809591</v>
      </c>
      <c r="AZ29" s="321">
        <f t="shared" si="3"/>
        <v>56746744.190457888</v>
      </c>
      <c r="BA29" s="322">
        <f t="shared" si="2"/>
        <v>549194005.89411175</v>
      </c>
    </row>
    <row r="30" spans="1:53" ht="13">
      <c r="A30" s="652" t="s">
        <v>1178</v>
      </c>
      <c r="C30" s="324">
        <f>SUM(C3:C28)</f>
        <v>549194005.89411175</v>
      </c>
      <c r="D30" s="325">
        <f>SUM(D3:D28)</f>
        <v>1</v>
      </c>
      <c r="E30" s="326"/>
      <c r="F30" s="327">
        <f t="shared" ref="F30:J30" si="4">SUM(F3:F28)</f>
        <v>31442366.979483519</v>
      </c>
      <c r="G30" s="327">
        <f t="shared" si="4"/>
        <v>12215822.909304457</v>
      </c>
      <c r="H30" s="327">
        <f t="shared" si="4"/>
        <v>9073419.1315349061</v>
      </c>
      <c r="I30" s="327">
        <f t="shared" si="4"/>
        <v>1386521.070841192</v>
      </c>
      <c r="J30" s="327">
        <f t="shared" si="4"/>
        <v>164319512.98655564</v>
      </c>
      <c r="K30" s="327">
        <f t="shared" ref="K30:M30" si="5">SUM(K3:K28)</f>
        <v>310284093.21955132</v>
      </c>
      <c r="L30" s="327">
        <f t="shared" si="5"/>
        <v>20472269.596840799</v>
      </c>
      <c r="M30" s="327">
        <f t="shared" si="5"/>
        <v>42234136.5516764</v>
      </c>
      <c r="N30" s="327">
        <f>SUM(N3:N28)</f>
        <v>11496443.29520978</v>
      </c>
      <c r="O30" s="327">
        <f>SUM(O3:O28)</f>
        <v>280299.24179765861</v>
      </c>
      <c r="P30" s="327">
        <f t="shared" ref="P30:AR30" si="6">SUM(P3:P28)</f>
        <v>0</v>
      </c>
      <c r="Q30" s="327">
        <f t="shared" si="6"/>
        <v>0</v>
      </c>
      <c r="R30" s="327">
        <f t="shared" si="6"/>
        <v>0</v>
      </c>
      <c r="S30" s="327">
        <f t="shared" si="6"/>
        <v>107132.38767369415</v>
      </c>
      <c r="T30" s="327">
        <f t="shared" si="6"/>
        <v>118.61480654113046</v>
      </c>
      <c r="U30" s="327">
        <f t="shared" si="6"/>
        <v>6323724.8488462092</v>
      </c>
      <c r="V30" s="327">
        <f t="shared" si="6"/>
        <v>2489292.2223338792</v>
      </c>
      <c r="W30" s="327">
        <f t="shared" si="6"/>
        <v>25853155.804372881</v>
      </c>
      <c r="X30" s="327">
        <f t="shared" si="6"/>
        <v>15892814.401336223</v>
      </c>
      <c r="Y30" s="327">
        <f t="shared" si="6"/>
        <v>46682061.409900054</v>
      </c>
      <c r="Z30" s="327">
        <f t="shared" si="6"/>
        <v>7677771.5836991211</v>
      </c>
      <c r="AA30" s="327">
        <f t="shared" si="6"/>
        <v>8997092.189912755</v>
      </c>
      <c r="AB30" s="327">
        <f t="shared" si="6"/>
        <v>50403600.526154466</v>
      </c>
      <c r="AC30" s="327">
        <f t="shared" si="6"/>
        <v>213959832.08395457</v>
      </c>
      <c r="AD30" s="327">
        <f t="shared" si="6"/>
        <v>74439886.84375228</v>
      </c>
      <c r="AE30" s="327">
        <f t="shared" si="6"/>
        <v>13418286.489454409</v>
      </c>
      <c r="AF30" s="327">
        <f t="shared" si="6"/>
        <v>295992.32755121269</v>
      </c>
      <c r="AG30" s="327">
        <f t="shared" si="6"/>
        <v>3019.5469662375485</v>
      </c>
      <c r="AH30" s="327">
        <f t="shared" si="6"/>
        <v>0</v>
      </c>
      <c r="AI30" s="327">
        <f t="shared" si="6"/>
        <v>1827126.5695099891</v>
      </c>
      <c r="AJ30" s="327">
        <f t="shared" si="6"/>
        <v>6339949.3583626188</v>
      </c>
      <c r="AK30" s="327">
        <f t="shared" si="6"/>
        <v>14842881.270220721</v>
      </c>
      <c r="AL30" s="327">
        <f t="shared" si="6"/>
        <v>3829054.9827677817</v>
      </c>
      <c r="AM30" s="327">
        <f t="shared" si="6"/>
        <v>1762071.5032658756</v>
      </c>
      <c r="AN30" s="327">
        <f t="shared" si="6"/>
        <v>12282.438374665608</v>
      </c>
      <c r="AO30" s="327">
        <f t="shared" si="6"/>
        <v>49.074364351369518</v>
      </c>
      <c r="AP30" s="327">
        <f t="shared" si="6"/>
        <v>0</v>
      </c>
      <c r="AQ30" s="327">
        <f t="shared" si="6"/>
        <v>22854.636713152362</v>
      </c>
      <c r="AR30" s="327">
        <f t="shared" si="6"/>
        <v>3075.6911342564481</v>
      </c>
      <c r="AS30" s="328">
        <f>AS29/$BA29</f>
        <v>0.50503205020080799</v>
      </c>
      <c r="AT30" s="328">
        <f t="shared" ref="AT30:AZ30" si="7">AT29/$BA29</f>
        <v>0.16798194509400935</v>
      </c>
      <c r="AU30" s="328">
        <f t="shared" si="7"/>
        <v>7.522626357079433E-2</v>
      </c>
      <c r="AV30" s="328">
        <f t="shared" si="7"/>
        <v>2.9499755994033518E-2</v>
      </c>
      <c r="AW30" s="328">
        <f t="shared" si="7"/>
        <v>8.500662703924676E-2</v>
      </c>
      <c r="AX30" s="328">
        <f t="shared" si="7"/>
        <v>1.398007170744585E-2</v>
      </c>
      <c r="AY30" s="328">
        <f t="shared" si="7"/>
        <v>1.9945967483704901E-2</v>
      </c>
      <c r="AZ30" s="328">
        <f t="shared" si="7"/>
        <v>0.10332731890995736</v>
      </c>
      <c r="BA30" s="282">
        <f t="shared" si="2"/>
        <v>1</v>
      </c>
    </row>
    <row r="31" spans="1:53" ht="13">
      <c r="C31" s="329"/>
      <c r="L31" s="329"/>
      <c r="N31" s="416"/>
      <c r="T31" s="330">
        <v>54118130.091164067</v>
      </c>
      <c r="AB31" s="330">
        <v>164319512.98655558</v>
      </c>
      <c r="AJ31" s="330">
        <v>310284093.21955127</v>
      </c>
      <c r="AR31" s="330">
        <v>20472269.596840803</v>
      </c>
      <c r="AS31" s="415">
        <f>SUM(AS3:AS12)</f>
        <v>154230320.53656241</v>
      </c>
      <c r="AT31" s="415">
        <f t="shared" ref="AT31:AZ31" si="8">SUM(AT3:AT12)</f>
        <v>66421118.092638902</v>
      </c>
      <c r="AU31" s="415">
        <f t="shared" si="8"/>
        <v>9945404.1839734968</v>
      </c>
      <c r="AV31" s="415">
        <f t="shared" si="8"/>
        <v>1284529.6191764651</v>
      </c>
      <c r="AW31" s="415">
        <f t="shared" si="8"/>
        <v>13081641.592428578</v>
      </c>
      <c r="AX31" s="415">
        <f t="shared" si="8"/>
        <v>2670035.4237666796</v>
      </c>
      <c r="AY31" s="415">
        <f t="shared" si="8"/>
        <v>1230352.8157793696</v>
      </c>
      <c r="AZ31" s="415">
        <f t="shared" si="8"/>
        <v>24020321.126910493</v>
      </c>
      <c r="BA31" s="282">
        <f t="shared" si="2"/>
        <v>272883723.39123636</v>
      </c>
    </row>
    <row r="32" spans="1:53">
      <c r="C32" s="331"/>
      <c r="F32" s="332"/>
      <c r="G32" s="280"/>
      <c r="H32" s="280"/>
      <c r="I32" s="280"/>
      <c r="J32" s="280"/>
      <c r="K32" s="280"/>
      <c r="L32" s="280"/>
      <c r="M32" s="333"/>
      <c r="N32" s="333"/>
      <c r="O32" s="333"/>
      <c r="P32" s="333"/>
      <c r="Q32" s="333"/>
      <c r="R32" s="333"/>
      <c r="S32" s="333"/>
      <c r="T32" s="333"/>
      <c r="U32" s="333"/>
      <c r="V32" s="333"/>
      <c r="W32" s="333"/>
      <c r="X32" s="333"/>
      <c r="Y32" s="333"/>
      <c r="Z32" s="333"/>
      <c r="AA32" s="333"/>
      <c r="AB32" s="333"/>
      <c r="AC32" s="333"/>
      <c r="AD32" s="333"/>
      <c r="AE32" s="333"/>
      <c r="AF32" s="333"/>
      <c r="AG32" s="333"/>
      <c r="AH32" s="333"/>
      <c r="AI32" s="333"/>
      <c r="AJ32" s="333"/>
      <c r="AK32" s="333"/>
      <c r="AL32" s="333"/>
      <c r="AM32" s="333"/>
      <c r="AN32" s="333"/>
      <c r="AO32" s="333"/>
      <c r="AP32" s="333"/>
      <c r="AQ32" s="333"/>
      <c r="AR32" s="333"/>
      <c r="AS32" s="333"/>
      <c r="AT32" s="333"/>
      <c r="AU32" s="333"/>
      <c r="AV32" s="333"/>
      <c r="AW32" s="333"/>
      <c r="AX32" s="333"/>
      <c r="AY32" s="333"/>
      <c r="AZ32" s="333"/>
    </row>
    <row r="33" spans="6:52" ht="13">
      <c r="F33" s="332"/>
      <c r="G33" s="280"/>
      <c r="M33" s="333"/>
      <c r="N33" s="333"/>
      <c r="O33" s="333"/>
      <c r="P33" s="333"/>
      <c r="Q33" s="333"/>
      <c r="R33" s="333"/>
      <c r="S33" s="333"/>
      <c r="T33" s="333"/>
      <c r="U33" s="333"/>
      <c r="V33" s="402" t="s">
        <v>1554</v>
      </c>
      <c r="W33" s="402"/>
      <c r="X33" s="402"/>
      <c r="Y33" s="333"/>
      <c r="Z33" s="333"/>
      <c r="AA33" s="333"/>
      <c r="AB33" s="333"/>
      <c r="AC33" s="333"/>
      <c r="AD33" s="333"/>
      <c r="AE33" s="333"/>
      <c r="AF33" s="333"/>
      <c r="AG33" s="333"/>
      <c r="AH33" s="333"/>
      <c r="AI33" s="333"/>
      <c r="AJ33" s="333"/>
      <c r="AK33" s="333"/>
      <c r="AL33" s="333"/>
      <c r="AM33" s="333"/>
      <c r="AN33" s="333"/>
      <c r="AO33" s="333"/>
      <c r="AP33" s="333"/>
      <c r="AQ33" s="333"/>
      <c r="AR33" s="333"/>
      <c r="AS33" s="333"/>
      <c r="AT33" s="392">
        <f>SUM(V3:V12)/SUM(AT3:AT12)</f>
        <v>1.8803661751973653E-2</v>
      </c>
      <c r="AU33" s="333"/>
      <c r="AV33" s="333"/>
      <c r="AW33" s="333"/>
      <c r="AX33" s="333"/>
      <c r="AY33" s="333"/>
      <c r="AZ33" s="333"/>
    </row>
    <row r="34" spans="6:52" ht="13">
      <c r="F34" s="332"/>
      <c r="K34" s="334"/>
      <c r="M34" s="333"/>
      <c r="N34" s="333"/>
      <c r="O34" s="333"/>
      <c r="P34" s="333"/>
      <c r="Q34" s="406"/>
      <c r="R34" s="333"/>
      <c r="S34" s="333"/>
      <c r="T34" s="333"/>
      <c r="U34" s="333"/>
      <c r="V34" s="402" t="s">
        <v>512</v>
      </c>
      <c r="W34" s="403">
        <f>SUM(V3:V12)</f>
        <v>1248960.2378018794</v>
      </c>
      <c r="X34" s="404">
        <f>W34/$W$38</f>
        <v>1.880366175197366E-2</v>
      </c>
      <c r="Y34" s="333"/>
      <c r="Z34" s="333"/>
      <c r="AA34" s="333"/>
      <c r="AB34" s="333"/>
      <c r="AC34" s="333"/>
      <c r="AD34" s="333"/>
      <c r="AE34" s="333"/>
      <c r="AF34" s="333"/>
      <c r="AG34" s="333"/>
      <c r="AH34" s="333"/>
      <c r="AI34" s="333"/>
      <c r="AJ34" s="333"/>
      <c r="AK34" s="333"/>
      <c r="AL34" s="333"/>
      <c r="AM34" s="333"/>
      <c r="AN34" s="333"/>
      <c r="AO34" s="333"/>
      <c r="AP34" s="333"/>
      <c r="AQ34" s="333"/>
      <c r="AR34" s="333"/>
      <c r="AS34" s="333"/>
      <c r="AT34" s="333"/>
      <c r="AU34" s="333"/>
      <c r="AV34" s="333"/>
      <c r="AW34" s="333"/>
      <c r="AX34" s="333"/>
      <c r="AY34" s="333"/>
      <c r="AZ34" s="333"/>
    </row>
    <row r="35" spans="6:52" ht="13">
      <c r="F35" s="332"/>
      <c r="J35" s="334"/>
      <c r="M35" s="333"/>
      <c r="N35" s="333"/>
      <c r="O35" s="333"/>
      <c r="P35" s="333"/>
      <c r="Q35" s="407"/>
      <c r="R35" s="408"/>
      <c r="S35" s="333"/>
      <c r="T35" s="333"/>
      <c r="U35" s="333"/>
      <c r="V35" s="402" t="s">
        <v>972</v>
      </c>
      <c r="W35" s="405">
        <f>SUM(N3:N12)</f>
        <v>9205762.7112995107</v>
      </c>
      <c r="X35" s="404">
        <f>W35/$W$38</f>
        <v>0.13859692482833616</v>
      </c>
      <c r="Y35" s="333"/>
      <c r="Z35" s="333"/>
      <c r="AA35" s="333"/>
      <c r="AB35" s="333"/>
      <c r="AC35" s="333"/>
      <c r="AD35" s="333"/>
      <c r="AE35" s="333"/>
      <c r="AF35" s="333"/>
      <c r="AG35" s="333"/>
      <c r="AH35" s="333"/>
      <c r="AI35" s="333"/>
      <c r="AJ35" s="333"/>
      <c r="AK35" s="333"/>
      <c r="AL35" s="333"/>
      <c r="AM35" s="333"/>
      <c r="AN35" s="333"/>
      <c r="AO35" s="333"/>
      <c r="AP35" s="333"/>
      <c r="AQ35" s="333"/>
      <c r="AR35" s="333"/>
      <c r="AS35" s="333"/>
      <c r="AT35" s="333"/>
      <c r="AU35" s="333"/>
      <c r="AV35" s="333"/>
      <c r="AW35" s="333"/>
      <c r="AX35" s="333"/>
      <c r="AY35" s="333"/>
      <c r="AZ35" s="333"/>
    </row>
    <row r="36" spans="6:52" ht="13">
      <c r="F36" s="332"/>
      <c r="M36" s="333"/>
      <c r="N36" s="333"/>
      <c r="O36" s="333"/>
      <c r="P36" s="333"/>
      <c r="Q36" s="333"/>
      <c r="R36" s="333"/>
      <c r="S36" s="333"/>
      <c r="T36" s="333"/>
      <c r="U36" s="333"/>
      <c r="V36" s="402" t="s">
        <v>947</v>
      </c>
      <c r="W36" s="403">
        <f>SUM(AD3:AD12)</f>
        <v>54193342.816393055</v>
      </c>
      <c r="X36" s="404">
        <f t="shared" ref="X36:X37" si="9">W36/$W$38</f>
        <v>0.81590530801978511</v>
      </c>
      <c r="Y36" s="333"/>
      <c r="Z36" s="333"/>
      <c r="AA36" s="333"/>
      <c r="AB36" s="333"/>
      <c r="AC36" s="333"/>
      <c r="AD36" s="333"/>
      <c r="AE36" s="333"/>
      <c r="AF36" s="333"/>
      <c r="AG36" s="333"/>
      <c r="AH36" s="333"/>
      <c r="AI36" s="333"/>
      <c r="AJ36" s="333"/>
      <c r="AK36" s="333"/>
      <c r="AL36" s="333"/>
      <c r="AM36" s="333"/>
      <c r="AN36" s="333"/>
      <c r="AO36" s="333"/>
      <c r="AP36" s="333"/>
      <c r="AQ36" s="333"/>
      <c r="AR36" s="333"/>
      <c r="AS36" s="333"/>
      <c r="AT36" s="333"/>
      <c r="AU36" s="333"/>
      <c r="AV36" s="333"/>
      <c r="AW36" s="333"/>
      <c r="AX36" s="333"/>
      <c r="AY36" s="333"/>
      <c r="AZ36" s="333"/>
    </row>
    <row r="37" spans="6:52" ht="13">
      <c r="F37" s="332"/>
      <c r="M37" s="333"/>
      <c r="N37" s="333"/>
      <c r="O37" s="333"/>
      <c r="P37" s="333"/>
      <c r="Q37" s="333"/>
      <c r="R37" s="333"/>
      <c r="S37" s="333"/>
      <c r="T37" s="333"/>
      <c r="U37" s="333"/>
      <c r="V37" s="67" t="s">
        <v>1555</v>
      </c>
      <c r="W37" s="403">
        <f>SUM(AL3:AL12)</f>
        <v>1773052.3271444454</v>
      </c>
      <c r="X37" s="404">
        <f t="shared" si="9"/>
        <v>2.6694105399905091E-2</v>
      </c>
      <c r="Y37" s="333"/>
      <c r="Z37" s="333"/>
      <c r="AA37" s="333"/>
      <c r="AB37" s="333"/>
      <c r="AC37" s="333"/>
      <c r="AD37" s="333"/>
      <c r="AE37" s="333"/>
      <c r="AF37" s="333"/>
      <c r="AG37" s="333"/>
      <c r="AH37" s="333"/>
      <c r="AI37" s="333"/>
      <c r="AJ37" s="333"/>
      <c r="AK37" s="333"/>
      <c r="AL37" s="333"/>
      <c r="AM37" s="333"/>
      <c r="AN37" s="333"/>
      <c r="AO37" s="333"/>
      <c r="AP37" s="333"/>
      <c r="AQ37" s="333"/>
      <c r="AR37" s="333"/>
      <c r="AS37" s="333"/>
      <c r="AT37" s="333"/>
      <c r="AU37" s="333"/>
      <c r="AV37" s="333"/>
      <c r="AW37" s="333"/>
      <c r="AX37" s="333"/>
      <c r="AY37" s="333"/>
      <c r="AZ37" s="333"/>
    </row>
    <row r="38" spans="6:52" ht="13">
      <c r="F38" s="332"/>
      <c r="J38" s="332"/>
      <c r="K38" s="332"/>
      <c r="M38" s="333"/>
      <c r="N38" s="333"/>
      <c r="O38" s="333"/>
      <c r="P38" s="333"/>
      <c r="Q38" s="333"/>
      <c r="R38" s="333"/>
      <c r="S38" s="333"/>
      <c r="T38" s="333"/>
      <c r="U38" s="333"/>
      <c r="V38" s="402"/>
      <c r="W38" s="403">
        <f>SUM(W34:W37)</f>
        <v>66421118.092638887</v>
      </c>
      <c r="X38" s="402"/>
      <c r="Y38" s="333"/>
      <c r="Z38" s="333"/>
      <c r="AA38" s="333"/>
      <c r="AB38" s="333"/>
      <c r="AC38" s="333"/>
      <c r="AD38" s="333"/>
      <c r="AE38" s="333"/>
      <c r="AF38" s="333"/>
      <c r="AG38" s="333"/>
      <c r="AH38" s="333"/>
      <c r="AI38" s="333"/>
      <c r="AJ38" s="333"/>
      <c r="AK38" s="333"/>
      <c r="AL38" s="333"/>
      <c r="AM38" s="333"/>
      <c r="AN38" s="333"/>
      <c r="AO38" s="333"/>
      <c r="AP38" s="333"/>
      <c r="AQ38" s="333"/>
      <c r="AR38" s="333"/>
      <c r="AS38" s="333"/>
      <c r="AT38" s="333"/>
      <c r="AU38" s="333"/>
      <c r="AV38" s="333"/>
      <c r="AW38" s="333"/>
      <c r="AX38" s="333"/>
      <c r="AY38" s="333"/>
      <c r="AZ38" s="333"/>
    </row>
    <row r="39" spans="6:52">
      <c r="F39" s="332"/>
      <c r="M39" s="333"/>
      <c r="N39" s="333"/>
      <c r="O39" s="333"/>
      <c r="P39" s="333"/>
      <c r="Q39" s="333"/>
      <c r="R39" s="333"/>
      <c r="S39" s="333"/>
      <c r="T39" s="333"/>
      <c r="U39" s="333"/>
      <c r="V39" s="333"/>
      <c r="W39" s="333"/>
      <c r="X39" s="333"/>
      <c r="Y39" s="333"/>
      <c r="Z39" s="333"/>
      <c r="AA39" s="333"/>
      <c r="AB39" s="333"/>
      <c r="AC39" s="333"/>
      <c r="AD39" s="333"/>
      <c r="AE39" s="333"/>
      <c r="AF39" s="333"/>
      <c r="AG39" s="333"/>
      <c r="AH39" s="333"/>
      <c r="AI39" s="333"/>
      <c r="AJ39" s="333"/>
      <c r="AK39" s="333"/>
      <c r="AL39" s="333"/>
      <c r="AM39" s="333"/>
      <c r="AN39" s="333"/>
      <c r="AO39" s="333"/>
      <c r="AP39" s="333"/>
      <c r="AQ39" s="333"/>
      <c r="AR39" s="333"/>
      <c r="AS39" s="333"/>
      <c r="AT39" s="333"/>
      <c r="AU39" s="333"/>
      <c r="AV39" s="333"/>
      <c r="AW39" s="333"/>
      <c r="AX39" s="333"/>
      <c r="AY39" s="333"/>
      <c r="AZ39" s="333"/>
    </row>
    <row r="40" spans="6:52">
      <c r="F40" s="332"/>
      <c r="M40" s="333"/>
      <c r="N40" s="333"/>
      <c r="O40" s="333"/>
      <c r="P40" s="333"/>
      <c r="Q40" s="333"/>
      <c r="R40" s="333"/>
      <c r="S40" s="333"/>
      <c r="T40" s="333"/>
      <c r="U40" s="333"/>
      <c r="V40" s="333"/>
      <c r="W40" s="333"/>
      <c r="X40" s="333"/>
      <c r="Y40" s="333"/>
      <c r="Z40" s="333"/>
      <c r="AA40" s="333"/>
      <c r="AB40" s="333"/>
      <c r="AC40" s="333"/>
      <c r="AD40" s="333"/>
      <c r="AE40" s="333"/>
      <c r="AF40" s="333"/>
      <c r="AG40" s="333"/>
      <c r="AH40" s="333"/>
      <c r="AI40" s="333"/>
      <c r="AJ40" s="333"/>
      <c r="AK40" s="333"/>
      <c r="AL40" s="333"/>
      <c r="AM40" s="333"/>
      <c r="AN40" s="333"/>
      <c r="AO40" s="333"/>
      <c r="AP40" s="333"/>
      <c r="AQ40" s="333"/>
      <c r="AR40" s="333"/>
      <c r="AS40" s="333"/>
      <c r="AT40" s="333"/>
      <c r="AU40" s="333"/>
      <c r="AV40" s="333"/>
      <c r="AW40" s="333"/>
      <c r="AX40" s="333"/>
      <c r="AY40" s="333"/>
      <c r="AZ40" s="333"/>
    </row>
    <row r="41" spans="6:52">
      <c r="F41" s="332"/>
      <c r="M41" s="333"/>
      <c r="N41" s="333"/>
      <c r="O41" s="333"/>
      <c r="P41" s="333"/>
      <c r="Q41" s="333"/>
      <c r="R41" s="333"/>
      <c r="S41" s="333"/>
      <c r="T41" s="333"/>
      <c r="U41" s="333"/>
      <c r="V41" s="333"/>
      <c r="W41" s="333"/>
      <c r="X41" s="333"/>
      <c r="Y41" s="333"/>
      <c r="Z41" s="333"/>
      <c r="AA41" s="333"/>
      <c r="AB41" s="333"/>
      <c r="AC41" s="333"/>
      <c r="AD41" s="333"/>
      <c r="AE41" s="333"/>
      <c r="AF41" s="333"/>
      <c r="AG41" s="333"/>
      <c r="AH41" s="333"/>
      <c r="AI41" s="333"/>
      <c r="AJ41" s="333"/>
      <c r="AK41" s="333"/>
      <c r="AL41" s="333"/>
      <c r="AM41" s="333"/>
      <c r="AN41" s="333"/>
      <c r="AO41" s="333"/>
      <c r="AP41" s="333"/>
      <c r="AQ41" s="333"/>
      <c r="AR41" s="333"/>
      <c r="AS41" s="333"/>
      <c r="AT41" s="333"/>
      <c r="AU41" s="333"/>
      <c r="AV41" s="333"/>
      <c r="AW41" s="333"/>
      <c r="AX41" s="333"/>
      <c r="AY41" s="333"/>
      <c r="AZ41" s="333"/>
    </row>
    <row r="42" spans="6:52">
      <c r="F42" s="332"/>
      <c r="M42" s="333"/>
      <c r="N42" s="333"/>
      <c r="O42" s="333"/>
      <c r="P42" s="333"/>
      <c r="Q42" s="333"/>
      <c r="R42" s="333"/>
      <c r="S42" s="333"/>
      <c r="T42" s="333"/>
      <c r="U42" s="333"/>
      <c r="V42" s="333"/>
      <c r="W42" s="333"/>
      <c r="X42" s="333"/>
      <c r="Y42" s="333"/>
      <c r="Z42" s="333"/>
      <c r="AA42" s="333"/>
      <c r="AB42" s="333"/>
      <c r="AC42" s="333"/>
      <c r="AD42" s="333"/>
      <c r="AE42" s="333"/>
      <c r="AF42" s="333"/>
      <c r="AG42" s="333"/>
      <c r="AH42" s="333"/>
      <c r="AI42" s="333"/>
      <c r="AJ42" s="333"/>
      <c r="AK42" s="333"/>
      <c r="AL42" s="333"/>
      <c r="AM42" s="333"/>
      <c r="AN42" s="333"/>
      <c r="AO42" s="333"/>
      <c r="AP42" s="333"/>
      <c r="AQ42" s="333"/>
      <c r="AR42" s="333"/>
      <c r="AS42" s="333"/>
      <c r="AT42" s="333"/>
      <c r="AU42" s="333"/>
      <c r="AV42" s="333"/>
      <c r="AW42" s="333"/>
      <c r="AX42" s="333"/>
      <c r="AY42" s="333"/>
      <c r="AZ42" s="333"/>
    </row>
    <row r="43" spans="6:52">
      <c r="F43" s="332"/>
      <c r="M43" s="333"/>
      <c r="N43" s="333"/>
      <c r="O43" s="333"/>
      <c r="P43" s="333"/>
      <c r="Q43" s="333"/>
      <c r="R43" s="333"/>
      <c r="S43" s="333"/>
      <c r="T43" s="333"/>
      <c r="U43" s="333"/>
      <c r="V43" s="333"/>
      <c r="W43" s="333"/>
      <c r="X43" s="333"/>
      <c r="Y43" s="333"/>
      <c r="Z43" s="333"/>
      <c r="AA43" s="333"/>
      <c r="AB43" s="333"/>
      <c r="AC43" s="333"/>
      <c r="AD43" s="333"/>
      <c r="AE43" s="333"/>
      <c r="AF43" s="333"/>
      <c r="AG43" s="333"/>
      <c r="AH43" s="333"/>
      <c r="AI43" s="333"/>
      <c r="AJ43" s="333"/>
      <c r="AK43" s="333"/>
      <c r="AL43" s="333"/>
      <c r="AM43" s="333"/>
      <c r="AN43" s="333"/>
      <c r="AO43" s="333"/>
      <c r="AP43" s="333"/>
      <c r="AQ43" s="333"/>
      <c r="AR43" s="333"/>
      <c r="AS43" s="333"/>
      <c r="AT43" s="333"/>
      <c r="AU43" s="333"/>
      <c r="AV43" s="333"/>
      <c r="AW43" s="333"/>
      <c r="AX43" s="333"/>
      <c r="AY43" s="333"/>
      <c r="AZ43" s="333"/>
    </row>
    <row r="44" spans="6:52">
      <c r="F44" s="332"/>
      <c r="M44" s="333"/>
      <c r="N44" s="333"/>
      <c r="O44" s="333"/>
      <c r="P44" s="333"/>
      <c r="Q44" s="333"/>
      <c r="R44" s="333"/>
      <c r="S44" s="333"/>
      <c r="T44" s="333"/>
      <c r="U44" s="333"/>
      <c r="V44" s="333"/>
      <c r="W44" s="333"/>
      <c r="X44" s="333"/>
      <c r="Y44" s="333"/>
      <c r="Z44" s="333"/>
      <c r="AA44" s="333"/>
      <c r="AB44" s="333"/>
      <c r="AC44" s="333"/>
      <c r="AD44" s="333"/>
      <c r="AE44" s="333"/>
      <c r="AF44" s="333"/>
      <c r="AG44" s="333"/>
      <c r="AH44" s="333"/>
      <c r="AI44" s="333"/>
      <c r="AJ44" s="333"/>
      <c r="AK44" s="333"/>
      <c r="AL44" s="333"/>
      <c r="AM44" s="333"/>
      <c r="AN44" s="333"/>
      <c r="AO44" s="333"/>
      <c r="AP44" s="333"/>
      <c r="AQ44" s="333"/>
      <c r="AR44" s="333"/>
      <c r="AS44" s="333"/>
      <c r="AT44" s="333"/>
      <c r="AU44" s="333"/>
      <c r="AV44" s="333"/>
      <c r="AW44" s="333"/>
      <c r="AX44" s="333"/>
      <c r="AY44" s="333"/>
      <c r="AZ44" s="333"/>
    </row>
    <row r="45" spans="6:52">
      <c r="F45" s="332"/>
      <c r="M45" s="333"/>
      <c r="N45" s="333"/>
      <c r="O45" s="333"/>
      <c r="P45" s="333"/>
      <c r="Q45" s="333"/>
      <c r="R45" s="333"/>
      <c r="S45" s="333"/>
      <c r="T45" s="333"/>
      <c r="U45" s="333"/>
      <c r="V45" s="333"/>
      <c r="W45" s="333"/>
      <c r="X45" s="333"/>
      <c r="Y45" s="333"/>
      <c r="Z45" s="333"/>
      <c r="AA45" s="333"/>
      <c r="AB45" s="333"/>
      <c r="AC45" s="333"/>
      <c r="AD45" s="333"/>
      <c r="AE45" s="333"/>
      <c r="AF45" s="333"/>
      <c r="AG45" s="333"/>
      <c r="AH45" s="333"/>
      <c r="AI45" s="333"/>
      <c r="AJ45" s="333"/>
      <c r="AK45" s="333"/>
      <c r="AL45" s="333"/>
      <c r="AM45" s="333"/>
      <c r="AN45" s="333"/>
      <c r="AO45" s="333"/>
      <c r="AP45" s="333"/>
      <c r="AQ45" s="333"/>
      <c r="AR45" s="333"/>
      <c r="AS45" s="333"/>
      <c r="AT45" s="333"/>
      <c r="AU45" s="333"/>
      <c r="AV45" s="333"/>
      <c r="AW45" s="333"/>
      <c r="AX45" s="333"/>
      <c r="AY45" s="333"/>
      <c r="AZ45" s="333"/>
    </row>
    <row r="46" spans="6:52">
      <c r="F46" s="332"/>
      <c r="M46" s="333"/>
      <c r="N46" s="333"/>
      <c r="O46" s="333"/>
      <c r="P46" s="333"/>
      <c r="Q46" s="333"/>
      <c r="R46" s="333"/>
      <c r="S46" s="333"/>
      <c r="T46" s="333"/>
      <c r="U46" s="333"/>
      <c r="V46" s="333"/>
      <c r="W46" s="333"/>
      <c r="X46" s="333"/>
      <c r="Y46" s="333"/>
      <c r="Z46" s="333"/>
      <c r="AA46" s="333"/>
      <c r="AB46" s="333"/>
      <c r="AC46" s="333"/>
      <c r="AD46" s="333"/>
      <c r="AE46" s="333"/>
      <c r="AF46" s="333"/>
      <c r="AG46" s="333"/>
      <c r="AH46" s="333"/>
      <c r="AI46" s="333"/>
      <c r="AJ46" s="333"/>
      <c r="AK46" s="333"/>
      <c r="AL46" s="333"/>
      <c r="AM46" s="333"/>
      <c r="AN46" s="333"/>
      <c r="AO46" s="333"/>
      <c r="AP46" s="333"/>
      <c r="AQ46" s="333"/>
      <c r="AR46" s="333"/>
      <c r="AS46" s="333"/>
      <c r="AT46" s="333"/>
      <c r="AU46" s="333"/>
      <c r="AV46" s="333"/>
      <c r="AW46" s="333"/>
      <c r="AX46" s="333"/>
      <c r="AY46" s="333"/>
      <c r="AZ46" s="333"/>
    </row>
    <row r="47" spans="6:52">
      <c r="F47" s="332"/>
      <c r="M47" s="333"/>
      <c r="N47" s="333"/>
      <c r="O47" s="333"/>
      <c r="P47" s="333"/>
      <c r="Q47" s="333"/>
      <c r="R47" s="333"/>
      <c r="S47" s="333"/>
      <c r="T47" s="333"/>
      <c r="U47" s="333"/>
      <c r="V47" s="333"/>
      <c r="W47" s="333"/>
      <c r="X47" s="333"/>
      <c r="Y47" s="333"/>
      <c r="Z47" s="333"/>
      <c r="AA47" s="333"/>
      <c r="AB47" s="333"/>
      <c r="AC47" s="333"/>
      <c r="AD47" s="333"/>
      <c r="AE47" s="333"/>
      <c r="AF47" s="333"/>
      <c r="AG47" s="333"/>
      <c r="AH47" s="333"/>
      <c r="AI47" s="333"/>
      <c r="AJ47" s="333"/>
      <c r="AK47" s="333"/>
      <c r="AL47" s="333"/>
      <c r="AM47" s="333"/>
      <c r="AN47" s="333"/>
      <c r="AO47" s="333"/>
      <c r="AP47" s="333"/>
      <c r="AQ47" s="333"/>
      <c r="AR47" s="333"/>
      <c r="AS47" s="333"/>
      <c r="AT47" s="333"/>
      <c r="AU47" s="333"/>
      <c r="AV47" s="333"/>
      <c r="AW47" s="333"/>
      <c r="AX47" s="333"/>
      <c r="AY47" s="333"/>
      <c r="AZ47" s="333"/>
    </row>
    <row r="48" spans="6:52">
      <c r="F48" s="332"/>
      <c r="M48" s="333"/>
      <c r="N48" s="333"/>
      <c r="O48" s="333"/>
      <c r="P48" s="333"/>
      <c r="Q48" s="333"/>
      <c r="R48" s="333"/>
      <c r="S48" s="333"/>
      <c r="T48" s="333"/>
      <c r="U48" s="333"/>
      <c r="V48" s="333"/>
      <c r="W48" s="333"/>
      <c r="X48" s="333"/>
      <c r="Y48" s="333"/>
      <c r="Z48" s="333"/>
      <c r="AA48" s="333"/>
      <c r="AB48" s="333"/>
      <c r="AC48" s="333"/>
      <c r="AD48" s="333"/>
      <c r="AE48" s="333"/>
      <c r="AF48" s="333"/>
      <c r="AG48" s="333"/>
      <c r="AH48" s="333"/>
      <c r="AI48" s="333"/>
      <c r="AJ48" s="333"/>
      <c r="AK48" s="333"/>
      <c r="AL48" s="333"/>
      <c r="AM48" s="333"/>
      <c r="AN48" s="333"/>
      <c r="AO48" s="333"/>
      <c r="AP48" s="333"/>
      <c r="AQ48" s="333"/>
      <c r="AR48" s="333"/>
      <c r="AS48" s="333"/>
      <c r="AT48" s="333"/>
      <c r="AU48" s="333"/>
      <c r="AV48" s="333"/>
      <c r="AW48" s="333"/>
      <c r="AX48" s="333"/>
      <c r="AY48" s="333"/>
      <c r="AZ48" s="333"/>
    </row>
    <row r="49" spans="6:52">
      <c r="F49" s="332"/>
      <c r="M49" s="333"/>
      <c r="N49" s="333"/>
      <c r="O49" s="333"/>
      <c r="P49" s="333"/>
      <c r="Q49" s="333"/>
      <c r="R49" s="333"/>
      <c r="S49" s="333"/>
      <c r="T49" s="333"/>
      <c r="U49" s="333"/>
      <c r="V49" s="333"/>
      <c r="W49" s="333"/>
      <c r="X49" s="333"/>
      <c r="Y49" s="333"/>
      <c r="Z49" s="333"/>
      <c r="AA49" s="333"/>
      <c r="AB49" s="333"/>
      <c r="AC49" s="333"/>
      <c r="AD49" s="333"/>
      <c r="AE49" s="333"/>
      <c r="AF49" s="333"/>
      <c r="AG49" s="333"/>
      <c r="AH49" s="333"/>
      <c r="AI49" s="333"/>
      <c r="AJ49" s="333"/>
      <c r="AK49" s="333"/>
      <c r="AL49" s="333"/>
      <c r="AM49" s="333"/>
      <c r="AN49" s="333"/>
      <c r="AO49" s="333"/>
      <c r="AP49" s="333"/>
      <c r="AQ49" s="333"/>
      <c r="AR49" s="333"/>
      <c r="AS49" s="333"/>
      <c r="AT49" s="333"/>
      <c r="AU49" s="333"/>
      <c r="AV49" s="333"/>
      <c r="AW49" s="333"/>
      <c r="AX49" s="333"/>
      <c r="AY49" s="333"/>
      <c r="AZ49" s="333"/>
    </row>
    <row r="50" spans="6:52">
      <c r="F50" s="332"/>
      <c r="M50" s="333"/>
      <c r="N50" s="333"/>
      <c r="O50" s="333"/>
      <c r="P50" s="333"/>
      <c r="Q50" s="333"/>
      <c r="R50" s="333"/>
      <c r="S50" s="333"/>
      <c r="T50" s="333"/>
      <c r="U50" s="333"/>
      <c r="V50" s="333"/>
      <c r="W50" s="333"/>
      <c r="X50" s="333"/>
      <c r="Y50" s="333"/>
      <c r="Z50" s="333"/>
      <c r="AA50" s="333"/>
      <c r="AB50" s="333"/>
      <c r="AC50" s="333"/>
      <c r="AD50" s="333"/>
      <c r="AE50" s="333"/>
      <c r="AF50" s="333"/>
      <c r="AG50" s="333"/>
      <c r="AH50" s="333"/>
      <c r="AI50" s="333"/>
      <c r="AJ50" s="333"/>
      <c r="AK50" s="333"/>
      <c r="AL50" s="333"/>
      <c r="AM50" s="333"/>
      <c r="AN50" s="333"/>
      <c r="AO50" s="333"/>
      <c r="AP50" s="333"/>
      <c r="AQ50" s="333"/>
      <c r="AR50" s="333"/>
      <c r="AS50" s="333"/>
      <c r="AT50" s="333"/>
      <c r="AU50" s="333"/>
      <c r="AV50" s="333"/>
      <c r="AW50" s="333"/>
      <c r="AX50" s="333"/>
      <c r="AY50" s="333"/>
      <c r="AZ50" s="333"/>
    </row>
    <row r="51" spans="6:52">
      <c r="F51" s="332"/>
      <c r="M51" s="333"/>
      <c r="N51" s="333"/>
      <c r="O51" s="333"/>
      <c r="P51" s="333"/>
      <c r="Q51" s="333"/>
      <c r="R51" s="333"/>
      <c r="S51" s="333"/>
      <c r="T51" s="333"/>
      <c r="U51" s="333"/>
      <c r="V51" s="333"/>
      <c r="W51" s="333"/>
      <c r="X51" s="333"/>
      <c r="Y51" s="333"/>
      <c r="Z51" s="333"/>
      <c r="AA51" s="333"/>
      <c r="AB51" s="333"/>
      <c r="AC51" s="333"/>
      <c r="AD51" s="333"/>
      <c r="AE51" s="333"/>
      <c r="AF51" s="333"/>
      <c r="AG51" s="333"/>
      <c r="AH51" s="333"/>
      <c r="AI51" s="333"/>
      <c r="AJ51" s="333"/>
      <c r="AK51" s="333"/>
      <c r="AL51" s="333"/>
      <c r="AM51" s="333"/>
      <c r="AN51" s="333"/>
      <c r="AO51" s="333"/>
      <c r="AP51" s="333"/>
      <c r="AQ51" s="333"/>
      <c r="AR51" s="333"/>
      <c r="AS51" s="333"/>
      <c r="AT51" s="333"/>
      <c r="AU51" s="333"/>
      <c r="AV51" s="333"/>
      <c r="AW51" s="333"/>
      <c r="AX51" s="333"/>
      <c r="AY51" s="333"/>
      <c r="AZ51" s="333"/>
    </row>
    <row r="52" spans="6:52">
      <c r="F52" s="332"/>
      <c r="M52" s="333"/>
      <c r="N52" s="333"/>
      <c r="O52" s="333"/>
      <c r="P52" s="333"/>
      <c r="Q52" s="333"/>
      <c r="R52" s="333"/>
      <c r="S52" s="333"/>
      <c r="T52" s="333"/>
      <c r="U52" s="333"/>
      <c r="V52" s="333"/>
      <c r="W52" s="333"/>
      <c r="X52" s="333"/>
      <c r="Y52" s="333"/>
      <c r="Z52" s="333"/>
      <c r="AA52" s="333"/>
      <c r="AB52" s="333"/>
      <c r="AC52" s="333"/>
      <c r="AD52" s="333"/>
      <c r="AE52" s="333"/>
      <c r="AF52" s="333"/>
      <c r="AG52" s="333"/>
      <c r="AH52" s="333"/>
      <c r="AI52" s="333"/>
      <c r="AJ52" s="333"/>
      <c r="AK52" s="333"/>
      <c r="AL52" s="333"/>
      <c r="AM52" s="333"/>
      <c r="AN52" s="333"/>
      <c r="AO52" s="333"/>
      <c r="AP52" s="333"/>
      <c r="AQ52" s="333"/>
      <c r="AR52" s="333"/>
      <c r="AS52" s="333"/>
      <c r="AT52" s="333"/>
      <c r="AU52" s="333"/>
      <c r="AV52" s="333"/>
      <c r="AW52" s="333"/>
      <c r="AX52" s="333"/>
      <c r="AY52" s="333"/>
      <c r="AZ52" s="333"/>
    </row>
    <row r="53" spans="6:52">
      <c r="F53" s="332"/>
    </row>
    <row r="54" spans="6:52">
      <c r="F54" s="332"/>
    </row>
    <row r="55" spans="6:52">
      <c r="F55" s="332"/>
    </row>
    <row r="56" spans="6:52">
      <c r="F56" s="332"/>
    </row>
    <row r="57" spans="6:52">
      <c r="F57" s="332"/>
    </row>
    <row r="58" spans="6:52">
      <c r="F58" s="332"/>
    </row>
    <row r="59" spans="6:52">
      <c r="F59" s="332"/>
    </row>
    <row r="60" spans="6:52">
      <c r="F60" s="332"/>
    </row>
  </sheetData>
  <mergeCells count="12">
    <mergeCell ref="A24:A28"/>
    <mergeCell ref="C1:E1"/>
    <mergeCell ref="F1:L1"/>
    <mergeCell ref="M1:T1"/>
    <mergeCell ref="U1:AB1"/>
    <mergeCell ref="AS1:AZ1"/>
    <mergeCell ref="A3:A4"/>
    <mergeCell ref="A5:A12"/>
    <mergeCell ref="A13:A19"/>
    <mergeCell ref="A21:A23"/>
    <mergeCell ref="AC1:AJ1"/>
    <mergeCell ref="AK1:AR1"/>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F834A-5501-406C-8491-CD5BFC03D45E}">
  <dimension ref="A1:S79"/>
  <sheetViews>
    <sheetView workbookViewId="0">
      <selection activeCell="C33" sqref="C33"/>
    </sheetView>
  </sheetViews>
  <sheetFormatPr defaultColWidth="9.26953125" defaultRowHeight="12.5"/>
  <cols>
    <col min="1" max="1" width="27" style="17" customWidth="1"/>
    <col min="2" max="2" width="11.7265625" style="17" bestFit="1" customWidth="1"/>
    <col min="3" max="3" width="11.26953125" style="17" bestFit="1" customWidth="1"/>
    <col min="4" max="4" width="11.7265625" style="17" bestFit="1" customWidth="1"/>
    <col min="5" max="5" width="15.453125" style="17" bestFit="1" customWidth="1"/>
    <col min="6" max="6" width="11.453125" style="17" bestFit="1" customWidth="1"/>
    <col min="7" max="7" width="9.7265625" style="17" bestFit="1" customWidth="1"/>
    <col min="8" max="8" width="15.453125" style="17" bestFit="1" customWidth="1"/>
    <col min="9" max="9" width="10.26953125" style="17" bestFit="1" customWidth="1"/>
    <col min="10" max="10" width="9.26953125" style="17"/>
    <col min="11" max="11" width="25.26953125" style="17" customWidth="1"/>
    <col min="12" max="16384" width="9.26953125" style="17"/>
  </cols>
  <sheetData>
    <row r="1" spans="1:10" ht="26">
      <c r="A1" s="16" t="s">
        <v>1486</v>
      </c>
      <c r="B1" s="426" t="s">
        <v>1464</v>
      </c>
      <c r="C1" s="426" t="s">
        <v>1465</v>
      </c>
      <c r="D1" s="426" t="s">
        <v>1466</v>
      </c>
      <c r="E1" s="426" t="s">
        <v>1523</v>
      </c>
      <c r="F1" s="426" t="s">
        <v>1341</v>
      </c>
      <c r="G1" s="426" t="s">
        <v>1524</v>
      </c>
      <c r="H1" s="426" t="s">
        <v>1525</v>
      </c>
      <c r="I1" s="426" t="s">
        <v>1526</v>
      </c>
      <c r="J1" s="427"/>
    </row>
    <row r="2" spans="1:10" ht="13">
      <c r="A2" s="16" t="s">
        <v>1527</v>
      </c>
      <c r="B2" s="335">
        <f>Original!AS3/Original!$BA3</f>
        <v>0.55416973397927605</v>
      </c>
      <c r="C2" s="335">
        <f>Original!AT3/Original!$BA3</f>
        <v>0.20778530681686785</v>
      </c>
      <c r="D2" s="335">
        <f>Original!AU3/Original!$BA3</f>
        <v>4.2597519015426903E-2</v>
      </c>
      <c r="E2" s="335">
        <f>Original!AV3/Original!$BA3</f>
        <v>0</v>
      </c>
      <c r="F2" s="335">
        <f>Original!AW3/Original!$BA3</f>
        <v>4.7608991840771234E-2</v>
      </c>
      <c r="G2" s="335">
        <f>Original!AX3/Original!$BA3</f>
        <v>0</v>
      </c>
      <c r="H2" s="335">
        <f>Original!AY3/Original!$BA3</f>
        <v>0</v>
      </c>
      <c r="I2" s="335">
        <f>Original!AZ3/Original!$BA3</f>
        <v>0.14783844834765805</v>
      </c>
      <c r="J2" s="428">
        <f>SUM(B2:I2)</f>
        <v>1.0000000000000002</v>
      </c>
    </row>
    <row r="3" spans="1:10" ht="13">
      <c r="A3" s="16" t="s">
        <v>1528</v>
      </c>
      <c r="B3" s="335">
        <f>Original!AS4/Original!$BA4</f>
        <v>0.55226659716396898</v>
      </c>
      <c r="C3" s="335">
        <f>Original!AT4/Original!$BA4</f>
        <v>0.2096884436321749</v>
      </c>
      <c r="D3" s="335">
        <f>Original!AU4/Original!$BA4</f>
        <v>4.2597519015426896E-2</v>
      </c>
      <c r="E3" s="335">
        <f>Original!AV4/Original!$BA4</f>
        <v>0</v>
      </c>
      <c r="F3" s="335">
        <f>Original!AW4/Original!$BA4</f>
        <v>4.7608991840771234E-2</v>
      </c>
      <c r="G3" s="335">
        <f>Original!AX4/Original!$BA4</f>
        <v>0</v>
      </c>
      <c r="H3" s="335">
        <f>Original!AY4/Original!$BA4</f>
        <v>0</v>
      </c>
      <c r="I3" s="335">
        <f>Original!AZ4/Original!$BA4</f>
        <v>0.14783844834765802</v>
      </c>
      <c r="J3" s="428">
        <f t="shared" ref="J3:J27" si="0">SUM(B3:I3)</f>
        <v>1</v>
      </c>
    </row>
    <row r="4" spans="1:10" ht="13">
      <c r="A4" s="16" t="s">
        <v>1529</v>
      </c>
      <c r="B4" s="335"/>
      <c r="C4" s="335"/>
      <c r="D4" s="335"/>
      <c r="E4" s="335"/>
      <c r="F4" s="335"/>
      <c r="G4" s="335"/>
      <c r="H4" s="335"/>
      <c r="I4" s="335"/>
      <c r="J4" s="428"/>
    </row>
    <row r="5" spans="1:10" ht="13">
      <c r="A5" s="16" t="s">
        <v>1530</v>
      </c>
      <c r="B5" s="335">
        <f>Original!AS6/Original!$BA6</f>
        <v>0.56907818559107781</v>
      </c>
      <c r="C5" s="335">
        <f>Original!AT6/Original!$BA6</f>
        <v>0.2464605132186839</v>
      </c>
      <c r="D5" s="335">
        <f>Original!AU6/Original!$BA6</f>
        <v>4.279156900016276E-2</v>
      </c>
      <c r="E5" s="335">
        <f>Original!AV6/Original!$BA6</f>
        <v>1.4308286157512264E-2</v>
      </c>
      <c r="F5" s="335">
        <f>Original!AW6/Original!$BA6</f>
        <v>3.6543154112860785E-2</v>
      </c>
      <c r="G5" s="335">
        <f>Original!AX6/Original!$BA6</f>
        <v>1.434131529356822E-2</v>
      </c>
      <c r="H5" s="335">
        <f>Original!AY6/Original!$BA6</f>
        <v>9.1440052028792448E-3</v>
      </c>
      <c r="I5" s="335">
        <f>Original!AZ6/Original!$BA6</f>
        <v>6.733297142325495E-2</v>
      </c>
      <c r="J5" s="428">
        <f t="shared" si="0"/>
        <v>1</v>
      </c>
    </row>
    <row r="6" spans="1:10" ht="13">
      <c r="A6" s="16" t="s">
        <v>1531</v>
      </c>
      <c r="B6" s="335">
        <f>Original!AS7/Original!$BA7</f>
        <v>0.57321850733793278</v>
      </c>
      <c r="C6" s="335">
        <f>Original!AT7/Original!$BA7</f>
        <v>0.24516053063111642</v>
      </c>
      <c r="D6" s="335">
        <f>Original!AU7/Original!$BA7</f>
        <v>1.9409130719257255E-2</v>
      </c>
      <c r="E6" s="335">
        <f>Original!AV7/Original!$BA7</f>
        <v>1.1471724155237584E-2</v>
      </c>
      <c r="F6" s="335">
        <f>Original!AW7/Original!$BA7</f>
        <v>5.0134515863522564E-2</v>
      </c>
      <c r="G6" s="335">
        <f>Original!AX7/Original!$BA7</f>
        <v>7.0688789495800671E-3</v>
      </c>
      <c r="H6" s="335">
        <f>Original!AY7/Original!$BA7</f>
        <v>4.5840141175531451E-3</v>
      </c>
      <c r="I6" s="335">
        <f>Original!AZ7/Original!$BA7</f>
        <v>8.8952698225800222E-2</v>
      </c>
      <c r="J6" s="428">
        <f t="shared" si="0"/>
        <v>1</v>
      </c>
    </row>
    <row r="7" spans="1:10" ht="13">
      <c r="A7" s="16" t="s">
        <v>1532</v>
      </c>
      <c r="B7" s="335">
        <f>Original!AS8/Original!$BA8</f>
        <v>0.54453312549619182</v>
      </c>
      <c r="C7" s="335">
        <f>Original!AT8/Original!$BA8</f>
        <v>0.26176575080299214</v>
      </c>
      <c r="D7" s="335">
        <f>Original!AU8/Original!$BA8</f>
        <v>6.0423553428108422E-2</v>
      </c>
      <c r="E7" s="335">
        <f>Original!AV8/Original!$BA8</f>
        <v>1.1650313045895576E-2</v>
      </c>
      <c r="F7" s="335">
        <f>Original!AW8/Original!$BA8</f>
        <v>3.5414747256513474E-2</v>
      </c>
      <c r="G7" s="335">
        <f>Original!AX8/Original!$BA8</f>
        <v>1.3943418873860086E-2</v>
      </c>
      <c r="H7" s="335">
        <f>Original!AY8/Original!$BA8</f>
        <v>8.4442479507030078E-3</v>
      </c>
      <c r="I7" s="335">
        <f>Original!AZ8/Original!$BA8</f>
        <v>6.3824843145735569E-2</v>
      </c>
      <c r="J7" s="428">
        <f t="shared" si="0"/>
        <v>1.0000000000000002</v>
      </c>
    </row>
    <row r="8" spans="1:10" ht="13">
      <c r="A8" s="16" t="s">
        <v>1533</v>
      </c>
      <c r="B8" s="335">
        <f>Original!AS9/Original!$BA9</f>
        <v>0.58862370805977915</v>
      </c>
      <c r="C8" s="335">
        <f>Original!AT9/Original!$BA9</f>
        <v>0.24546826044450568</v>
      </c>
      <c r="D8" s="335">
        <f>Original!AU9/Original!$BA9</f>
        <v>2.5024322810816273E-2</v>
      </c>
      <c r="E8" s="335">
        <f>Original!AV9/Original!$BA9</f>
        <v>8.0217755645276105E-3</v>
      </c>
      <c r="F8" s="335">
        <f>Original!AW9/Original!$BA9</f>
        <v>5.4087993660333615E-2</v>
      </c>
      <c r="G8" s="335">
        <f>Original!AX9/Original!$BA9</f>
        <v>1.4920133971680131E-2</v>
      </c>
      <c r="H8" s="335">
        <f>Original!AY9/Original!$BA9</f>
        <v>6.8172967964872681E-3</v>
      </c>
      <c r="I8" s="335">
        <f>Original!AZ9/Original!$BA9</f>
        <v>5.7036508691870318E-2</v>
      </c>
      <c r="J8" s="428">
        <f t="shared" si="0"/>
        <v>0.99999999999999989</v>
      </c>
    </row>
    <row r="9" spans="1:10" ht="13">
      <c r="A9" s="16" t="s">
        <v>1534</v>
      </c>
      <c r="B9" s="335">
        <f>Original!AS10/Original!$BA10</f>
        <v>0.56157939916044897</v>
      </c>
      <c r="C9" s="335">
        <f>Original!AT10/Original!$BA10</f>
        <v>0.25513967877957366</v>
      </c>
      <c r="D9" s="335">
        <f>Original!AU10/Original!$BA10</f>
        <v>2.2475297881020938E-2</v>
      </c>
      <c r="E9" s="335">
        <f>Original!AV10/Original!$BA10</f>
        <v>4.7309123222572923E-3</v>
      </c>
      <c r="F9" s="335">
        <f>Original!AW10/Original!$BA10</f>
        <v>4.7957000251087678E-2</v>
      </c>
      <c r="G9" s="335">
        <f>Original!AX10/Original!$BA10</f>
        <v>1.8975446572402032E-2</v>
      </c>
      <c r="H9" s="335">
        <f>Original!AY10/Original!$BA10</f>
        <v>1.0519626810288753E-2</v>
      </c>
      <c r="I9" s="335">
        <f>Original!AZ10/Original!$BA10</f>
        <v>7.8622638222920746E-2</v>
      </c>
      <c r="J9" s="428">
        <f t="shared" si="0"/>
        <v>1.0000000000000002</v>
      </c>
    </row>
    <row r="10" spans="1:10" ht="13">
      <c r="A10" s="16" t="s">
        <v>1535</v>
      </c>
      <c r="B10" s="335">
        <f>Original!AS11/Original!$BA11</f>
        <v>0.59339544661749866</v>
      </c>
      <c r="C10" s="335">
        <f>Original!AT11/Original!$BA11</f>
        <v>0.24779439930188898</v>
      </c>
      <c r="D10" s="335">
        <f>Original!AU11/Original!$BA11</f>
        <v>2.2425847554186445E-2</v>
      </c>
      <c r="E10" s="335">
        <f>Original!AV11/Original!$BA11</f>
        <v>2.5999252415631145E-3</v>
      </c>
      <c r="F10" s="335">
        <f>Original!AW11/Original!$BA11</f>
        <v>5.5793788857745254E-2</v>
      </c>
      <c r="G10" s="335">
        <f>Original!AX11/Original!$BA11</f>
        <v>1.395865962429714E-2</v>
      </c>
      <c r="H10" s="335">
        <f>Original!AY11/Original!$BA11</f>
        <v>4.5066832602725501E-3</v>
      </c>
      <c r="I10" s="335">
        <f>Original!AZ11/Original!$BA11</f>
        <v>5.9525249542547738E-2</v>
      </c>
      <c r="J10" s="428">
        <f t="shared" si="0"/>
        <v>0.99999999999999989</v>
      </c>
    </row>
    <row r="11" spans="1:10" ht="13">
      <c r="A11" s="16" t="s">
        <v>1536</v>
      </c>
      <c r="B11" s="335">
        <f>Original!AS12/Original!$BA12</f>
        <v>0.50109944465545786</v>
      </c>
      <c r="C11" s="335">
        <f>Original!AT12/Original!$BA12</f>
        <v>0.32080215165548837</v>
      </c>
      <c r="D11" s="335">
        <f>Original!AU12/Original!$BA12</f>
        <v>6.0360567970568144E-2</v>
      </c>
      <c r="E11" s="335">
        <f>Original!AV12/Original!$BA12</f>
        <v>6.7473634980377371E-3</v>
      </c>
      <c r="F11" s="335">
        <f>Original!AW12/Original!$BA12</f>
        <v>3.7219876678197199E-2</v>
      </c>
      <c r="G11" s="335">
        <f>Original!AX12/Original!$BA12</f>
        <v>1.0171444820590328E-2</v>
      </c>
      <c r="H11" s="335">
        <f>Original!AY12/Original!$BA12</f>
        <v>5.2560752138203822E-3</v>
      </c>
      <c r="I11" s="335">
        <f>Original!AZ12/Original!$BA12</f>
        <v>5.8343075507840042E-2</v>
      </c>
      <c r="J11" s="428">
        <f t="shared" si="0"/>
        <v>0.99999999999999989</v>
      </c>
    </row>
    <row r="12" spans="1:10" ht="13">
      <c r="A12" s="16" t="s">
        <v>1537</v>
      </c>
      <c r="B12" s="335">
        <f>Original!AS13/Original!$BA13</f>
        <v>0.3400614983347392</v>
      </c>
      <c r="C12" s="335">
        <f>Original!AT13/Original!$BA13</f>
        <v>0.26449597588510398</v>
      </c>
      <c r="D12" s="335">
        <f>Original!AU13/Original!$BA13</f>
        <v>8.4122119912402107E-2</v>
      </c>
      <c r="E12" s="335">
        <f>Original!AV13/Original!$BA13</f>
        <v>8.0950081371519794E-2</v>
      </c>
      <c r="F12" s="335">
        <f>Original!AW13/Original!$BA13</f>
        <v>9.0466469721639908E-2</v>
      </c>
      <c r="G12" s="335">
        <f>Original!AX13/Original!$BA13</f>
        <v>1.588807534047049E-2</v>
      </c>
      <c r="H12" s="335">
        <f>Original!AY13/Original!$BA13</f>
        <v>3.4300488424236948E-2</v>
      </c>
      <c r="I12" s="335">
        <f>Original!AZ13/Original!$BA13</f>
        <v>8.9715291009887371E-2</v>
      </c>
      <c r="J12" s="428">
        <f t="shared" si="0"/>
        <v>0.99999999999999989</v>
      </c>
    </row>
    <row r="13" spans="1:10" ht="13">
      <c r="A13" s="16" t="s">
        <v>1538</v>
      </c>
      <c r="B13" s="335">
        <f>Original!AS14/Original!$BA14</f>
        <v>0.51929905538146459</v>
      </c>
      <c r="C13" s="335">
        <f>Original!AT14/Original!$BA14</f>
        <v>7.5902005068689452E-2</v>
      </c>
      <c r="D13" s="335">
        <f>Original!AU14/Original!$BA14</f>
        <v>7.5162737940417515E-2</v>
      </c>
      <c r="E13" s="335">
        <f>Original!AV14/Original!$BA14</f>
        <v>5.6566776301390974E-2</v>
      </c>
      <c r="F13" s="335">
        <f>Original!AW14/Original!$BA14</f>
        <v>0.10197310198213713</v>
      </c>
      <c r="G13" s="335">
        <f>Original!AX14/Original!$BA14</f>
        <v>1.8706864683835464E-2</v>
      </c>
      <c r="H13" s="335">
        <f>Original!AY14/Original!$BA14</f>
        <v>2.0934053540500836E-2</v>
      </c>
      <c r="I13" s="335">
        <f>Original!AZ14/Original!$BA14</f>
        <v>0.13145540510156392</v>
      </c>
      <c r="J13" s="428">
        <f t="shared" si="0"/>
        <v>0.99999999999999989</v>
      </c>
    </row>
    <row r="14" spans="1:10" ht="13">
      <c r="A14" s="16" t="s">
        <v>1539</v>
      </c>
      <c r="B14" s="335">
        <f>Original!AS15/Original!$BA15</f>
        <v>0.34971117013039194</v>
      </c>
      <c r="C14" s="335">
        <f>Original!AT15/Original!$BA15</f>
        <v>0.1195151881886992</v>
      </c>
      <c r="D14" s="335">
        <f>Original!AU15/Original!$BA15</f>
        <v>0.18183847850688339</v>
      </c>
      <c r="E14" s="335">
        <f>Original!AV15/Original!$BA15</f>
        <v>5.3895905765706402E-2</v>
      </c>
      <c r="F14" s="335">
        <f>Original!AW15/Original!$BA15</f>
        <v>9.8886337303933911E-2</v>
      </c>
      <c r="G14" s="335">
        <f>Original!AX15/Original!$BA15</f>
        <v>2.4297536153154921E-2</v>
      </c>
      <c r="H14" s="335">
        <f>Original!AY15/Original!$BA15</f>
        <v>1.2786313660550929E-2</v>
      </c>
      <c r="I14" s="335">
        <f>Original!AZ15/Original!$BA15</f>
        <v>0.15906907029067918</v>
      </c>
      <c r="J14" s="428">
        <f t="shared" si="0"/>
        <v>0.99999999999999989</v>
      </c>
    </row>
    <row r="15" spans="1:10" ht="13">
      <c r="A15" s="16" t="s">
        <v>1540</v>
      </c>
      <c r="B15" s="335">
        <f>Original!AS16/Original!$BA16</f>
        <v>0.43451610549815228</v>
      </c>
      <c r="C15" s="335">
        <f>Original!AT16/Original!$BA16</f>
        <v>7.1965373876993061E-2</v>
      </c>
      <c r="D15" s="335">
        <f>Original!AU16/Original!$BA16</f>
        <v>0.10833711630191664</v>
      </c>
      <c r="E15" s="335">
        <f>Original!AV16/Original!$BA16</f>
        <v>2.3839419431479974E-2</v>
      </c>
      <c r="F15" s="335">
        <f>Original!AW16/Original!$BA16</f>
        <v>9.2764545750895322E-2</v>
      </c>
      <c r="G15" s="335">
        <f>Original!AX16/Original!$BA16</f>
        <v>5.9261995557020244E-3</v>
      </c>
      <c r="H15" s="335">
        <f>Original!AY16/Original!$BA16</f>
        <v>2.2105565971715625E-2</v>
      </c>
      <c r="I15" s="335">
        <f>Original!AZ16/Original!$BA16</f>
        <v>0.24054567361314502</v>
      </c>
      <c r="J15" s="428">
        <f t="shared" si="0"/>
        <v>1</v>
      </c>
    </row>
    <row r="16" spans="1:10" ht="13">
      <c r="A16" s="16" t="s">
        <v>1541</v>
      </c>
      <c r="B16" s="335">
        <f>Original!AS17/Original!$BA17</f>
        <v>0.40101192357288784</v>
      </c>
      <c r="C16" s="335">
        <f>Original!AT17/Original!$BA17</f>
        <v>0.10929261758567885</v>
      </c>
      <c r="D16" s="335">
        <f>Original!AU17/Original!$BA17</f>
        <v>0.1150386978317573</v>
      </c>
      <c r="E16" s="335">
        <f>Original!AV17/Original!$BA17</f>
        <v>4.1417920839085208E-2</v>
      </c>
      <c r="F16" s="335">
        <f>Original!AW17/Original!$BA17</f>
        <v>0.10427130759920961</v>
      </c>
      <c r="G16" s="335">
        <f>Original!AX17/Original!$BA17</f>
        <v>3.4966701990880783E-2</v>
      </c>
      <c r="H16" s="335">
        <f>Original!AY17/Original!$BA17</f>
        <v>3.9695858939632213E-2</v>
      </c>
      <c r="I16" s="335">
        <f>Original!AZ17/Original!$BA17</f>
        <v>0.15430497164086818</v>
      </c>
      <c r="J16" s="428">
        <f t="shared" si="0"/>
        <v>1</v>
      </c>
    </row>
    <row r="17" spans="1:10" ht="13">
      <c r="A17" s="16" t="s">
        <v>1542</v>
      </c>
      <c r="B17" s="335">
        <f>Original!AS18/Original!$BA18</f>
        <v>0.45003279143195096</v>
      </c>
      <c r="C17" s="335">
        <f>Original!AT18/Original!$BA18</f>
        <v>0.10366829612692581</v>
      </c>
      <c r="D17" s="335">
        <f>Original!AU18/Original!$BA18</f>
        <v>9.9645621164539067E-2</v>
      </c>
      <c r="E17" s="335">
        <f>Original!AV18/Original!$BA18</f>
        <v>4.33747571505229E-2</v>
      </c>
      <c r="F17" s="335">
        <f>Original!AW18/Original!$BA18</f>
        <v>0.10470464575361169</v>
      </c>
      <c r="G17" s="335">
        <f>Original!AX18/Original!$BA18</f>
        <v>1.0439820226713473E-2</v>
      </c>
      <c r="H17" s="335">
        <f>Original!AY18/Original!$BA18</f>
        <v>2.4697007132150346E-2</v>
      </c>
      <c r="I17" s="335">
        <f>Original!AZ18/Original!$BA18</f>
        <v>0.16343706101358557</v>
      </c>
      <c r="J17" s="428">
        <f t="shared" si="0"/>
        <v>1</v>
      </c>
    </row>
    <row r="18" spans="1:10" ht="13">
      <c r="A18" s="16" t="s">
        <v>1543</v>
      </c>
      <c r="B18" s="335">
        <f>Original!AS19/Original!$BA19</f>
        <v>0.33182664536410605</v>
      </c>
      <c r="C18" s="335">
        <f>Original!AT19/Original!$BA19</f>
        <v>8.6166127272038734E-2</v>
      </c>
      <c r="D18" s="335">
        <f>Original!AU19/Original!$BA19</f>
        <v>0.21081448041565254</v>
      </c>
      <c r="E18" s="335">
        <f>Original!AV19/Original!$BA19</f>
        <v>7.6222355248681553E-2</v>
      </c>
      <c r="F18" s="335">
        <f>Original!AW19/Original!$BA19</f>
        <v>0.10203742582803596</v>
      </c>
      <c r="G18" s="335">
        <f>Original!AX19/Original!$BA19</f>
        <v>1.4133949156503772E-2</v>
      </c>
      <c r="H18" s="335">
        <f>Original!AY19/Original!$BA19</f>
        <v>3.0879970993887135E-2</v>
      </c>
      <c r="I18" s="335">
        <f>Original!AZ19/Original!$BA19</f>
        <v>0.14791904572109396</v>
      </c>
      <c r="J18" s="428">
        <f t="shared" si="0"/>
        <v>0.99999999999999978</v>
      </c>
    </row>
    <row r="19" spans="1:10" ht="13">
      <c r="A19" s="16" t="s">
        <v>1544</v>
      </c>
      <c r="B19" s="335">
        <f>Original!AS20/Original!$BA20</f>
        <v>0.40429557301070917</v>
      </c>
      <c r="C19" s="335">
        <f>Original!AT20/Original!$BA20</f>
        <v>0.17727629972929584</v>
      </c>
      <c r="D19" s="335">
        <f>Original!AU20/Original!$BA20</f>
        <v>7.6415922072216577E-2</v>
      </c>
      <c r="E19" s="335">
        <f>Original!AV20/Original!$BA20</f>
        <v>5.2898009802318485E-2</v>
      </c>
      <c r="F19" s="335">
        <f>Original!AW20/Original!$BA20</f>
        <v>9.9300411103077663E-2</v>
      </c>
      <c r="G19" s="335">
        <f>Original!AX20/Original!$BA20</f>
        <v>1.7765592443894428E-2</v>
      </c>
      <c r="H19" s="335">
        <f>Original!AY20/Original!$BA20</f>
        <v>2.0426186566838717E-2</v>
      </c>
      <c r="I19" s="335">
        <f>Original!AZ20/Original!$BA20</f>
        <v>0.15162200527164929</v>
      </c>
      <c r="J19" s="428">
        <f t="shared" si="0"/>
        <v>1.0000000000000002</v>
      </c>
    </row>
    <row r="20" spans="1:10" ht="13">
      <c r="A20" s="16" t="s">
        <v>1545</v>
      </c>
      <c r="B20" s="335">
        <f>Original!AS21/Original!$BA21</f>
        <v>0.50179215472147076</v>
      </c>
      <c r="C20" s="335">
        <f>Original!AT21/Original!$BA21</f>
        <v>3.8453932815146509E-2</v>
      </c>
      <c r="D20" s="335">
        <f>Original!AU21/Original!$BA21</f>
        <v>6.3819246659111747E-2</v>
      </c>
      <c r="E20" s="335">
        <f>Original!AV21/Original!$BA21</f>
        <v>5.6654396455139588E-2</v>
      </c>
      <c r="F20" s="335">
        <f>Original!AW21/Original!$BA21</f>
        <v>0.23352430654176359</v>
      </c>
      <c r="G20" s="335">
        <f>Original!AX21/Original!$BA21</f>
        <v>4.0535837724039084E-2</v>
      </c>
      <c r="H20" s="335">
        <f>Original!AY21/Original!$BA21</f>
        <v>9.3398099915358319E-3</v>
      </c>
      <c r="I20" s="335">
        <f>Original!AZ21/Original!$BA21</f>
        <v>5.5880315091792941E-2</v>
      </c>
      <c r="J20" s="428">
        <f t="shared" si="0"/>
        <v>1.0000000000000002</v>
      </c>
    </row>
    <row r="21" spans="1:10" ht="13">
      <c r="A21" s="16" t="s">
        <v>1546</v>
      </c>
      <c r="B21" s="335">
        <f>Original!AS22/Original!$BA22</f>
        <v>0.48831679069267725</v>
      </c>
      <c r="C21" s="335">
        <f>Original!AT22/Original!$BA22</f>
        <v>4.5292996148709311E-2</v>
      </c>
      <c r="D21" s="335">
        <f>Original!AU22/Original!$BA22</f>
        <v>7.5128709645196579E-2</v>
      </c>
      <c r="E21" s="335">
        <f>Original!AV22/Original!$BA22</f>
        <v>2.2072221985006031E-2</v>
      </c>
      <c r="F21" s="335">
        <f>Original!AW22/Original!$BA22</f>
        <v>0.20678453054878679</v>
      </c>
      <c r="G21" s="335">
        <f>Original!AX22/Original!$BA22</f>
        <v>1.9179161240282863E-2</v>
      </c>
      <c r="H21" s="335">
        <f>Original!AY22/Original!$BA22</f>
        <v>7.9451794291975117E-2</v>
      </c>
      <c r="I21" s="335">
        <f>Original!AZ22/Original!$BA22</f>
        <v>6.3773795447366027E-2</v>
      </c>
      <c r="J21" s="428">
        <f t="shared" si="0"/>
        <v>1</v>
      </c>
    </row>
    <row r="22" spans="1:10" ht="13">
      <c r="A22" s="16" t="s">
        <v>1547</v>
      </c>
      <c r="B22" s="335">
        <f>Original!AS23/Original!$BA23</f>
        <v>0.50395006031827738</v>
      </c>
      <c r="C22" s="335">
        <f>Original!AT23/Original!$BA23</f>
        <v>3.0777571620089872E-2</v>
      </c>
      <c r="D22" s="335">
        <f>Original!AU23/Original!$BA23</f>
        <v>4.6136976584266839E-2</v>
      </c>
      <c r="E22" s="335">
        <f>Original!AV23/Original!$BA23</f>
        <v>6.2718091092566639E-2</v>
      </c>
      <c r="F22" s="335">
        <f>Original!AW23/Original!$BA23</f>
        <v>0.1672036000063703</v>
      </c>
      <c r="G22" s="335">
        <f>Original!AX23/Original!$BA23</f>
        <v>3.9606873303769649E-2</v>
      </c>
      <c r="H22" s="335">
        <f>Original!AY23/Original!$BA23</f>
        <v>8.4612931528863025E-2</v>
      </c>
      <c r="I22" s="335">
        <f>Original!AZ23/Original!$BA23</f>
        <v>6.4993895545796265E-2</v>
      </c>
      <c r="J22" s="428">
        <f t="shared" si="0"/>
        <v>1</v>
      </c>
    </row>
    <row r="23" spans="1:10" ht="13">
      <c r="A23" s="16" t="s">
        <v>1548</v>
      </c>
      <c r="B23" s="335">
        <f>Original!AS24/Original!$BA24</f>
        <v>0.54975333648169067</v>
      </c>
      <c r="C23" s="335">
        <f>Original!AT24/Original!$BA24</f>
        <v>0.12645124172233549</v>
      </c>
      <c r="D23" s="335">
        <f>Original!AU24/Original!$BA24</f>
        <v>7.040299301014713E-2</v>
      </c>
      <c r="E23" s="335">
        <f>Original!AV24/Original!$BA24</f>
        <v>6.1373915085647004E-2</v>
      </c>
      <c r="F23" s="335">
        <f>Original!AW24/Original!$BA24</f>
        <v>9.2403618754091227E-2</v>
      </c>
      <c r="G23" s="335">
        <f>Original!AX24/Original!$BA24</f>
        <v>8.4592394864778774E-3</v>
      </c>
      <c r="H23" s="335">
        <f>Original!AY24/Original!$BA24</f>
        <v>1.4584013258254841E-2</v>
      </c>
      <c r="I23" s="335">
        <f>Original!AZ24/Original!$BA24</f>
        <v>7.6571642201355553E-2</v>
      </c>
      <c r="J23" s="428">
        <f t="shared" si="0"/>
        <v>0.99999999999999989</v>
      </c>
    </row>
    <row r="24" spans="1:10" ht="13">
      <c r="A24" s="16" t="s">
        <v>1549</v>
      </c>
      <c r="B24" s="335">
        <f>Original!AS25/Original!$BA25</f>
        <v>0.49722065627361872</v>
      </c>
      <c r="C24" s="335">
        <f>Original!AT25/Original!$BA25</f>
        <v>8.858551525347301E-2</v>
      </c>
      <c r="D24" s="335">
        <f>Original!AU25/Original!$BA25</f>
        <v>0.14068212591822774</v>
      </c>
      <c r="E24" s="335">
        <f>Original!AV25/Original!$BA25</f>
        <v>9.8709986953360876E-2</v>
      </c>
      <c r="F24" s="335">
        <f>Original!AW25/Original!$BA25</f>
        <v>6.0361296157740919E-2</v>
      </c>
      <c r="G24" s="335">
        <f>Original!AX25/Original!$BA25</f>
        <v>7.6953444156838725E-3</v>
      </c>
      <c r="H24" s="335">
        <f>Original!AY25/Original!$BA25</f>
        <v>2.0109355250502541E-2</v>
      </c>
      <c r="I24" s="335">
        <f>Original!AZ25/Original!$BA25</f>
        <v>8.6635719777392275E-2</v>
      </c>
      <c r="J24" s="428">
        <f t="shared" si="0"/>
        <v>0.99999999999999978</v>
      </c>
    </row>
    <row r="25" spans="1:10" ht="13">
      <c r="A25" s="16" t="s">
        <v>1550</v>
      </c>
      <c r="B25" s="335">
        <f>Original!AS26/Original!$BA26</f>
        <v>0.52573198804181476</v>
      </c>
      <c r="C25" s="335">
        <f>Original!AT26/Original!$BA26</f>
        <v>6.5111109529144132E-2</v>
      </c>
      <c r="D25" s="335">
        <f>Original!AU26/Original!$BA26</f>
        <v>0.13504917208047321</v>
      </c>
      <c r="E25" s="335">
        <f>Original!AV26/Original!$BA26</f>
        <v>5.5419123525270973E-2</v>
      </c>
      <c r="F25" s="335">
        <f>Original!AW26/Original!$BA26</f>
        <v>0.12654277613459267</v>
      </c>
      <c r="G25" s="335">
        <f>Original!AX26/Original!$BA26</f>
        <v>5.3898648714726313E-3</v>
      </c>
      <c r="H25" s="335">
        <f>Original!AY26/Original!$BA26</f>
        <v>2.4077794814741534E-2</v>
      </c>
      <c r="I25" s="335">
        <f>Original!AZ26/Original!$BA26</f>
        <v>6.2678171002490027E-2</v>
      </c>
      <c r="J25" s="428">
        <f t="shared" si="0"/>
        <v>0.99999999999999989</v>
      </c>
    </row>
    <row r="26" spans="1:10" ht="13">
      <c r="A26" s="16" t="s">
        <v>1551</v>
      </c>
      <c r="B26" s="335">
        <f>Original!AS27/Original!$BA27</f>
        <v>0.61722881544820496</v>
      </c>
      <c r="C26" s="335">
        <f>Original!AT27/Original!$BA27</f>
        <v>9.0265927098195073E-2</v>
      </c>
      <c r="D26" s="335">
        <f>Original!AU27/Original!$BA27</f>
        <v>6.2075916669517603E-2</v>
      </c>
      <c r="E26" s="335">
        <f>Original!AV27/Original!$BA27</f>
        <v>1.606493415757427E-3</v>
      </c>
      <c r="F26" s="335">
        <f>Original!AW27/Original!$BA27</f>
        <v>0.11127030580037511</v>
      </c>
      <c r="G26" s="335">
        <f>Original!AX27/Original!$BA27</f>
        <v>1.4841446932865526E-2</v>
      </c>
      <c r="H26" s="335">
        <f>Original!AY27/Original!$BA27</f>
        <v>1.783108293607532E-2</v>
      </c>
      <c r="I26" s="335">
        <f>Original!AZ27/Original!$BA27</f>
        <v>8.4880011699009009E-2</v>
      </c>
      <c r="J26" s="428">
        <f t="shared" si="0"/>
        <v>1</v>
      </c>
    </row>
    <row r="27" spans="1:10" ht="13">
      <c r="A27" s="16" t="s">
        <v>1552</v>
      </c>
      <c r="B27" s="335">
        <f>Original!AS28/Original!$BA28</f>
        <v>0.4345870700694443</v>
      </c>
      <c r="C27" s="335">
        <f>Original!AT28/Original!$BA28</f>
        <v>0.21372829084136935</v>
      </c>
      <c r="D27" s="335">
        <f>Original!AU28/Original!$BA28</f>
        <v>5.4771907719583394E-2</v>
      </c>
      <c r="E27" s="335">
        <f>Original!AV28/Original!$BA28</f>
        <v>4.4544147915002018E-2</v>
      </c>
      <c r="F27" s="335">
        <f>Original!AW28/Original!$BA28</f>
        <v>4.5920212881466672E-2</v>
      </c>
      <c r="G27" s="335">
        <f>Original!AX28/Original!$BA28</f>
        <v>5.873962255860894E-3</v>
      </c>
      <c r="H27" s="335">
        <f>Original!AY28/Original!$BA28</f>
        <v>1.1394528131576881E-3</v>
      </c>
      <c r="I27" s="335">
        <f>Original!AZ28/Original!$BA28</f>
        <v>0.19943495550411572</v>
      </c>
      <c r="J27" s="428">
        <f t="shared" si="0"/>
        <v>1</v>
      </c>
    </row>
    <row r="28" spans="1:10" ht="26">
      <c r="A28" s="16" t="s">
        <v>1556</v>
      </c>
      <c r="B28" s="426" t="s">
        <v>1464</v>
      </c>
      <c r="C28" s="426" t="s">
        <v>1465</v>
      </c>
      <c r="D28" s="426" t="s">
        <v>1466</v>
      </c>
      <c r="E28" s="426" t="s">
        <v>1523</v>
      </c>
      <c r="F28" s="426" t="s">
        <v>1341</v>
      </c>
      <c r="G28" s="426" t="s">
        <v>1524</v>
      </c>
      <c r="H28" s="426" t="s">
        <v>1525</v>
      </c>
      <c r="I28" s="426" t="s">
        <v>1526</v>
      </c>
      <c r="J28" s="427"/>
    </row>
    <row r="29" spans="1:10" ht="13">
      <c r="A29" s="16" t="s">
        <v>1450</v>
      </c>
      <c r="B29" s="335">
        <f>SUM(Original!AS3:AS4)/SUM(Original!$BA3:$BA4)</f>
        <v>0.55309147956318938</v>
      </c>
      <c r="C29" s="335">
        <f>SUM(Original!AT3:AT4)/SUM(Original!BA3:BA4)</f>
        <v>0.20886356123295458</v>
      </c>
      <c r="D29" s="335">
        <f>SUM(Original!AU3:AU4)/SUM(Original!BA3:BA4)</f>
        <v>4.2597519015426903E-2</v>
      </c>
      <c r="E29" s="335">
        <f>SUM(Original!AV3:AV4)/SUM(Original!BA3:BA4)</f>
        <v>0</v>
      </c>
      <c r="F29" s="335">
        <f>SUM(Original!AW3:AW4)/SUM(Original!BA3:BA4)</f>
        <v>4.7608991840771241E-2</v>
      </c>
      <c r="G29" s="335">
        <f>SUM(Original!AX3:AX4)/SUM(Original!$BA3:$BA4)</f>
        <v>0</v>
      </c>
      <c r="H29" s="335">
        <f>SUM(Original!AY3:AY4)/SUM(Original!$BA3:$BA4)</f>
        <v>0</v>
      </c>
      <c r="I29" s="335">
        <f>SUM(Original!AZ3:AZ4)/SUM(Original!BA3:BA4)</f>
        <v>0.14783844834765805</v>
      </c>
      <c r="J29" s="428">
        <f>SUM(B29:I29)</f>
        <v>1.0000000000000002</v>
      </c>
    </row>
    <row r="30" spans="1:10" ht="13">
      <c r="A30" s="16" t="s">
        <v>1451</v>
      </c>
      <c r="B30" s="335">
        <f>SUM(Original!AS6:AS12)/SUM(Original!$BA6:$BA12)</f>
        <v>0.57014706035282847</v>
      </c>
      <c r="C30" s="335">
        <f>SUM(Original!AT6:AT12)/SUM(Original!$BA6:$BA12)</f>
        <v>0.25756898771696241</v>
      </c>
      <c r="D30" s="335">
        <f>SUM(Original!AU6:AU12)/SUM(Original!$BA6:$BA12)</f>
        <v>3.3922788937798418E-2</v>
      </c>
      <c r="E30" s="335">
        <f>SUM(Original!AV6:AV12)/SUM(Original!$BA6:$BA12)</f>
        <v>6.6375847644909239E-3</v>
      </c>
      <c r="F30" s="335">
        <f>SUM(Original!AW6:AW12)/SUM(Original!$BA6:$BA12)</f>
        <v>4.8073651497770452E-2</v>
      </c>
      <c r="G30" s="335">
        <f>SUM(Original!AX6:AX12)/SUM(Original!$BA6:$BA12)</f>
        <v>1.3796946512457258E-2</v>
      </c>
      <c r="H30" s="335">
        <f>SUM(Original!AY6:AY12)/SUM(Original!$BA6:$BA12)</f>
        <v>6.3576354978886248E-3</v>
      </c>
      <c r="I30" s="335">
        <f>SUM(Original!AZ6:AZ12)/SUM(Original!$BA6:$BA12)</f>
        <v>6.3495344719803309E-2</v>
      </c>
      <c r="J30" s="428">
        <f t="shared" ref="J30:J33" si="1">SUM(B30:I30)</f>
        <v>0.99999999999999989</v>
      </c>
    </row>
    <row r="31" spans="1:10" ht="13">
      <c r="A31" s="16" t="s">
        <v>1452</v>
      </c>
      <c r="B31" s="335">
        <f>SUM(Original!AS13:AS20)/SUM(Original!$BA13:$BA20)</f>
        <v>0.39027250938965208</v>
      </c>
      <c r="C31" s="335">
        <f>SUM(Original!AT13:AT20)/SUM(Original!$BA13:$BA20)</f>
        <v>0.11272680987556163</v>
      </c>
      <c r="D31" s="335">
        <f>SUM(Original!AU13:AU20)/SUM(Original!$BA13:$BA20)</f>
        <v>0.1379272820748986</v>
      </c>
      <c r="E31" s="335">
        <f>SUM(Original!AV13:AV20)/SUM(Original!$BA13:$BA20)</f>
        <v>5.6856014918306899E-2</v>
      </c>
      <c r="F31" s="335">
        <f>SUM(Original!AW13:AW20)/SUM(Original!$BA13:$BA20)</f>
        <v>0.10134125313095231</v>
      </c>
      <c r="G31" s="335">
        <f>SUM(Original!AX13:AX20)/SUM(Original!$BA13:$BA20)</f>
        <v>1.7676031884779005E-2</v>
      </c>
      <c r="H31" s="335">
        <f>SUM(Original!AY13:AY20)/SUM(Original!$BA13:$BA20)</f>
        <v>2.7936050283630599E-2</v>
      </c>
      <c r="I31" s="335">
        <f>SUM(Original!AZ13:AZ20)/SUM(Original!$BA13:$BA20)</f>
        <v>0.15526404844221869</v>
      </c>
      <c r="J31" s="428">
        <f t="shared" si="1"/>
        <v>0.99999999999999978</v>
      </c>
    </row>
    <row r="32" spans="1:10" ht="13">
      <c r="A32" s="16" t="s">
        <v>1454</v>
      </c>
      <c r="B32" s="335">
        <f>SUM(Original!AS21:AS23)/SUM(Original!$BA21:$BA23)</f>
        <v>0.49594571778900187</v>
      </c>
      <c r="C32" s="335">
        <f>SUM(Original!AT21:AT23)/SUM(Original!$BA21:$BA23)</f>
        <v>3.9114017114848014E-2</v>
      </c>
      <c r="D32" s="335">
        <f>SUM(Original!AU21:AU23)/SUM(Original!$BA21:$BA23)</f>
        <v>6.3162117007157598E-2</v>
      </c>
      <c r="E32" s="335">
        <f>SUM(Original!AV21:AV23)/SUM(Original!$BA21:$BA23)</f>
        <v>4.183486283075228E-2</v>
      </c>
      <c r="F32" s="335">
        <f>SUM(Original!AW21:AW23)/SUM(Original!$BA21:$BA23)</f>
        <v>0.19717221019784301</v>
      </c>
      <c r="G32" s="335">
        <f>SUM(Original!AX21:AX23)/SUM(Original!$BA21:$BA23)</f>
        <v>2.97454184596866E-2</v>
      </c>
      <c r="H32" s="335">
        <f>SUM(Original!AY21:AY23)/SUM(Original!$BA21:$BA23)</f>
        <v>7.0082651869768905E-2</v>
      </c>
      <c r="I32" s="335">
        <f>SUM(Original!AZ21:AZ23)/SUM(Original!$BA21:$BA23)</f>
        <v>6.2943004730941693E-2</v>
      </c>
      <c r="J32" s="428">
        <f t="shared" si="1"/>
        <v>1</v>
      </c>
    </row>
    <row r="33" spans="1:10" ht="13">
      <c r="A33" s="16" t="s">
        <v>1453</v>
      </c>
      <c r="B33" s="335">
        <f>SUM(Original!AS24:AS28)/SUM(Original!$BA24:$BA28)</f>
        <v>0.52883014742903678</v>
      </c>
      <c r="C33" s="335">
        <f>SUM(Original!AT24:AT28)/SUM(Original!$BA24:$BA28)</f>
        <v>0.10095010269593273</v>
      </c>
      <c r="D33" s="335">
        <f>SUM(Original!AU24:AU28)/SUM(Original!$BA24:$BA28)</f>
        <v>0.10461930686822259</v>
      </c>
      <c r="E33" s="335">
        <f>SUM(Original!AV24:AV28)/SUM(Original!$BA24:$BA28)</f>
        <v>5.9071334599378605E-2</v>
      </c>
      <c r="F33" s="335">
        <f>SUM(Original!AW24:AW28)/SUM(Original!$BA24:$BA28)</f>
        <v>9.5786580426160048E-2</v>
      </c>
      <c r="G33" s="335">
        <f>SUM(Original!AX24:AX28)/SUM(Original!$BA24:$BA28)</f>
        <v>7.7423906899525188E-3</v>
      </c>
      <c r="H33" s="335">
        <f>SUM(Original!AY24:AY28)/SUM(Original!$BA24:$BA28)</f>
        <v>1.8210821832680517E-2</v>
      </c>
      <c r="I33" s="335">
        <f>SUM(Original!AZ24:AZ28)/SUM(Original!$BA24:$BA28)</f>
        <v>8.4789315458636258E-2</v>
      </c>
      <c r="J33" s="428">
        <f t="shared" si="1"/>
        <v>1.0000000000000002</v>
      </c>
    </row>
    <row r="34" spans="1:10" ht="13">
      <c r="A34" s="16"/>
      <c r="B34" s="16"/>
      <c r="C34" s="16"/>
      <c r="D34" s="16"/>
      <c r="E34" s="16"/>
      <c r="F34" s="16"/>
      <c r="G34" s="16"/>
      <c r="H34" s="16"/>
      <c r="I34" s="16"/>
      <c r="J34" s="427"/>
    </row>
    <row r="35" spans="1:10" ht="13">
      <c r="A35" s="16"/>
      <c r="B35" s="16"/>
      <c r="C35" s="16"/>
      <c r="D35" s="16"/>
      <c r="E35" s="16"/>
      <c r="F35" s="16"/>
      <c r="G35" s="16"/>
      <c r="H35" s="16"/>
      <c r="I35" s="16"/>
      <c r="J35" s="427"/>
    </row>
    <row r="36" spans="1:10" ht="13">
      <c r="A36" s="16"/>
      <c r="B36" s="16"/>
      <c r="C36" s="16"/>
      <c r="D36" s="16"/>
      <c r="E36" s="16"/>
      <c r="F36" s="16"/>
      <c r="G36" s="16"/>
      <c r="H36" s="16"/>
      <c r="I36" s="16"/>
      <c r="J36" s="427"/>
    </row>
    <row r="37" spans="1:10" ht="13">
      <c r="A37" s="16"/>
      <c r="B37" s="16"/>
      <c r="C37" s="16"/>
      <c r="D37" s="16"/>
      <c r="E37" s="16"/>
      <c r="F37" s="16"/>
      <c r="G37" s="16"/>
      <c r="H37" s="16"/>
      <c r="I37" s="16"/>
      <c r="J37" s="427"/>
    </row>
    <row r="38" spans="1:10" ht="13">
      <c r="A38" s="16"/>
      <c r="B38" s="16"/>
      <c r="C38" s="16"/>
      <c r="D38" s="16"/>
      <c r="E38" s="16"/>
      <c r="F38" s="16"/>
      <c r="G38" s="16"/>
      <c r="H38" s="16"/>
      <c r="I38" s="16"/>
      <c r="J38" s="427"/>
    </row>
    <row r="39" spans="1:10" ht="13">
      <c r="A39" s="16"/>
      <c r="B39" s="16"/>
      <c r="C39" s="16"/>
      <c r="D39" s="16"/>
      <c r="E39" s="16"/>
      <c r="F39" s="16"/>
      <c r="G39" s="16"/>
      <c r="H39" s="16"/>
      <c r="I39" s="16"/>
      <c r="J39" s="427"/>
    </row>
    <row r="40" spans="1:10" ht="13">
      <c r="A40" s="16"/>
      <c r="B40" s="16"/>
      <c r="C40" s="16"/>
      <c r="D40" s="16"/>
      <c r="E40" s="16"/>
      <c r="F40" s="16"/>
      <c r="G40" s="16"/>
      <c r="H40" s="16"/>
      <c r="I40" s="16"/>
      <c r="J40" s="427"/>
    </row>
    <row r="41" spans="1:10" ht="13">
      <c r="A41" s="16"/>
      <c r="B41" s="16"/>
      <c r="C41" s="16"/>
      <c r="D41" s="16"/>
      <c r="E41" s="16"/>
      <c r="F41" s="16"/>
      <c r="G41" s="16"/>
      <c r="H41" s="16"/>
      <c r="I41" s="16"/>
      <c r="J41" s="427"/>
    </row>
    <row r="42" spans="1:10" ht="13">
      <c r="A42" s="16"/>
      <c r="B42" s="16"/>
      <c r="C42" s="16"/>
      <c r="D42" s="16"/>
      <c r="E42" s="16"/>
      <c r="F42" s="16"/>
      <c r="G42" s="16"/>
      <c r="H42" s="16"/>
      <c r="I42" s="16"/>
      <c r="J42" s="427"/>
    </row>
    <row r="43" spans="1:10" ht="13">
      <c r="A43" s="16"/>
      <c r="B43" s="16"/>
      <c r="C43" s="16"/>
      <c r="D43" s="16"/>
      <c r="E43" s="16"/>
      <c r="F43" s="16"/>
      <c r="G43" s="16"/>
      <c r="H43" s="16"/>
      <c r="I43" s="16"/>
      <c r="J43" s="427"/>
    </row>
    <row r="44" spans="1:10" ht="13">
      <c r="A44" s="16"/>
      <c r="B44" s="16"/>
      <c r="C44" s="16"/>
      <c r="D44" s="16"/>
      <c r="E44" s="16"/>
      <c r="F44" s="16"/>
      <c r="G44" s="16"/>
      <c r="H44" s="16"/>
      <c r="I44" s="16"/>
      <c r="J44" s="427"/>
    </row>
    <row r="45" spans="1:10" ht="13">
      <c r="A45" s="16"/>
      <c r="B45" s="16"/>
      <c r="C45" s="16"/>
      <c r="D45" s="16"/>
      <c r="E45" s="16"/>
      <c r="F45" s="16"/>
      <c r="G45" s="16"/>
      <c r="H45" s="16"/>
      <c r="I45" s="16"/>
      <c r="J45" s="427"/>
    </row>
    <row r="46" spans="1:10" ht="13">
      <c r="A46" s="16"/>
      <c r="B46" s="16"/>
      <c r="C46" s="16"/>
      <c r="D46" s="16"/>
      <c r="E46" s="16"/>
      <c r="F46" s="16"/>
      <c r="G46" s="16"/>
      <c r="H46" s="16"/>
      <c r="I46" s="16"/>
      <c r="J46" s="427"/>
    </row>
    <row r="47" spans="1:10" ht="13">
      <c r="A47" s="16"/>
      <c r="B47" s="16"/>
      <c r="C47" s="16"/>
      <c r="D47" s="16"/>
      <c r="E47" s="16"/>
      <c r="F47" s="16"/>
      <c r="G47" s="16"/>
      <c r="H47" s="16"/>
      <c r="I47" s="16"/>
      <c r="J47" s="427"/>
    </row>
    <row r="48" spans="1:10" ht="13">
      <c r="A48" s="16"/>
      <c r="B48" s="16"/>
      <c r="C48" s="16"/>
      <c r="D48" s="16"/>
      <c r="E48" s="16"/>
      <c r="F48" s="16"/>
      <c r="G48" s="16"/>
      <c r="H48" s="16"/>
      <c r="I48" s="16"/>
      <c r="J48" s="427"/>
    </row>
    <row r="49" spans="1:19" ht="13">
      <c r="A49" s="16"/>
      <c r="B49" s="16"/>
      <c r="C49" s="16"/>
      <c r="D49" s="16"/>
      <c r="E49" s="16"/>
      <c r="F49" s="16"/>
      <c r="G49" s="16"/>
      <c r="H49" s="16"/>
      <c r="I49" s="16"/>
      <c r="J49" s="427"/>
    </row>
    <row r="50" spans="1:19" ht="13">
      <c r="A50" s="16"/>
      <c r="B50" s="16"/>
      <c r="C50" s="16"/>
      <c r="D50" s="16"/>
      <c r="E50" s="16"/>
      <c r="F50" s="16"/>
      <c r="G50" s="16"/>
      <c r="H50" s="16"/>
      <c r="I50" s="16"/>
      <c r="J50" s="427"/>
    </row>
    <row r="51" spans="1:19" ht="13">
      <c r="J51" s="427"/>
    </row>
    <row r="52" spans="1:19" ht="26.5">
      <c r="A52" s="429" t="s">
        <v>1463</v>
      </c>
      <c r="B52" s="430" t="s">
        <v>1464</v>
      </c>
      <c r="C52" s="430" t="s">
        <v>1465</v>
      </c>
      <c r="D52" s="430" t="s">
        <v>1466</v>
      </c>
      <c r="E52" s="431" t="s">
        <v>1271</v>
      </c>
      <c r="F52" s="430" t="s">
        <v>1467</v>
      </c>
      <c r="G52" s="430" t="s">
        <v>1468</v>
      </c>
      <c r="H52" s="430" t="s">
        <v>1469</v>
      </c>
      <c r="I52" s="430" t="s">
        <v>1178</v>
      </c>
      <c r="J52" s="428"/>
      <c r="K52" s="429" t="str">
        <f>A52</f>
        <v>Fuel consumption values wrt sectors 1 to 4</v>
      </c>
      <c r="L52" s="430" t="s">
        <v>1464</v>
      </c>
      <c r="M52" s="430" t="s">
        <v>1465</v>
      </c>
      <c r="N52" s="430" t="s">
        <v>1466</v>
      </c>
      <c r="O52" s="431" t="s">
        <v>1271</v>
      </c>
      <c r="P52" s="430" t="s">
        <v>1467</v>
      </c>
      <c r="Q52" s="430" t="s">
        <v>1468</v>
      </c>
      <c r="R52" s="430" t="s">
        <v>1469</v>
      </c>
      <c r="S52" s="430" t="s">
        <v>1178</v>
      </c>
    </row>
    <row r="53" spans="1:19" ht="13">
      <c r="A53" s="268" t="s">
        <v>512</v>
      </c>
      <c r="B53" s="382">
        <f>SUM(Original!U3:U4)</f>
        <v>397710.86000000004</v>
      </c>
      <c r="C53" s="382">
        <f>SUM(Original!V3:V4)</f>
        <v>596566.29</v>
      </c>
      <c r="D53" s="382">
        <f>SUM(Original!W3:W4)</f>
        <v>3380542.3100000005</v>
      </c>
      <c r="E53" s="432">
        <f>SUM(Original!Y3:Y4)</f>
        <v>3778253.1700000004</v>
      </c>
      <c r="F53" s="269">
        <f>I53-SUM(B53:E53)</f>
        <v>11732470.369999999</v>
      </c>
      <c r="G53" s="269">
        <v>0</v>
      </c>
      <c r="H53" s="269">
        <v>0</v>
      </c>
      <c r="I53" s="433">
        <f>SUM(Original!J3:J4)</f>
        <v>19885543</v>
      </c>
      <c r="J53" s="428"/>
      <c r="K53" s="268" t="s">
        <v>512</v>
      </c>
      <c r="L53" s="336">
        <f>B53/$I53</f>
        <v>2.0000000000000004E-2</v>
      </c>
      <c r="M53" s="336">
        <f t="shared" ref="M53:R55" si="2">C53/$I53</f>
        <v>3.0000000000000002E-2</v>
      </c>
      <c r="N53" s="336">
        <f t="shared" si="2"/>
        <v>0.17000000000000004</v>
      </c>
      <c r="O53" s="336">
        <f t="shared" si="2"/>
        <v>0.19000000000000003</v>
      </c>
      <c r="P53" s="336">
        <f t="shared" si="2"/>
        <v>0.59</v>
      </c>
      <c r="Q53" s="336">
        <f t="shared" si="2"/>
        <v>0</v>
      </c>
      <c r="R53" s="336">
        <f t="shared" si="2"/>
        <v>0</v>
      </c>
      <c r="S53" s="433">
        <f>SUM(L53:R53)</f>
        <v>1</v>
      </c>
    </row>
    <row r="54" spans="1:19" ht="13">
      <c r="A54" s="268" t="s">
        <v>947</v>
      </c>
      <c r="B54" s="382">
        <f>SUM(Original!AC3:AC4)</f>
        <v>36514834.723742642</v>
      </c>
      <c r="C54" s="382">
        <f>SUM(Original!AD3:AD4)</f>
        <v>14499401.760710012</v>
      </c>
      <c r="D54" s="382">
        <f>SUM(Original!AE3:AE4)</f>
        <v>0</v>
      </c>
      <c r="E54" s="382">
        <f>SUM(Original!AG3:AG4)</f>
        <v>0</v>
      </c>
      <c r="F54" s="269">
        <v>0</v>
      </c>
      <c r="G54" s="269">
        <v>0</v>
      </c>
      <c r="H54" s="269">
        <v>0</v>
      </c>
      <c r="I54" s="433">
        <f>SUM(Original!K3:K4)</f>
        <v>51014236.484452665</v>
      </c>
      <c r="J54" s="428"/>
      <c r="K54" s="268" t="s">
        <v>947</v>
      </c>
      <c r="L54" s="336">
        <f t="shared" ref="L54:L55" si="3">B54/$I54</f>
        <v>0.71577734452364239</v>
      </c>
      <c r="M54" s="336">
        <f t="shared" si="2"/>
        <v>0.28422265547635739</v>
      </c>
      <c r="N54" s="336">
        <f t="shared" si="2"/>
        <v>0</v>
      </c>
      <c r="O54" s="336">
        <f t="shared" si="2"/>
        <v>0</v>
      </c>
      <c r="P54" s="336">
        <f t="shared" si="2"/>
        <v>0</v>
      </c>
      <c r="Q54" s="336">
        <f t="shared" si="2"/>
        <v>0</v>
      </c>
      <c r="R54" s="336">
        <f t="shared" si="2"/>
        <v>0</v>
      </c>
      <c r="S54" s="433">
        <f t="shared" ref="S54:S55" si="4">SUM(L54:R54)</f>
        <v>0.99999999999999978</v>
      </c>
    </row>
    <row r="55" spans="1:19" ht="13">
      <c r="A55" s="268" t="s">
        <v>972</v>
      </c>
      <c r="B55" s="382">
        <f>SUM(Original!M3:M4)</f>
        <v>6980835.7957391869</v>
      </c>
      <c r="C55" s="382">
        <f>SUM(Original!N3:N4)</f>
        <v>1479459.8635206572</v>
      </c>
      <c r="D55" s="269">
        <v>0</v>
      </c>
      <c r="E55" s="401">
        <v>0</v>
      </c>
      <c r="F55" s="269">
        <v>0</v>
      </c>
      <c r="G55" s="269">
        <v>0</v>
      </c>
      <c r="H55" s="269">
        <v>0</v>
      </c>
      <c r="I55" s="433">
        <f>SUM(B55:H55)</f>
        <v>8460295.6592598446</v>
      </c>
      <c r="J55" s="427"/>
      <c r="K55" s="268" t="s">
        <v>972</v>
      </c>
      <c r="L55" s="336">
        <f t="shared" si="3"/>
        <v>0.82512905894708544</v>
      </c>
      <c r="M55" s="336">
        <f t="shared" si="2"/>
        <v>0.17487094105291456</v>
      </c>
      <c r="N55" s="336">
        <f t="shared" si="2"/>
        <v>0</v>
      </c>
      <c r="O55" s="336">
        <f t="shared" si="2"/>
        <v>0</v>
      </c>
      <c r="P55" s="336">
        <f t="shared" si="2"/>
        <v>0</v>
      </c>
      <c r="Q55" s="336">
        <f t="shared" si="2"/>
        <v>0</v>
      </c>
      <c r="R55" s="336">
        <f t="shared" si="2"/>
        <v>0</v>
      </c>
      <c r="S55" s="433">
        <f t="shared" si="4"/>
        <v>1</v>
      </c>
    </row>
    <row r="56" spans="1:19" ht="13">
      <c r="A56" s="409"/>
      <c r="B56" s="416"/>
      <c r="C56" s="416"/>
      <c r="D56" s="416"/>
      <c r="E56" s="416"/>
      <c r="F56" s="416"/>
      <c r="G56" s="416"/>
      <c r="H56" s="416"/>
      <c r="I56" s="31"/>
      <c r="J56" s="427"/>
      <c r="K56" s="409"/>
      <c r="L56" s="415"/>
      <c r="M56" s="415"/>
      <c r="N56" s="415"/>
      <c r="O56" s="415"/>
      <c r="P56" s="415"/>
      <c r="Q56" s="415"/>
      <c r="R56" s="415"/>
      <c r="S56" s="31"/>
    </row>
    <row r="57" spans="1:19" ht="13">
      <c r="A57" s="409"/>
      <c r="B57" s="16"/>
      <c r="C57" s="16"/>
      <c r="D57" s="16"/>
      <c r="E57" s="16"/>
      <c r="F57" s="16"/>
      <c r="G57" s="16"/>
      <c r="H57" s="16"/>
      <c r="I57" s="31"/>
      <c r="J57" s="427"/>
      <c r="K57" s="409"/>
      <c r="L57" s="415"/>
      <c r="M57" s="415"/>
      <c r="N57" s="415"/>
      <c r="O57" s="415"/>
      <c r="P57" s="415"/>
      <c r="Q57" s="415"/>
      <c r="R57" s="415"/>
      <c r="S57" s="31"/>
    </row>
    <row r="58" spans="1:19" ht="13">
      <c r="J58" s="427"/>
    </row>
    <row r="59" spans="1:19" ht="26.5">
      <c r="A59" s="429" t="s">
        <v>1470</v>
      </c>
      <c r="B59" s="430" t="s">
        <v>1464</v>
      </c>
      <c r="C59" s="430" t="s">
        <v>1465</v>
      </c>
      <c r="D59" s="430" t="s">
        <v>1466</v>
      </c>
      <c r="E59" s="431" t="s">
        <v>1271</v>
      </c>
      <c r="F59" s="430" t="s">
        <v>1467</v>
      </c>
      <c r="G59" s="430" t="s">
        <v>1468</v>
      </c>
      <c r="H59" s="430" t="s">
        <v>1469</v>
      </c>
      <c r="I59" s="430" t="s">
        <v>1178</v>
      </c>
      <c r="J59" s="428"/>
      <c r="K59" s="429" t="str">
        <f>A59</f>
        <v>Fuel consumption values wrt sectors Multifamily</v>
      </c>
      <c r="L59" s="430" t="s">
        <v>1464</v>
      </c>
      <c r="M59" s="430" t="s">
        <v>1465</v>
      </c>
      <c r="N59" s="430" t="s">
        <v>1466</v>
      </c>
      <c r="O59" s="431" t="s">
        <v>1271</v>
      </c>
      <c r="P59" s="430" t="s">
        <v>1467</v>
      </c>
      <c r="Q59" s="430" t="s">
        <v>1468</v>
      </c>
      <c r="R59" s="430" t="s">
        <v>1469</v>
      </c>
      <c r="S59" s="430" t="s">
        <v>1178</v>
      </c>
    </row>
    <row r="60" spans="1:19" ht="13">
      <c r="A60" s="268" t="s">
        <v>512</v>
      </c>
      <c r="B60" s="382">
        <f>SUM(Original!U6:U12)</f>
        <v>2381461.1299073696</v>
      </c>
      <c r="C60" s="382">
        <f>SUM(Original!V6:V12)</f>
        <v>652393.94780187949</v>
      </c>
      <c r="D60" s="382">
        <f>SUM(Original!W6:W12)</f>
        <v>4885976.698128744</v>
      </c>
      <c r="E60" s="432">
        <f>SUM(Original!Y6:Y12)</f>
        <v>9303388.4224285781</v>
      </c>
      <c r="F60" s="269">
        <f>I60-SUM(B60:E60)</f>
        <v>14636627.801733427</v>
      </c>
      <c r="G60" s="269">
        <v>0</v>
      </c>
      <c r="H60" s="269">
        <v>0</v>
      </c>
      <c r="I60" s="433">
        <f>SUM(Original!U6:AB12)</f>
        <v>31859848</v>
      </c>
      <c r="J60" s="428"/>
      <c r="K60" s="268" t="s">
        <v>512</v>
      </c>
      <c r="L60" s="336">
        <f>B60/$I60</f>
        <v>7.4748038029163535E-2</v>
      </c>
      <c r="M60" s="336">
        <f t="shared" ref="M60:R62" si="5">C60/$I60</f>
        <v>2.04769949876057E-2</v>
      </c>
      <c r="N60" s="336">
        <f t="shared" si="5"/>
        <v>0.15335844345926397</v>
      </c>
      <c r="O60" s="336">
        <f t="shared" si="5"/>
        <v>0.29200981820216398</v>
      </c>
      <c r="P60" s="336">
        <f t="shared" si="5"/>
        <v>0.45940670532180278</v>
      </c>
      <c r="Q60" s="336">
        <f t="shared" si="5"/>
        <v>0</v>
      </c>
      <c r="R60" s="336">
        <f t="shared" si="5"/>
        <v>0</v>
      </c>
      <c r="S60" s="433">
        <f>SUM(L60:R60)</f>
        <v>1</v>
      </c>
    </row>
    <row r="61" spans="1:19" ht="13">
      <c r="A61" s="268" t="s">
        <v>947</v>
      </c>
      <c r="B61" s="382">
        <f>SUM(Original!AC6:AC12)</f>
        <v>82624734.910524189</v>
      </c>
      <c r="C61" s="382">
        <f>SUM(Original!AD6:AD12)</f>
        <v>39693941.055683047</v>
      </c>
      <c r="D61" s="382">
        <f>SUM(Original!AE6:AE12)</f>
        <v>1367253.6874679662</v>
      </c>
      <c r="E61" s="382">
        <f>SUM(Original!AG6:AG12)</f>
        <v>0</v>
      </c>
      <c r="F61" s="269">
        <v>0</v>
      </c>
      <c r="G61" s="269">
        <v>0</v>
      </c>
      <c r="H61" s="269">
        <f>I61-SUM(B61:G61)</f>
        <v>2836126.2078271359</v>
      </c>
      <c r="I61" s="433">
        <f>SUM(Original!AC6:AJ12)</f>
        <v>126522055.86150233</v>
      </c>
      <c r="J61" s="428"/>
      <c r="K61" s="268" t="s">
        <v>947</v>
      </c>
      <c r="L61" s="336">
        <f t="shared" ref="L61:L62" si="6">B61/$I61</f>
        <v>0.65304609815200565</v>
      </c>
      <c r="M61" s="336">
        <f t="shared" si="5"/>
        <v>0.31373139477858397</v>
      </c>
      <c r="N61" s="336">
        <f t="shared" si="5"/>
        <v>1.0806445391344524E-2</v>
      </c>
      <c r="O61" s="336">
        <f t="shared" si="5"/>
        <v>0</v>
      </c>
      <c r="P61" s="336">
        <f t="shared" si="5"/>
        <v>0</v>
      </c>
      <c r="Q61" s="336">
        <f t="shared" si="5"/>
        <v>0</v>
      </c>
      <c r="R61" s="336">
        <f t="shared" si="5"/>
        <v>2.2416061678065903E-2</v>
      </c>
      <c r="S61" s="433">
        <f t="shared" ref="S61:S62" si="7">SUM(L61:R61)</f>
        <v>1.0000000000000002</v>
      </c>
    </row>
    <row r="62" spans="1:19" ht="13">
      <c r="A62" s="268" t="s">
        <v>972</v>
      </c>
      <c r="B62" s="382">
        <f>SUM(Original!M6:M12)</f>
        <v>21290833.093482092</v>
      </c>
      <c r="C62" s="382">
        <f>SUM(Original!N6:N12)</f>
        <v>7726302.847778854</v>
      </c>
      <c r="D62" s="269">
        <f>SUM(Original!O6:O12)</f>
        <v>169211.01885844817</v>
      </c>
      <c r="E62" s="401">
        <v>0</v>
      </c>
      <c r="F62" s="269">
        <v>0</v>
      </c>
      <c r="G62" s="269">
        <f>I62-SUM(B62:F62)</f>
        <v>14.606072422116995</v>
      </c>
      <c r="H62" s="269">
        <v>0</v>
      </c>
      <c r="I62" s="433">
        <f>SUM(Original!M6:T12)</f>
        <v>29186361.566191815</v>
      </c>
      <c r="J62" s="427"/>
      <c r="K62" s="268" t="s">
        <v>972</v>
      </c>
      <c r="L62" s="336">
        <f t="shared" si="6"/>
        <v>0.72947883706561245</v>
      </c>
      <c r="M62" s="336">
        <f t="shared" si="5"/>
        <v>0.26472305670086194</v>
      </c>
      <c r="N62" s="336">
        <f t="shared" si="5"/>
        <v>5.79760579182486E-3</v>
      </c>
      <c r="O62" s="336">
        <f t="shared" si="5"/>
        <v>0</v>
      </c>
      <c r="P62" s="336">
        <f t="shared" si="5"/>
        <v>0</v>
      </c>
      <c r="Q62" s="336">
        <f t="shared" si="5"/>
        <v>5.0044170079205836E-7</v>
      </c>
      <c r="R62" s="336">
        <f t="shared" si="5"/>
        <v>0</v>
      </c>
      <c r="S62" s="433">
        <f t="shared" si="7"/>
        <v>1</v>
      </c>
    </row>
    <row r="63" spans="1:19" ht="13">
      <c r="A63" s="16"/>
      <c r="B63" s="426"/>
      <c r="C63" s="426"/>
      <c r="D63" s="426"/>
      <c r="E63" s="426"/>
      <c r="F63" s="426"/>
      <c r="G63" s="426"/>
      <c r="H63" s="426"/>
      <c r="I63" s="426"/>
      <c r="J63" s="427"/>
    </row>
    <row r="64" spans="1:19" ht="13">
      <c r="A64" s="16"/>
      <c r="B64" s="335"/>
      <c r="C64" s="335"/>
      <c r="D64" s="335"/>
      <c r="E64" s="335"/>
      <c r="F64" s="335"/>
      <c r="G64" s="335"/>
      <c r="H64" s="335"/>
      <c r="I64" s="335"/>
      <c r="J64" s="428"/>
    </row>
    <row r="65" spans="1:19" ht="26.5">
      <c r="A65" s="429" t="s">
        <v>1479</v>
      </c>
      <c r="B65" s="430" t="s">
        <v>1464</v>
      </c>
      <c r="C65" s="430" t="s">
        <v>1465</v>
      </c>
      <c r="D65" s="430" t="s">
        <v>1466</v>
      </c>
      <c r="E65" s="431" t="s">
        <v>1271</v>
      </c>
      <c r="F65" s="430" t="s">
        <v>1467</v>
      </c>
      <c r="G65" s="430" t="s">
        <v>1468</v>
      </c>
      <c r="H65" s="430" t="s">
        <v>1469</v>
      </c>
      <c r="I65" s="430" t="s">
        <v>1178</v>
      </c>
      <c r="J65" s="428"/>
      <c r="K65" s="429" t="str">
        <f>A65</f>
        <v>Fuel consumption values wrt sectors Commercial</v>
      </c>
      <c r="L65" s="430" t="s">
        <v>1464</v>
      </c>
      <c r="M65" s="430" t="s">
        <v>1465</v>
      </c>
      <c r="N65" s="430" t="s">
        <v>1466</v>
      </c>
      <c r="O65" s="431" t="s">
        <v>1271</v>
      </c>
      <c r="P65" s="430" t="s">
        <v>1467</v>
      </c>
      <c r="Q65" s="430" t="s">
        <v>1468</v>
      </c>
      <c r="R65" s="430" t="s">
        <v>1469</v>
      </c>
      <c r="S65" s="430" t="s">
        <v>1178</v>
      </c>
    </row>
    <row r="66" spans="1:19" ht="13">
      <c r="A66" s="268" t="s">
        <v>512</v>
      </c>
      <c r="B66" s="382">
        <f>SUM(Original!U13:U20)</f>
        <v>1906660.9197195347</v>
      </c>
      <c r="C66" s="382">
        <f>SUM(Original!V13:V20)</f>
        <v>515549.53264258319</v>
      </c>
      <c r="D66" s="382">
        <f>SUM(Original!W13:W20)</f>
        <v>10688272.910411296</v>
      </c>
      <c r="E66" s="432">
        <f>SUM(Original!Y13:Y20)</f>
        <v>15321762.566033021</v>
      </c>
      <c r="F66" s="269">
        <f>I66-SUM(B66:E66)</f>
        <v>34797374.225622058</v>
      </c>
      <c r="G66" s="269"/>
      <c r="H66" s="269"/>
      <c r="I66" s="433">
        <f>SUM(Original!U13:AB20)</f>
        <v>63229620.15442849</v>
      </c>
      <c r="J66" s="428"/>
      <c r="K66" s="268" t="s">
        <v>512</v>
      </c>
      <c r="L66" s="336">
        <f>B66/$I66</f>
        <v>3.0154552803936079E-2</v>
      </c>
      <c r="M66" s="336">
        <f t="shared" ref="M66:R68" si="8">C66/$I66</f>
        <v>8.1536079353858818E-3</v>
      </c>
      <c r="N66" s="336">
        <f t="shared" si="8"/>
        <v>0.1690390181738694</v>
      </c>
      <c r="O66" s="336">
        <f t="shared" si="8"/>
        <v>0.24231938336197503</v>
      </c>
      <c r="P66" s="336">
        <f t="shared" si="8"/>
        <v>0.55033343772483367</v>
      </c>
      <c r="Q66" s="336">
        <f t="shared" si="8"/>
        <v>0</v>
      </c>
      <c r="R66" s="336">
        <f t="shared" si="8"/>
        <v>0</v>
      </c>
      <c r="S66" s="433">
        <f>SUM(L66:R66)</f>
        <v>1</v>
      </c>
    </row>
    <row r="67" spans="1:19" ht="13">
      <c r="A67" s="268" t="s">
        <v>947</v>
      </c>
      <c r="B67" s="382">
        <f>SUM(Original!AC13:AC20)</f>
        <v>45089250.216493666</v>
      </c>
      <c r="C67" s="382">
        <f>SUM(Original!AD13:AD20)</f>
        <v>14565842.284953684</v>
      </c>
      <c r="D67" s="382">
        <f>SUM(Original!AE13:AE20)</f>
        <v>9191372.4012970775</v>
      </c>
      <c r="E67" s="382">
        <f>SUM(Original!AG13:AG20)</f>
        <v>0</v>
      </c>
      <c r="F67" s="269"/>
      <c r="G67" s="269"/>
      <c r="H67" s="269">
        <f>I67-SUM(B67:E67)</f>
        <v>4130916.2545663118</v>
      </c>
      <c r="I67" s="433">
        <f>SUM(Original!AC13:AJ20)</f>
        <v>72977381.157310739</v>
      </c>
      <c r="J67" s="428"/>
      <c r="K67" s="268" t="s">
        <v>947</v>
      </c>
      <c r="L67" s="336">
        <f t="shared" ref="L67:L68" si="9">B67/$I67</f>
        <v>0.61785240168181488</v>
      </c>
      <c r="M67" s="336">
        <f t="shared" si="8"/>
        <v>0.19959392970755438</v>
      </c>
      <c r="N67" s="336">
        <f t="shared" si="8"/>
        <v>0.12594823567982066</v>
      </c>
      <c r="O67" s="336">
        <f t="shared" si="8"/>
        <v>0</v>
      </c>
      <c r="P67" s="336">
        <f t="shared" si="8"/>
        <v>0</v>
      </c>
      <c r="Q67" s="336">
        <f t="shared" si="8"/>
        <v>0</v>
      </c>
      <c r="R67" s="336">
        <f t="shared" si="8"/>
        <v>5.6605432930810017E-2</v>
      </c>
      <c r="S67" s="433">
        <f t="shared" ref="S67:S68" si="10">SUM(L67:R67)</f>
        <v>0.99999999999999989</v>
      </c>
    </row>
    <row r="68" spans="1:19" ht="13">
      <c r="A68" s="268" t="s">
        <v>972</v>
      </c>
      <c r="B68" s="382">
        <f>SUM(Original!M13:M20)</f>
        <v>6953647.4889343465</v>
      </c>
      <c r="C68" s="382">
        <f>SUM(Original!N13:N20)</f>
        <v>1041297.765133294</v>
      </c>
      <c r="D68" s="269">
        <f>SUM(Original!O13:O20)</f>
        <v>8949.0782931108188</v>
      </c>
      <c r="E68" s="401"/>
      <c r="F68" s="269"/>
      <c r="G68" s="269">
        <f>I68-SUM(B68:E68)</f>
        <v>104.00873412191868</v>
      </c>
      <c r="H68" s="269"/>
      <c r="I68" s="433">
        <f>SUM(Original!M13:T20)</f>
        <v>8003998.3410948738</v>
      </c>
      <c r="J68" s="427"/>
      <c r="K68" s="268" t="s">
        <v>972</v>
      </c>
      <c r="L68" s="336">
        <f t="shared" si="9"/>
        <v>0.86877173040282651</v>
      </c>
      <c r="M68" s="336">
        <f t="shared" si="8"/>
        <v>0.1300971990195158</v>
      </c>
      <c r="N68" s="336">
        <f t="shared" si="8"/>
        <v>1.1180759804963511E-3</v>
      </c>
      <c r="O68" s="336">
        <f t="shared" si="8"/>
        <v>0</v>
      </c>
      <c r="P68" s="336">
        <f t="shared" si="8"/>
        <v>0</v>
      </c>
      <c r="Q68" s="336">
        <f t="shared" si="8"/>
        <v>1.2994597161259685E-5</v>
      </c>
      <c r="R68" s="336">
        <f t="shared" si="8"/>
        <v>0</v>
      </c>
      <c r="S68" s="433">
        <f t="shared" si="10"/>
        <v>1</v>
      </c>
    </row>
    <row r="70" spans="1:19" ht="26.5">
      <c r="A70" s="429" t="s">
        <v>1480</v>
      </c>
      <c r="B70" s="430" t="s">
        <v>1464</v>
      </c>
      <c r="C70" s="430" t="s">
        <v>1465</v>
      </c>
      <c r="D70" s="430" t="s">
        <v>1466</v>
      </c>
      <c r="E70" s="431" t="s">
        <v>1271</v>
      </c>
      <c r="F70" s="430" t="s">
        <v>1467</v>
      </c>
      <c r="G70" s="430" t="s">
        <v>1468</v>
      </c>
      <c r="H70" s="430" t="s">
        <v>1469</v>
      </c>
      <c r="I70" s="430" t="s">
        <v>1178</v>
      </c>
      <c r="J70" s="428"/>
      <c r="K70" s="429" t="str">
        <f>A70</f>
        <v>Fuel consumption values wrt sectors Institutional</v>
      </c>
      <c r="L70" s="430" t="s">
        <v>1464</v>
      </c>
      <c r="M70" s="430" t="s">
        <v>1465</v>
      </c>
      <c r="N70" s="430" t="s">
        <v>1466</v>
      </c>
      <c r="O70" s="431" t="s">
        <v>1271</v>
      </c>
      <c r="P70" s="430" t="s">
        <v>1467</v>
      </c>
      <c r="Q70" s="430" t="s">
        <v>1468</v>
      </c>
      <c r="R70" s="430" t="s">
        <v>1469</v>
      </c>
      <c r="S70" s="430" t="s">
        <v>1178</v>
      </c>
    </row>
    <row r="71" spans="1:19" ht="13">
      <c r="A71" s="268" t="s">
        <v>512</v>
      </c>
      <c r="B71" s="382">
        <f>SUM(Original!U24:U28)</f>
        <v>343684.74787603336</v>
      </c>
      <c r="C71" s="382">
        <f>SUM(Original!V24:V28)</f>
        <v>155332.49225654575</v>
      </c>
      <c r="D71" s="382">
        <f>SUM(Original!W24:W28)</f>
        <v>2975491.0171612739</v>
      </c>
      <c r="E71" s="432">
        <f>SUM(Original!Y24:Y28)</f>
        <v>6032685.2908489592</v>
      </c>
      <c r="F71" s="269">
        <f>I71-SUM(B71:E71)</f>
        <v>9479873.1152088158</v>
      </c>
      <c r="G71" s="269"/>
      <c r="H71" s="269"/>
      <c r="I71" s="433">
        <f>SUM(Original!U24:AB28)</f>
        <v>18987066.663351629</v>
      </c>
      <c r="J71" s="428"/>
      <c r="K71" s="268" t="s">
        <v>512</v>
      </c>
      <c r="L71" s="336">
        <f>B71/$I71</f>
        <v>1.8100992321231232E-2</v>
      </c>
      <c r="M71" s="336">
        <f t="shared" ref="M71:R73" si="11">C71/$I71</f>
        <v>8.1809631266721531E-3</v>
      </c>
      <c r="N71" s="336">
        <f t="shared" si="11"/>
        <v>0.15671146417284634</v>
      </c>
      <c r="O71" s="336">
        <f t="shared" si="11"/>
        <v>0.31772602887064699</v>
      </c>
      <c r="P71" s="336">
        <f t="shared" si="11"/>
        <v>0.49928055150860323</v>
      </c>
      <c r="Q71" s="336">
        <f t="shared" si="11"/>
        <v>0</v>
      </c>
      <c r="R71" s="336">
        <f t="shared" si="11"/>
        <v>0</v>
      </c>
      <c r="S71" s="433">
        <f>SUM(L71:R71)</f>
        <v>1</v>
      </c>
    </row>
    <row r="72" spans="1:19" ht="13">
      <c r="A72" s="268" t="s">
        <v>947</v>
      </c>
      <c r="B72" s="382">
        <f>SUM(Original!AC24:AC28)</f>
        <v>25447604.408242416</v>
      </c>
      <c r="C72" s="382">
        <f>SUM(Original!AD24:AD28)</f>
        <v>4876153.2976490138</v>
      </c>
      <c r="D72" s="382">
        <f>SUM(Original!AE24:AE28)</f>
        <v>2859660.4006893653</v>
      </c>
      <c r="E72" s="382">
        <f>SUM(Original!AG24:AG28)</f>
        <v>3019.5469662375485</v>
      </c>
      <c r="F72" s="269"/>
      <c r="G72" s="269"/>
      <c r="H72" s="269">
        <f>I72-SUM(B72:F72)</f>
        <v>1113293.0489759557</v>
      </c>
      <c r="I72" s="433">
        <f>SUM(Original!AC24:AJ28)</f>
        <v>34299730.702522986</v>
      </c>
      <c r="J72" s="428"/>
      <c r="K72" s="268" t="s">
        <v>947</v>
      </c>
      <c r="L72" s="336">
        <f t="shared" ref="L72:L73" si="12">B72/$I72</f>
        <v>0.74191848994227139</v>
      </c>
      <c r="M72" s="336">
        <f t="shared" si="11"/>
        <v>0.14216301987730587</v>
      </c>
      <c r="N72" s="336">
        <f t="shared" si="11"/>
        <v>8.3372677922483429E-2</v>
      </c>
      <c r="O72" s="336">
        <f t="shared" si="11"/>
        <v>8.803413042585316E-5</v>
      </c>
      <c r="P72" s="336">
        <f t="shared" si="11"/>
        <v>0</v>
      </c>
      <c r="Q72" s="336">
        <f t="shared" si="11"/>
        <v>0</v>
      </c>
      <c r="R72" s="336">
        <f t="shared" si="11"/>
        <v>3.2457778127513555E-2</v>
      </c>
      <c r="S72" s="433">
        <f t="shared" ref="S72:S73" si="13">SUM(L72:R72)</f>
        <v>1</v>
      </c>
    </row>
    <row r="73" spans="1:19" ht="13">
      <c r="A73" s="268" t="s">
        <v>972</v>
      </c>
      <c r="B73" s="382">
        <f>SUM(Original!M24:M28)</f>
        <v>4357938.6634930531</v>
      </c>
      <c r="C73" s="432">
        <f>SUM(Original!N24:N28)</f>
        <v>970437.63764158252</v>
      </c>
      <c r="D73" s="382">
        <f>SUM(Original!O24:O28)</f>
        <v>102139.14464609961</v>
      </c>
      <c r="E73" s="401"/>
      <c r="F73" s="269"/>
      <c r="G73" s="269">
        <f>I73-SUM(B73:F73)</f>
        <v>107132.38767369464</v>
      </c>
      <c r="H73" s="269"/>
      <c r="I73" s="433">
        <f>SUM(Original!M24:T28)</f>
        <v>5537647.8334544301</v>
      </c>
      <c r="J73" s="427"/>
      <c r="K73" s="268" t="s">
        <v>972</v>
      </c>
      <c r="L73" s="336">
        <f t="shared" si="12"/>
        <v>0.78696565663955109</v>
      </c>
      <c r="M73" s="336">
        <f>C73/$I73</f>
        <v>0.17524365341163553</v>
      </c>
      <c r="N73" s="336">
        <f>D73/$I73</f>
        <v>1.8444499852274712E-2</v>
      </c>
      <c r="O73" s="336">
        <f t="shared" si="11"/>
        <v>0</v>
      </c>
      <c r="P73" s="336">
        <f t="shared" si="11"/>
        <v>0</v>
      </c>
      <c r="Q73" s="336">
        <f>G73/$I73</f>
        <v>1.934619009653862E-2</v>
      </c>
      <c r="R73" s="336">
        <f t="shared" si="11"/>
        <v>0</v>
      </c>
      <c r="S73" s="433">
        <f t="shared" si="13"/>
        <v>0.99999999999999989</v>
      </c>
    </row>
    <row r="76" spans="1:19" ht="25.5">
      <c r="A76" s="429" t="s">
        <v>1557</v>
      </c>
      <c r="B76" s="430" t="s">
        <v>1467</v>
      </c>
      <c r="C76" s="430" t="s">
        <v>1468</v>
      </c>
      <c r="D76" s="430" t="s">
        <v>1469</v>
      </c>
      <c r="E76" s="430" t="s">
        <v>1178</v>
      </c>
      <c r="F76" s="428"/>
    </row>
    <row r="77" spans="1:19" ht="13">
      <c r="A77" s="268" t="s">
        <v>512</v>
      </c>
      <c r="B77" s="269">
        <f>SUM(Original!U21:AB23)</f>
        <v>30357435.168775488</v>
      </c>
      <c r="C77" s="269"/>
      <c r="D77" s="269"/>
      <c r="E77" s="433">
        <f>SUM(Original!U30:AB34)</f>
        <v>329887986.22971666</v>
      </c>
      <c r="F77" s="428"/>
    </row>
    <row r="78" spans="1:19" ht="13">
      <c r="A78" s="268" t="s">
        <v>947</v>
      </c>
      <c r="B78" s="269"/>
      <c r="C78" s="269"/>
      <c r="D78" s="269">
        <f>SUM(Original!AC21:AJ23)</f>
        <v>25470689.013762552</v>
      </c>
      <c r="E78" s="433">
        <f>SUM(Original!AC30:AJ34)</f>
        <v>620568186.43910253</v>
      </c>
      <c r="F78" s="428"/>
    </row>
    <row r="79" spans="1:19" ht="13">
      <c r="A79" s="268" t="s">
        <v>972</v>
      </c>
      <c r="B79" s="269"/>
      <c r="C79" s="269">
        <f>SUM(Original!M21:T23)</f>
        <v>2929826.6911631091</v>
      </c>
      <c r="D79" s="269"/>
      <c r="E79" s="433">
        <f>SUM(Original!M30:T34)</f>
        <v>108236260.18232813</v>
      </c>
      <c r="F79" s="427"/>
    </row>
  </sheetData>
  <conditionalFormatting sqref="B53:D57 F53:I57 E54 E56:E57">
    <cfRule type="colorScale" priority="12">
      <colorScale>
        <cfvo type="min"/>
        <cfvo type="max"/>
        <color rgb="FFFFEF9C"/>
        <color rgb="FF63BE7B"/>
      </colorScale>
    </cfRule>
  </conditionalFormatting>
  <conditionalFormatting sqref="B60:D62 F60:I62 E61">
    <cfRule type="colorScale" priority="8">
      <colorScale>
        <cfvo type="min"/>
        <cfvo type="max"/>
        <color rgb="FFFFEF9C"/>
        <color rgb="FF63BE7B"/>
      </colorScale>
    </cfRule>
  </conditionalFormatting>
  <conditionalFormatting sqref="B66:D68 F66:I68 E67">
    <cfRule type="colorScale" priority="6">
      <colorScale>
        <cfvo type="min"/>
        <cfvo type="max"/>
        <color rgb="FFFFEF9C"/>
        <color rgb="FF63BE7B"/>
      </colorScale>
    </cfRule>
  </conditionalFormatting>
  <conditionalFormatting sqref="B71:D72 B73 D73 F71:I73 E72">
    <cfRule type="colorScale" priority="4">
      <colorScale>
        <cfvo type="min"/>
        <cfvo type="max"/>
        <color rgb="FFFFEF9C"/>
        <color rgb="FF63BE7B"/>
      </colorScale>
    </cfRule>
  </conditionalFormatting>
  <conditionalFormatting sqref="B77:D79">
    <cfRule type="colorScale" priority="13">
      <colorScale>
        <cfvo type="min"/>
        <cfvo type="max"/>
        <color rgb="FFFFEF9C"/>
        <color rgb="FF63BE7B"/>
      </colorScale>
    </cfRule>
  </conditionalFormatting>
  <conditionalFormatting sqref="B77:E79">
    <cfRule type="colorScale" priority="1">
      <colorScale>
        <cfvo type="min"/>
        <cfvo type="max"/>
        <color rgb="FFFFEF9C"/>
        <color rgb="FF63BE7B"/>
      </colorScale>
    </cfRule>
    <cfRule type="colorScale" priority="14">
      <colorScale>
        <cfvo type="min"/>
        <cfvo type="max"/>
        <color rgb="FFFFEF9C"/>
        <color rgb="FF63BE7B"/>
      </colorScale>
    </cfRule>
  </conditionalFormatting>
  <conditionalFormatting sqref="B53:H57">
    <cfRule type="colorScale" priority="9">
      <colorScale>
        <cfvo type="min"/>
        <cfvo type="max"/>
        <color rgb="FFFFEF9C"/>
        <color rgb="FF63BE7B"/>
      </colorScale>
    </cfRule>
  </conditionalFormatting>
  <conditionalFormatting sqref="B60:H62">
    <cfRule type="colorScale" priority="7">
      <colorScale>
        <cfvo type="min"/>
        <cfvo type="max"/>
        <color rgb="FFFFEF9C"/>
        <color rgb="FF63BE7B"/>
      </colorScale>
    </cfRule>
  </conditionalFormatting>
  <conditionalFormatting sqref="B66:H68">
    <cfRule type="colorScale" priority="5">
      <colorScale>
        <cfvo type="min"/>
        <cfvo type="max"/>
        <color rgb="FFFFEF9C"/>
        <color rgb="FF63BE7B"/>
      </colorScale>
    </cfRule>
  </conditionalFormatting>
  <conditionalFormatting sqref="B71:H72 B73 D73:H73">
    <cfRule type="colorScale" priority="3">
      <colorScale>
        <cfvo type="min"/>
        <cfvo type="max"/>
        <color rgb="FFFFEF9C"/>
        <color rgb="FF63BE7B"/>
      </colorScale>
    </cfRule>
  </conditionalFormatting>
  <conditionalFormatting sqref="B29:I33">
    <cfRule type="colorScale" priority="11">
      <colorScale>
        <cfvo type="min"/>
        <cfvo type="max"/>
        <color rgb="FFFFEF9C"/>
        <color rgb="FF63BE7B"/>
      </colorScale>
    </cfRule>
  </conditionalFormatting>
  <conditionalFormatting sqref="B64:I64">
    <cfRule type="colorScale" priority="10">
      <colorScale>
        <cfvo type="min"/>
        <cfvo type="max"/>
        <color rgb="FFFFEF9C"/>
        <color rgb="FF63BE7B"/>
      </colorScale>
    </cfRule>
  </conditionalFormatting>
  <conditionalFormatting sqref="B71:I73">
    <cfRule type="colorScale" priority="2">
      <colorScale>
        <cfvo type="min"/>
        <cfvo type="max"/>
        <color rgb="FFFFEF9C"/>
        <color rgb="FF63BE7B"/>
      </colorScale>
    </cfRule>
  </conditionalFormatting>
  <pageMargins left="0.7" right="0.7" top="0.75" bottom="0.75" header="0.3" footer="0.3"/>
  <legacy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FBE1A3-EFC8-4284-BC65-ECABDDC96243}">
  <dimension ref="A1:G46"/>
  <sheetViews>
    <sheetView workbookViewId="0">
      <selection activeCell="C33" sqref="C33"/>
    </sheetView>
  </sheetViews>
  <sheetFormatPr defaultColWidth="12.453125" defaultRowHeight="12.5"/>
  <cols>
    <col min="1" max="1" width="53.26953125" style="17" bestFit="1" customWidth="1"/>
    <col min="2" max="2" width="11.453125" style="17" bestFit="1" customWidth="1"/>
    <col min="3" max="16384" width="12.453125" style="17"/>
  </cols>
  <sheetData>
    <row r="1" spans="1:7">
      <c r="A1" s="14" t="s">
        <v>1558</v>
      </c>
      <c r="B1" s="14" t="s">
        <v>1458</v>
      </c>
      <c r="C1" s="14" t="s">
        <v>923</v>
      </c>
      <c r="D1" s="14" t="s">
        <v>924</v>
      </c>
      <c r="E1" s="14" t="s">
        <v>926</v>
      </c>
      <c r="F1" s="14" t="s">
        <v>925</v>
      </c>
      <c r="G1" s="14" t="s">
        <v>1455</v>
      </c>
    </row>
    <row r="2" spans="1:7">
      <c r="A2" s="417" t="s">
        <v>1527</v>
      </c>
      <c r="B2" s="418">
        <v>100238397</v>
      </c>
      <c r="C2" s="418">
        <v>61656101</v>
      </c>
      <c r="D2" s="418">
        <v>605237</v>
      </c>
      <c r="E2" s="418">
        <v>92312897</v>
      </c>
      <c r="F2" s="418">
        <v>124702895</v>
      </c>
      <c r="G2" s="418">
        <v>379515527</v>
      </c>
    </row>
    <row r="3" spans="1:7">
      <c r="A3" s="417" t="s">
        <v>1528</v>
      </c>
      <c r="B3" s="418">
        <v>350813707</v>
      </c>
      <c r="C3" s="418">
        <v>80143652</v>
      </c>
      <c r="D3" s="418">
        <v>29579569</v>
      </c>
      <c r="E3" s="418">
        <v>148501259</v>
      </c>
      <c r="F3" s="418">
        <v>64134866</v>
      </c>
      <c r="G3" s="418">
        <v>673173053</v>
      </c>
    </row>
    <row r="4" spans="1:7">
      <c r="A4" s="417" t="s">
        <v>1537</v>
      </c>
      <c r="B4" s="418">
        <v>11175112</v>
      </c>
      <c r="C4" s="418">
        <v>4687612</v>
      </c>
      <c r="D4" s="418">
        <v>100174639</v>
      </c>
      <c r="E4" s="418">
        <v>8460567</v>
      </c>
      <c r="F4" s="418">
        <v>227761</v>
      </c>
      <c r="G4" s="418">
        <v>124725691</v>
      </c>
    </row>
    <row r="5" spans="1:7">
      <c r="A5" s="417" t="s">
        <v>1538</v>
      </c>
      <c r="B5" s="418">
        <v>24928580</v>
      </c>
      <c r="C5" s="418">
        <v>9631034</v>
      </c>
      <c r="D5" s="418">
        <v>8644389</v>
      </c>
      <c r="E5" s="418">
        <v>16393935</v>
      </c>
      <c r="F5" s="418">
        <v>10040532</v>
      </c>
      <c r="G5" s="418">
        <v>69638470</v>
      </c>
    </row>
    <row r="6" spans="1:7">
      <c r="A6" s="417" t="s">
        <v>1539</v>
      </c>
      <c r="B6" s="418">
        <v>1841492</v>
      </c>
      <c r="C6" s="418"/>
      <c r="D6" s="418">
        <v>55266499</v>
      </c>
      <c r="E6" s="418">
        <v>2416419</v>
      </c>
      <c r="F6" s="418">
        <v>503024</v>
      </c>
      <c r="G6" s="418">
        <v>60027434</v>
      </c>
    </row>
    <row r="7" spans="1:7">
      <c r="A7" s="417" t="s">
        <v>1540</v>
      </c>
      <c r="B7" s="418">
        <v>12579348</v>
      </c>
      <c r="C7" s="418">
        <v>8116321</v>
      </c>
      <c r="D7" s="418">
        <v>8294436</v>
      </c>
      <c r="E7" s="418">
        <v>16562110</v>
      </c>
      <c r="F7" s="418">
        <v>5806579</v>
      </c>
      <c r="G7" s="418">
        <v>51358794</v>
      </c>
    </row>
    <row r="8" spans="1:7">
      <c r="A8" s="417" t="s">
        <v>1541</v>
      </c>
      <c r="B8" s="418">
        <v>8862811</v>
      </c>
      <c r="C8" s="418">
        <v>1414088</v>
      </c>
      <c r="D8" s="418">
        <v>188053925</v>
      </c>
      <c r="E8" s="418">
        <v>2157023</v>
      </c>
      <c r="F8" s="418">
        <v>166056</v>
      </c>
      <c r="G8" s="418">
        <v>200653903</v>
      </c>
    </row>
    <row r="9" spans="1:7">
      <c r="A9" s="417" t="s">
        <v>1542</v>
      </c>
      <c r="B9" s="418">
        <v>45165708</v>
      </c>
      <c r="C9" s="418">
        <v>17994206</v>
      </c>
      <c r="D9" s="418">
        <v>68498322</v>
      </c>
      <c r="E9" s="418">
        <v>21127957</v>
      </c>
      <c r="F9" s="418">
        <v>3828790</v>
      </c>
      <c r="G9" s="418">
        <v>156614983</v>
      </c>
    </row>
    <row r="10" spans="1:7">
      <c r="A10" s="417" t="s">
        <v>1543</v>
      </c>
      <c r="B10" s="418">
        <v>15983878</v>
      </c>
      <c r="C10" s="418">
        <v>11001670</v>
      </c>
      <c r="D10" s="418">
        <v>309058726</v>
      </c>
      <c r="E10" s="418">
        <v>14499093</v>
      </c>
      <c r="F10" s="418">
        <v>683200</v>
      </c>
      <c r="G10" s="418">
        <v>351226567</v>
      </c>
    </row>
    <row r="11" spans="1:7">
      <c r="A11" s="417" t="s">
        <v>1559</v>
      </c>
      <c r="B11" s="418">
        <v>19359520</v>
      </c>
      <c r="C11" s="418">
        <v>5161979</v>
      </c>
      <c r="D11" s="418">
        <v>10231449</v>
      </c>
      <c r="E11" s="418">
        <v>8209800</v>
      </c>
      <c r="F11" s="418">
        <v>1569692</v>
      </c>
      <c r="G11" s="418">
        <v>44532440</v>
      </c>
    </row>
    <row r="12" spans="1:7">
      <c r="A12" s="417" t="s">
        <v>1560</v>
      </c>
      <c r="B12" s="418">
        <v>49343718</v>
      </c>
      <c r="C12" s="418">
        <v>20164414</v>
      </c>
      <c r="D12" s="418">
        <v>2134926</v>
      </c>
      <c r="E12" s="418">
        <v>44986188</v>
      </c>
      <c r="F12" s="418">
        <v>3961842</v>
      </c>
      <c r="G12" s="418">
        <v>120591088</v>
      </c>
    </row>
    <row r="13" spans="1:7">
      <c r="A13" s="417" t="s">
        <v>1561</v>
      </c>
      <c r="B13" s="418">
        <v>56575732</v>
      </c>
      <c r="C13" s="418">
        <v>18548958</v>
      </c>
      <c r="D13" s="418">
        <v>26905448</v>
      </c>
      <c r="E13" s="418">
        <v>23858469</v>
      </c>
      <c r="F13" s="418">
        <v>4968196</v>
      </c>
      <c r="G13" s="418">
        <v>130856803</v>
      </c>
    </row>
    <row r="14" spans="1:7">
      <c r="A14" s="417" t="s">
        <v>1562</v>
      </c>
      <c r="B14" s="418">
        <v>20102803</v>
      </c>
      <c r="C14" s="418">
        <v>20259704</v>
      </c>
      <c r="D14" s="418">
        <v>43465088</v>
      </c>
      <c r="E14" s="418">
        <v>8212732</v>
      </c>
      <c r="F14" s="418">
        <v>6020716</v>
      </c>
      <c r="G14" s="418">
        <v>98061043</v>
      </c>
    </row>
    <row r="15" spans="1:7">
      <c r="A15" s="417" t="s">
        <v>1563</v>
      </c>
      <c r="B15" s="418">
        <v>45702338</v>
      </c>
      <c r="C15" s="418">
        <v>20574306</v>
      </c>
      <c r="D15" s="418">
        <v>45403463</v>
      </c>
      <c r="E15" s="418">
        <v>6569454</v>
      </c>
      <c r="F15" s="418">
        <v>4522730</v>
      </c>
      <c r="G15" s="418">
        <v>122772291</v>
      </c>
    </row>
    <row r="16" spans="1:7">
      <c r="A16" s="417" t="s">
        <v>1564</v>
      </c>
      <c r="B16" s="418">
        <v>59939504</v>
      </c>
      <c r="C16" s="418">
        <v>35313570</v>
      </c>
      <c r="D16" s="418">
        <v>36690485</v>
      </c>
      <c r="E16" s="418">
        <v>22921793</v>
      </c>
      <c r="F16" s="418">
        <v>11155804</v>
      </c>
      <c r="G16" s="418">
        <v>166021156</v>
      </c>
    </row>
    <row r="17" spans="1:7">
      <c r="A17" s="417" t="s">
        <v>1565</v>
      </c>
      <c r="B17" s="418">
        <v>21861810</v>
      </c>
      <c r="C17" s="418">
        <v>7916013</v>
      </c>
      <c r="D17" s="418">
        <v>13939383</v>
      </c>
      <c r="E17" s="418">
        <v>7726422</v>
      </c>
      <c r="F17" s="418">
        <v>2421406</v>
      </c>
      <c r="G17" s="418">
        <v>53865034</v>
      </c>
    </row>
    <row r="18" spans="1:7">
      <c r="A18" s="417" t="s">
        <v>1566</v>
      </c>
      <c r="B18" s="418">
        <v>6873370</v>
      </c>
      <c r="C18" s="418">
        <v>8353434</v>
      </c>
      <c r="D18" s="418">
        <v>23642097</v>
      </c>
      <c r="E18" s="418">
        <v>3123968</v>
      </c>
      <c r="F18" s="418">
        <v>1344822</v>
      </c>
      <c r="G18" s="418">
        <v>43337691</v>
      </c>
    </row>
    <row r="19" spans="1:7">
      <c r="A19" s="417" t="s">
        <v>1529</v>
      </c>
      <c r="B19" s="418">
        <v>55763715</v>
      </c>
      <c r="C19" s="418">
        <v>44540254</v>
      </c>
      <c r="D19" s="418">
        <v>47863138</v>
      </c>
      <c r="E19" s="418">
        <v>9399763</v>
      </c>
      <c r="F19" s="418">
        <v>3981592</v>
      </c>
      <c r="G19" s="418">
        <v>161548462</v>
      </c>
    </row>
    <row r="20" spans="1:7">
      <c r="A20" s="417" t="s">
        <v>1530</v>
      </c>
      <c r="B20" s="418">
        <v>11732766</v>
      </c>
      <c r="C20" s="418">
        <v>12414969</v>
      </c>
      <c r="D20" s="418">
        <v>59308583</v>
      </c>
      <c r="E20" s="418">
        <v>9902591</v>
      </c>
      <c r="F20" s="418">
        <v>409499</v>
      </c>
      <c r="G20" s="418">
        <v>93768408</v>
      </c>
    </row>
    <row r="21" spans="1:7">
      <c r="A21" s="417" t="s">
        <v>1531</v>
      </c>
      <c r="B21" s="418">
        <v>35677148</v>
      </c>
      <c r="C21" s="418">
        <v>14016762</v>
      </c>
      <c r="D21" s="418">
        <v>11316483</v>
      </c>
      <c r="E21" s="418">
        <v>11812709</v>
      </c>
      <c r="F21" s="418">
        <v>3094076</v>
      </c>
      <c r="G21" s="418">
        <v>75917178</v>
      </c>
    </row>
    <row r="22" spans="1:7">
      <c r="A22" s="417" t="s">
        <v>1532</v>
      </c>
      <c r="B22" s="418">
        <v>23050098</v>
      </c>
      <c r="C22" s="418">
        <v>29482617</v>
      </c>
      <c r="D22" s="418">
        <v>112087072</v>
      </c>
      <c r="E22" s="418">
        <v>21421455</v>
      </c>
      <c r="F22" s="418">
        <v>644740</v>
      </c>
      <c r="G22" s="418">
        <v>186685982</v>
      </c>
    </row>
    <row r="23" spans="1:7">
      <c r="A23" s="417" t="s">
        <v>1533</v>
      </c>
      <c r="B23" s="418">
        <v>57199987</v>
      </c>
      <c r="C23" s="418">
        <v>29161513</v>
      </c>
      <c r="D23" s="418">
        <v>13169973</v>
      </c>
      <c r="E23" s="418">
        <v>75619951</v>
      </c>
      <c r="F23" s="418">
        <v>8499339</v>
      </c>
      <c r="G23" s="418">
        <v>183650763</v>
      </c>
    </row>
    <row r="24" spans="1:7">
      <c r="A24" s="417" t="s">
        <v>1534</v>
      </c>
      <c r="B24" s="418">
        <v>5882842</v>
      </c>
      <c r="C24" s="418">
        <v>8589220</v>
      </c>
      <c r="D24" s="418">
        <v>139624673</v>
      </c>
      <c r="E24" s="418">
        <v>454302</v>
      </c>
      <c r="F24" s="418"/>
      <c r="G24" s="418">
        <v>154551037</v>
      </c>
    </row>
    <row r="25" spans="1:7">
      <c r="A25" s="417" t="s">
        <v>1535</v>
      </c>
      <c r="B25" s="418">
        <v>271498137</v>
      </c>
      <c r="C25" s="418">
        <v>197523809</v>
      </c>
      <c r="D25" s="418">
        <v>260397109</v>
      </c>
      <c r="E25" s="418">
        <v>91787001</v>
      </c>
      <c r="F25" s="418">
        <v>2954823</v>
      </c>
      <c r="G25" s="418">
        <v>824160879</v>
      </c>
    </row>
    <row r="26" spans="1:7">
      <c r="A26" s="417" t="s">
        <v>1536</v>
      </c>
      <c r="B26" s="418">
        <v>27268944</v>
      </c>
      <c r="C26" s="418">
        <v>30201907</v>
      </c>
      <c r="D26" s="418">
        <v>99906525</v>
      </c>
      <c r="E26" s="418">
        <v>15120511</v>
      </c>
      <c r="F26" s="418">
        <v>1051067</v>
      </c>
      <c r="G26" s="418">
        <v>173548954</v>
      </c>
    </row>
    <row r="27" spans="1:7">
      <c r="A27" s="417" t="s">
        <v>1553</v>
      </c>
      <c r="B27" s="418">
        <v>86118897</v>
      </c>
      <c r="C27" s="418">
        <v>20923590</v>
      </c>
      <c r="D27" s="418">
        <v>41718143</v>
      </c>
      <c r="E27" s="418">
        <v>84241760</v>
      </c>
      <c r="F27" s="418">
        <v>13784064</v>
      </c>
      <c r="G27" s="418">
        <v>246786454</v>
      </c>
    </row>
    <row r="28" spans="1:7">
      <c r="A28" s="417" t="s">
        <v>1567</v>
      </c>
      <c r="B28" s="418">
        <v>9183619</v>
      </c>
      <c r="C28" s="418">
        <v>3393581</v>
      </c>
      <c r="D28" s="418">
        <v>25754210</v>
      </c>
      <c r="E28" s="418">
        <v>2610683</v>
      </c>
      <c r="F28" s="418">
        <v>1136460</v>
      </c>
      <c r="G28" s="418">
        <v>42078553</v>
      </c>
    </row>
    <row r="29" spans="1:7">
      <c r="A29" s="27" t="s">
        <v>1568</v>
      </c>
      <c r="B29" s="419">
        <f>(B28+B27)/SUM(B2:B26)</f>
        <v>7.1151999942004815E-2</v>
      </c>
      <c r="C29" s="419">
        <f t="shared" ref="C29:G29" si="0">(C28+C27)/SUM(C2:C26)</f>
        <v>3.4894940012845731E-2</v>
      </c>
      <c r="D29" s="419">
        <f t="shared" si="0"/>
        <v>3.9359425389742887E-2</v>
      </c>
      <c r="E29" s="419">
        <f t="shared" si="0"/>
        <v>0.12705929286925313</v>
      </c>
      <c r="F29" s="419">
        <f t="shared" si="0"/>
        <v>5.5946220651861792E-2</v>
      </c>
      <c r="G29" s="419">
        <f t="shared" si="0"/>
        <v>6.1450132716679734E-2</v>
      </c>
    </row>
    <row r="30" spans="1:7" ht="14.5">
      <c r="A30" s="420" t="s">
        <v>1569</v>
      </c>
      <c r="B30" s="421">
        <f>SUM(B2:B26)</f>
        <v>1339421465</v>
      </c>
      <c r="C30" s="421">
        <f t="shared" ref="C30:G30" si="1">SUM(C2:C26)</f>
        <v>696868113</v>
      </c>
      <c r="D30" s="421">
        <f t="shared" si="1"/>
        <v>1714261637</v>
      </c>
      <c r="E30" s="421">
        <f t="shared" si="1"/>
        <v>683558369</v>
      </c>
      <c r="F30" s="421">
        <f t="shared" si="1"/>
        <v>266694047</v>
      </c>
      <c r="G30" s="421">
        <f t="shared" si="1"/>
        <v>4700803631</v>
      </c>
    </row>
    <row r="31" spans="1:7" ht="14.5">
      <c r="A31" s="420"/>
      <c r="B31" s="421"/>
      <c r="C31" s="421"/>
      <c r="D31" s="421"/>
      <c r="E31" s="421"/>
      <c r="F31" s="421"/>
      <c r="G31" s="421"/>
    </row>
    <row r="32" spans="1:7" ht="14.5">
      <c r="A32" s="422" t="s">
        <v>1570</v>
      </c>
      <c r="B32" s="423" t="s">
        <v>1458</v>
      </c>
      <c r="C32" s="423" t="s">
        <v>923</v>
      </c>
      <c r="D32" s="423" t="s">
        <v>924</v>
      </c>
      <c r="E32" s="423" t="s">
        <v>926</v>
      </c>
      <c r="F32" s="423" t="s">
        <v>925</v>
      </c>
      <c r="G32" s="423" t="s">
        <v>622</v>
      </c>
    </row>
    <row r="33" spans="1:7">
      <c r="A33" s="417" t="s">
        <v>1450</v>
      </c>
      <c r="B33" s="424">
        <f t="shared" ref="B33:G33" si="2">SUM(B2:B3)/SUM(B$2:B$26)</f>
        <v>0.33675143768134252</v>
      </c>
      <c r="C33" s="424">
        <f t="shared" si="2"/>
        <v>0.20348147713281867</v>
      </c>
      <c r="D33" s="424">
        <f t="shared" si="2"/>
        <v>1.7608050806540914E-2</v>
      </c>
      <c r="E33" s="424">
        <f t="shared" si="2"/>
        <v>0.35229494205783035</v>
      </c>
      <c r="F33" s="424">
        <f t="shared" si="2"/>
        <v>0.70806890189041227</v>
      </c>
      <c r="G33" s="424">
        <f t="shared" si="2"/>
        <v>0.22393800350602222</v>
      </c>
    </row>
    <row r="34" spans="1:7">
      <c r="A34" s="417" t="s">
        <v>1452</v>
      </c>
      <c r="B34" s="424">
        <f t="shared" ref="B34:G34" si="3">SUM(B4:B10)/SUM(B$2:B$26)</f>
        <v>8.999178537130581E-2</v>
      </c>
      <c r="C34" s="424">
        <f t="shared" si="3"/>
        <v>7.5832040545669221E-2</v>
      </c>
      <c r="D34" s="424">
        <f t="shared" si="3"/>
        <v>0.43050075908570307</v>
      </c>
      <c r="E34" s="424">
        <f t="shared" si="3"/>
        <v>0.11940034341090776</v>
      </c>
      <c r="F34" s="424">
        <f t="shared" si="3"/>
        <v>7.9701599038691701E-2</v>
      </c>
      <c r="G34" s="424">
        <f t="shared" si="3"/>
        <v>0.21576009585072584</v>
      </c>
    </row>
    <row r="35" spans="1:7">
      <c r="A35" s="417" t="s">
        <v>1454</v>
      </c>
      <c r="B35" s="424">
        <f t="shared" ref="B35:G35" si="4">SUM(B11:B13)/SUM(B$2:B$26)</f>
        <v>9.3532150464678415E-2</v>
      </c>
      <c r="C35" s="424">
        <f t="shared" si="4"/>
        <v>6.2960767154516081E-2</v>
      </c>
      <c r="D35" s="424">
        <f t="shared" si="4"/>
        <v>2.2908885173868007E-2</v>
      </c>
      <c r="E35" s="424">
        <f t="shared" si="4"/>
        <v>0.11272549718427922</v>
      </c>
      <c r="F35" s="424">
        <f t="shared" si="4"/>
        <v>3.9369945141670144E-2</v>
      </c>
      <c r="G35" s="424">
        <f t="shared" si="4"/>
        <v>6.2963772629880357E-2</v>
      </c>
    </row>
    <row r="36" spans="1:7">
      <c r="A36" s="417" t="s">
        <v>1453</v>
      </c>
      <c r="B36" s="424">
        <f t="shared" ref="B36:G36" si="5">SUM(B14:B18)/SUM(B$2:B$26)</f>
        <v>0.11533324576069863</v>
      </c>
      <c r="C36" s="424">
        <f t="shared" si="5"/>
        <v>0.1326176722337703</v>
      </c>
      <c r="D36" s="424">
        <f t="shared" si="5"/>
        <v>9.5166637623355976E-2</v>
      </c>
      <c r="E36" s="424">
        <f t="shared" si="5"/>
        <v>7.1031781925268184E-2</v>
      </c>
      <c r="F36" s="424">
        <f t="shared" si="5"/>
        <v>9.5485738382454402E-2</v>
      </c>
      <c r="G36" s="424">
        <f t="shared" si="5"/>
        <v>0.10297328988767537</v>
      </c>
    </row>
    <row r="37" spans="1:7">
      <c r="A37" s="417" t="s">
        <v>1451</v>
      </c>
      <c r="B37" s="424">
        <f t="shared" ref="B37:G37" si="6">SUM(B19:B26)/SUM(B$2:B$26)</f>
        <v>0.36439138072197463</v>
      </c>
      <c r="C37" s="424">
        <f t="shared" si="6"/>
        <v>0.52510804293322577</v>
      </c>
      <c r="D37" s="424">
        <f t="shared" si="6"/>
        <v>0.433815667310532</v>
      </c>
      <c r="E37" s="424">
        <f t="shared" si="6"/>
        <v>0.34454743542171451</v>
      </c>
      <c r="F37" s="424">
        <f t="shared" si="6"/>
        <v>7.737381554677146E-2</v>
      </c>
      <c r="G37" s="424">
        <f t="shared" si="6"/>
        <v>0.39436483812569623</v>
      </c>
    </row>
    <row r="38" spans="1:7">
      <c r="B38" s="419">
        <f>SUM(B33:B37)</f>
        <v>1</v>
      </c>
      <c r="C38" s="419">
        <f t="shared" ref="C38:G38" si="7">SUM(C33:C37)</f>
        <v>1</v>
      </c>
      <c r="D38" s="419">
        <f t="shared" si="7"/>
        <v>1</v>
      </c>
      <c r="E38" s="419">
        <f t="shared" si="7"/>
        <v>1</v>
      </c>
      <c r="F38" s="419">
        <f t="shared" si="7"/>
        <v>1</v>
      </c>
      <c r="G38" s="419">
        <f t="shared" si="7"/>
        <v>1</v>
      </c>
    </row>
    <row r="40" spans="1:7" ht="14.5">
      <c r="A40" s="422" t="s">
        <v>1457</v>
      </c>
      <c r="B40" s="396" t="s">
        <v>1458</v>
      </c>
      <c r="C40" s="396" t="s">
        <v>923</v>
      </c>
      <c r="D40" s="396" t="s">
        <v>924</v>
      </c>
      <c r="E40" s="396" t="s">
        <v>926</v>
      </c>
      <c r="F40" s="396" t="s">
        <v>925</v>
      </c>
      <c r="G40" s="396" t="s">
        <v>622</v>
      </c>
    </row>
    <row r="41" spans="1:7">
      <c r="A41" s="417" t="s">
        <v>1450</v>
      </c>
      <c r="B41" s="425">
        <f>B$30*B33</f>
        <v>451052104</v>
      </c>
      <c r="C41" s="425">
        <f t="shared" ref="C41:F41" si="8">C$30*C33</f>
        <v>141799753</v>
      </c>
      <c r="D41" s="425">
        <f t="shared" si="8"/>
        <v>30184805.999999996</v>
      </c>
      <c r="E41" s="425">
        <f t="shared" si="8"/>
        <v>240814156.00000003</v>
      </c>
      <c r="F41" s="425">
        <f t="shared" si="8"/>
        <v>188837761</v>
      </c>
      <c r="G41" s="425">
        <f>G$30*G33</f>
        <v>1052688580</v>
      </c>
    </row>
    <row r="42" spans="1:7">
      <c r="A42" s="417" t="s">
        <v>1452</v>
      </c>
      <c r="B42" s="425">
        <f t="shared" ref="B42:G45" si="9">B$30*B34</f>
        <v>120536929</v>
      </c>
      <c r="C42" s="425">
        <f t="shared" si="9"/>
        <v>52844931</v>
      </c>
      <c r="D42" s="425">
        <f t="shared" si="9"/>
        <v>737990936</v>
      </c>
      <c r="E42" s="425">
        <f t="shared" si="9"/>
        <v>81617104</v>
      </c>
      <c r="F42" s="425">
        <f t="shared" si="9"/>
        <v>21255942</v>
      </c>
      <c r="G42" s="425">
        <f t="shared" si="9"/>
        <v>1014245842</v>
      </c>
    </row>
    <row r="43" spans="1:7">
      <c r="A43" s="417" t="s">
        <v>1454</v>
      </c>
      <c r="B43" s="425">
        <f t="shared" si="9"/>
        <v>125278970</v>
      </c>
      <c r="C43" s="425">
        <f t="shared" si="9"/>
        <v>43875351</v>
      </c>
      <c r="D43" s="425">
        <f t="shared" si="9"/>
        <v>39271823</v>
      </c>
      <c r="E43" s="425">
        <f t="shared" si="9"/>
        <v>77054457</v>
      </c>
      <c r="F43" s="425">
        <f t="shared" si="9"/>
        <v>10499730</v>
      </c>
      <c r="G43" s="425">
        <f t="shared" si="9"/>
        <v>295980331</v>
      </c>
    </row>
    <row r="44" spans="1:7">
      <c r="A44" s="417" t="s">
        <v>1453</v>
      </c>
      <c r="B44" s="425">
        <f t="shared" si="9"/>
        <v>154479825</v>
      </c>
      <c r="C44" s="425">
        <f t="shared" si="9"/>
        <v>92417027</v>
      </c>
      <c r="D44" s="425">
        <f t="shared" si="9"/>
        <v>163140516</v>
      </c>
      <c r="E44" s="425">
        <f t="shared" si="9"/>
        <v>48554369</v>
      </c>
      <c r="F44" s="425">
        <f t="shared" si="9"/>
        <v>25465478</v>
      </c>
      <c r="G44" s="425">
        <f t="shared" si="9"/>
        <v>484057215</v>
      </c>
    </row>
    <row r="45" spans="1:7">
      <c r="A45" s="417" t="s">
        <v>1451</v>
      </c>
      <c r="B45" s="425">
        <f t="shared" si="9"/>
        <v>488073637</v>
      </c>
      <c r="C45" s="425">
        <f t="shared" si="9"/>
        <v>365931051</v>
      </c>
      <c r="D45" s="425">
        <f t="shared" si="9"/>
        <v>743673556</v>
      </c>
      <c r="E45" s="425">
        <f t="shared" si="9"/>
        <v>235518283</v>
      </c>
      <c r="F45" s="425">
        <f t="shared" si="9"/>
        <v>20635136</v>
      </c>
      <c r="G45" s="425">
        <f t="shared" si="9"/>
        <v>1853831663</v>
      </c>
    </row>
    <row r="46" spans="1:7">
      <c r="B46" s="77">
        <f>SUM(B41:B45)</f>
        <v>1339421465</v>
      </c>
      <c r="C46" s="77">
        <f t="shared" ref="C46:G46" si="10">SUM(C41:C45)</f>
        <v>696868113</v>
      </c>
      <c r="D46" s="77">
        <f t="shared" si="10"/>
        <v>1714261637</v>
      </c>
      <c r="E46" s="77">
        <f t="shared" si="10"/>
        <v>683558369</v>
      </c>
      <c r="F46" s="77">
        <f t="shared" si="10"/>
        <v>266694047</v>
      </c>
      <c r="G46" s="77">
        <f t="shared" si="10"/>
        <v>4700803631</v>
      </c>
    </row>
  </sheetData>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BR435"/>
  <sheetViews>
    <sheetView topLeftCell="A123" zoomScale="75" workbookViewId="0">
      <selection activeCell="C33" sqref="C33"/>
    </sheetView>
  </sheetViews>
  <sheetFormatPr defaultColWidth="11.54296875" defaultRowHeight="12.5"/>
  <cols>
    <col min="1" max="1" width="8" style="117" customWidth="1"/>
    <col min="2" max="2" width="33" style="117" customWidth="1"/>
    <col min="3" max="9" width="11.7265625" style="117" customWidth="1"/>
    <col min="10" max="10" width="14.26953125" style="117" customWidth="1"/>
    <col min="11" max="11" width="11.7265625" style="117" customWidth="1"/>
    <col min="12" max="12" width="13.26953125" style="117" customWidth="1"/>
    <col min="13" max="13" width="11.26953125" style="117" customWidth="1"/>
    <col min="14" max="14" width="13.54296875" style="117" customWidth="1"/>
    <col min="15" max="15" width="12.54296875" style="117" customWidth="1"/>
    <col min="16" max="16" width="13.7265625" style="117" customWidth="1"/>
    <col min="17" max="28" width="11.54296875" style="117" customWidth="1"/>
    <col min="29" max="29" width="11.7265625" style="117" customWidth="1"/>
    <col min="30" max="30" width="14.26953125" style="117" customWidth="1"/>
    <col min="31" max="16384" width="11.54296875" style="117"/>
  </cols>
  <sheetData>
    <row r="1" spans="1:31" ht="45" customHeight="1">
      <c r="A1" s="693" t="s">
        <v>1233</v>
      </c>
      <c r="B1" s="693"/>
      <c r="C1" s="693"/>
      <c r="D1" s="693"/>
      <c r="E1" s="693"/>
      <c r="F1" s="693"/>
      <c r="G1" s="693"/>
      <c r="H1" s="693"/>
      <c r="I1" s="693"/>
      <c r="J1" s="693"/>
      <c r="K1" s="693"/>
      <c r="L1" s="693"/>
      <c r="M1" s="654"/>
      <c r="N1" s="116"/>
      <c r="O1" s="116"/>
    </row>
    <row r="2" spans="1:31" s="116" customFormat="1" ht="23.25" customHeight="1">
      <c r="A2" s="693" t="s">
        <v>1234</v>
      </c>
      <c r="B2" s="693"/>
    </row>
    <row r="3" spans="1:31" s="116" customFormat="1" ht="15.75" customHeight="1">
      <c r="A3" s="117" t="s">
        <v>596</v>
      </c>
      <c r="B3" s="117" t="s">
        <v>1235</v>
      </c>
      <c r="C3" s="654">
        <v>2005</v>
      </c>
      <c r="D3" s="654">
        <v>2010</v>
      </c>
      <c r="E3" s="654">
        <v>2015</v>
      </c>
      <c r="F3" s="654">
        <v>2020</v>
      </c>
      <c r="G3" s="654">
        <v>2025</v>
      </c>
      <c r="H3" s="654">
        <v>2030</v>
      </c>
      <c r="I3" s="654">
        <v>2035</v>
      </c>
      <c r="J3" s="654">
        <v>2040</v>
      </c>
      <c r="K3" s="654">
        <v>2045</v>
      </c>
      <c r="L3" s="654">
        <v>2050</v>
      </c>
      <c r="M3" s="654">
        <v>2055</v>
      </c>
    </row>
    <row r="4" spans="1:31" s="116" customFormat="1" ht="15.75" customHeight="1">
      <c r="A4" s="119" t="s">
        <v>1236</v>
      </c>
      <c r="B4" s="119" t="s">
        <v>1237</v>
      </c>
      <c r="C4" s="146">
        <f>C57*$P4</f>
        <v>2495.590317821503</v>
      </c>
      <c r="D4" s="146">
        <f t="shared" ref="D4:M4" si="0">D57*$P4</f>
        <v>2905.991804919578</v>
      </c>
      <c r="E4" s="146">
        <f t="shared" si="0"/>
        <v>2996.6318124739578</v>
      </c>
      <c r="F4" s="146">
        <f t="shared" si="0"/>
        <v>3404.1172595024391</v>
      </c>
      <c r="G4" s="146">
        <f t="shared" si="0"/>
        <v>3852.8769016509032</v>
      </c>
      <c r="H4" s="146">
        <f t="shared" si="0"/>
        <v>4257.3628074100998</v>
      </c>
      <c r="I4" s="146">
        <f t="shared" si="0"/>
        <v>4644.8162064731978</v>
      </c>
      <c r="J4" s="146">
        <f t="shared" si="0"/>
        <v>5028.6353241234874</v>
      </c>
      <c r="K4" s="146">
        <f t="shared" si="0"/>
        <v>5421.3363105646276</v>
      </c>
      <c r="L4" s="146">
        <f t="shared" si="0"/>
        <v>5844.7044770281564</v>
      </c>
      <c r="M4" s="146">
        <f t="shared" si="0"/>
        <v>6301.1347141891647</v>
      </c>
      <c r="O4" s="117" t="s">
        <v>1238</v>
      </c>
      <c r="P4" s="147">
        <v>1055</v>
      </c>
      <c r="Q4" s="66" t="s">
        <v>32</v>
      </c>
    </row>
    <row r="5" spans="1:31" s="116" customFormat="1" ht="15.75" customHeight="1">
      <c r="A5" s="119" t="s">
        <v>1239</v>
      </c>
      <c r="B5" s="119" t="s">
        <v>1240</v>
      </c>
      <c r="C5" s="148">
        <f>C48*$P4</f>
        <v>50.852019518294654</v>
      </c>
      <c r="D5" s="148">
        <f t="shared" ref="D5:M5" si="1">D48*$P4</f>
        <v>50.899531979602358</v>
      </c>
      <c r="E5" s="148">
        <f t="shared" si="1"/>
        <v>53.872730471847689</v>
      </c>
      <c r="F5" s="148">
        <f t="shared" si="1"/>
        <v>56.188618905268179</v>
      </c>
      <c r="G5" s="148">
        <f t="shared" si="1"/>
        <v>55.418322893033356</v>
      </c>
      <c r="H5" s="148">
        <f t="shared" si="1"/>
        <v>54.912309593138943</v>
      </c>
      <c r="I5" s="148">
        <f t="shared" si="1"/>
        <v>54.778406352219804</v>
      </c>
      <c r="J5" s="148">
        <f t="shared" si="1"/>
        <v>55.501483853183146</v>
      </c>
      <c r="K5" s="148">
        <f t="shared" si="1"/>
        <v>56.234106010649228</v>
      </c>
      <c r="L5" s="148">
        <f t="shared" si="1"/>
        <v>56.97639881452595</v>
      </c>
      <c r="M5" s="148">
        <f t="shared" si="1"/>
        <v>57.728489917793851</v>
      </c>
      <c r="O5" s="149"/>
      <c r="P5" s="150"/>
      <c r="Q5" s="117"/>
    </row>
    <row r="6" spans="1:31" s="116" customFormat="1" ht="15.75" customHeight="1">
      <c r="A6" s="119" t="s">
        <v>1241</v>
      </c>
      <c r="B6" s="119" t="s">
        <v>1242</v>
      </c>
      <c r="C6" s="146">
        <f>C33*$P4*0.95</f>
        <v>5032.2220763718769</v>
      </c>
      <c r="D6" s="146">
        <f t="shared" ref="D6:M6" si="2">D33*$P4*0.95</f>
        <v>4860.714098614867</v>
      </c>
      <c r="E6" s="146">
        <f t="shared" si="2"/>
        <v>4695.4858490220313</v>
      </c>
      <c r="F6" s="146">
        <f t="shared" si="2"/>
        <v>4745.4582629199931</v>
      </c>
      <c r="G6" s="146">
        <f t="shared" si="2"/>
        <v>4755.7332849057921</v>
      </c>
      <c r="H6" s="146">
        <f t="shared" si="2"/>
        <v>4715.0632302594213</v>
      </c>
      <c r="I6" s="146">
        <f t="shared" si="2"/>
        <v>4632.9916486610973</v>
      </c>
      <c r="J6" s="146">
        <f t="shared" si="2"/>
        <v>4536.3154584079875</v>
      </c>
      <c r="K6" s="146">
        <f t="shared" si="2"/>
        <v>4375.7342062302114</v>
      </c>
      <c r="L6" s="146">
        <f t="shared" si="2"/>
        <v>4220.8373776308663</v>
      </c>
      <c r="M6" s="146">
        <f t="shared" si="2"/>
        <v>4071.423749422434</v>
      </c>
    </row>
    <row r="7" spans="1:31" s="116" customFormat="1" ht="15.75" customHeight="1">
      <c r="A7" s="119" t="s">
        <v>1243</v>
      </c>
      <c r="B7" s="119" t="s">
        <v>1244</v>
      </c>
      <c r="C7" s="151">
        <f>L67*ResCalc!D62*ResCalc!D75/10^12</f>
        <v>485.95675287852652</v>
      </c>
      <c r="D7" s="151">
        <f>L67*ResCalc!E62*ResCalc!E75/10^12</f>
        <v>475.814339002851</v>
      </c>
      <c r="E7" s="151">
        <f>L67*ResCalc!F62*ResCalc!F75/10^12</f>
        <v>500.82067075539226</v>
      </c>
      <c r="F7" s="151">
        <f>L67*ResCalc!G62*ResCalc!G75/10^12</f>
        <v>515.91166253832614</v>
      </c>
      <c r="G7" s="151">
        <f>L67*ResCalc!H62*ResCalc!H75/10^12</f>
        <v>536.6501932261491</v>
      </c>
      <c r="H7" s="151">
        <f>L67*ResCalc!I62*ResCalc!I75/10^12</f>
        <v>556.70675669995637</v>
      </c>
      <c r="I7" s="151">
        <f>L67*ResCalc!J62*ResCalc!J75/10^12</f>
        <v>572.89916404570533</v>
      </c>
      <c r="J7" s="151">
        <f>L67*ResCalc!K62*ResCalc!K75/10^12</f>
        <v>589.28156785068199</v>
      </c>
      <c r="K7" s="151">
        <f>L67*ResCalc!L62*ResCalc!L75/10^12</f>
        <v>617.05332603999591</v>
      </c>
      <c r="L7" s="151">
        <f>L67*ResCalc!M62*ResCalc!M75/10^12</f>
        <v>637.88181875707812</v>
      </c>
      <c r="M7" s="151">
        <f>L67*ResCalc!N62*ResCalc!N75/10^12</f>
        <v>659.23940565049816</v>
      </c>
      <c r="Q7" s="105"/>
      <c r="R7" s="106"/>
      <c r="S7" s="106"/>
      <c r="T7" s="106"/>
      <c r="U7" s="106"/>
      <c r="V7" s="106"/>
      <c r="W7" s="106"/>
      <c r="X7" s="106"/>
      <c r="Y7" s="106"/>
      <c r="Z7" s="106"/>
      <c r="AA7" s="106"/>
      <c r="AB7" s="106"/>
      <c r="AC7" s="106"/>
      <c r="AD7" s="106"/>
    </row>
    <row r="8" spans="1:31" s="116" customFormat="1" ht="15.75" customHeight="1">
      <c r="A8" s="119" t="s">
        <v>1245</v>
      </c>
      <c r="B8" s="119" t="s">
        <v>1246</v>
      </c>
      <c r="C8" s="146">
        <f t="shared" ref="C8:M8" si="3">C45*$P4</f>
        <v>2024.5148002356282</v>
      </c>
      <c r="D8" s="146">
        <f t="shared" si="3"/>
        <v>2236.7898999999998</v>
      </c>
      <c r="E8" s="146">
        <f t="shared" si="3"/>
        <v>2266.8542349999998</v>
      </c>
      <c r="F8" s="146">
        <f t="shared" si="3"/>
        <v>2357.6253799999995</v>
      </c>
      <c r="G8" s="146">
        <f t="shared" si="3"/>
        <v>2473.2407200000002</v>
      </c>
      <c r="H8" s="146">
        <f t="shared" si="3"/>
        <v>2623.25117</v>
      </c>
      <c r="I8" s="146">
        <f t="shared" si="3"/>
        <v>2785.8245600000005</v>
      </c>
      <c r="J8" s="146">
        <f t="shared" si="3"/>
        <v>2956.7725399999999</v>
      </c>
      <c r="K8" s="146">
        <f t="shared" si="3"/>
        <v>3138.2104884946702</v>
      </c>
      <c r="L8" s="146">
        <f t="shared" si="3"/>
        <v>3330.7821067960667</v>
      </c>
      <c r="M8" s="146">
        <f t="shared" si="3"/>
        <v>3535.170595989704</v>
      </c>
      <c r="Q8" s="106"/>
      <c r="R8" s="106"/>
      <c r="S8" s="106"/>
      <c r="T8" s="106"/>
      <c r="U8" s="106"/>
      <c r="V8" s="106"/>
      <c r="W8" s="106"/>
      <c r="X8" s="106"/>
      <c r="Y8" s="106"/>
      <c r="Z8" s="106"/>
      <c r="AA8" s="106"/>
      <c r="AB8" s="106"/>
      <c r="AC8" s="106"/>
      <c r="AD8" s="106"/>
    </row>
    <row r="9" spans="1:31" s="116" customFormat="1" ht="15.75" customHeight="1">
      <c r="A9" s="119" t="s">
        <v>1247</v>
      </c>
      <c r="B9" s="119" t="s">
        <v>1248</v>
      </c>
      <c r="C9" s="146">
        <f t="shared" ref="C9:M9" si="4">C51*$P4</f>
        <v>578.63529194444391</v>
      </c>
      <c r="D9" s="146">
        <f t="shared" si="4"/>
        <v>533.88274999999999</v>
      </c>
      <c r="E9" s="146">
        <f t="shared" si="4"/>
        <v>532.68216000000007</v>
      </c>
      <c r="F9" s="146">
        <f t="shared" si="4"/>
        <v>529.96764499999995</v>
      </c>
      <c r="G9" s="146">
        <f t="shared" si="4"/>
        <v>526.05781500000001</v>
      </c>
      <c r="H9" s="146">
        <f t="shared" si="4"/>
        <v>522.94451000000004</v>
      </c>
      <c r="I9" s="146">
        <f t="shared" si="4"/>
        <v>521.17211000000009</v>
      </c>
      <c r="J9" s="146">
        <f t="shared" si="4"/>
        <v>519.31636500000002</v>
      </c>
      <c r="K9" s="146">
        <f t="shared" si="4"/>
        <v>517.46722777781258</v>
      </c>
      <c r="L9" s="146">
        <f t="shared" si="4"/>
        <v>515.62467480502869</v>
      </c>
      <c r="M9" s="146">
        <f t="shared" si="4"/>
        <v>513.78868263701702</v>
      </c>
      <c r="Q9" s="107"/>
      <c r="R9" s="106"/>
      <c r="S9" s="106"/>
      <c r="T9" s="106"/>
      <c r="U9" s="106"/>
      <c r="V9" s="106"/>
      <c r="W9" s="106"/>
      <c r="X9" s="106"/>
      <c r="Y9" s="106"/>
      <c r="Z9" s="106"/>
      <c r="AA9" s="106"/>
      <c r="AB9" s="106"/>
      <c r="AC9" s="106"/>
      <c r="AD9" s="106"/>
    </row>
    <row r="10" spans="1:31" s="116" customFormat="1" ht="15.75" customHeight="1">
      <c r="A10" s="119" t="s">
        <v>1249</v>
      </c>
      <c r="B10" s="119" t="s">
        <v>1250</v>
      </c>
      <c r="C10" s="146">
        <f t="shared" ref="C10:M10" si="5">C54*$P4</f>
        <v>75.407225538790257</v>
      </c>
      <c r="D10" s="146">
        <f t="shared" si="5"/>
        <v>72.939535000000006</v>
      </c>
      <c r="E10" s="146">
        <f t="shared" si="5"/>
        <v>74.734089999999995</v>
      </c>
      <c r="F10" s="146">
        <f t="shared" si="5"/>
        <v>77.160590000000013</v>
      </c>
      <c r="G10" s="146">
        <f t="shared" si="5"/>
        <v>79.467875000000006</v>
      </c>
      <c r="H10" s="146">
        <f t="shared" si="5"/>
        <v>82.274175</v>
      </c>
      <c r="I10" s="146">
        <f t="shared" si="5"/>
        <v>85.490870000000001</v>
      </c>
      <c r="J10" s="146">
        <f t="shared" si="5"/>
        <v>88.855264999999989</v>
      </c>
      <c r="K10" s="146">
        <f t="shared" si="5"/>
        <v>92.352061901115562</v>
      </c>
      <c r="L10" s="146">
        <f t="shared" si="5"/>
        <v>95.986471228097543</v>
      </c>
      <c r="M10" s="146">
        <f t="shared" si="5"/>
        <v>99.763908559913844</v>
      </c>
      <c r="Q10" s="107"/>
      <c r="R10" s="106"/>
      <c r="S10" s="106"/>
      <c r="T10" s="106"/>
      <c r="U10" s="106"/>
      <c r="V10" s="106"/>
      <c r="W10" s="106"/>
      <c r="X10" s="106"/>
      <c r="Y10" s="106"/>
      <c r="Z10" s="106"/>
      <c r="AA10" s="106"/>
      <c r="AB10" s="106"/>
      <c r="AC10" s="106"/>
      <c r="AD10" s="106"/>
    </row>
    <row r="11" spans="1:31" s="116" customFormat="1" ht="15.75" customHeight="1">
      <c r="A11" s="119" t="s">
        <v>1251</v>
      </c>
      <c r="B11" s="119" t="s">
        <v>1252</v>
      </c>
      <c r="C11" s="151">
        <f>C39*$P4</f>
        <v>171.72107638608318</v>
      </c>
      <c r="D11" s="151">
        <f t="shared" ref="D11:M11" si="6">D39*$P4</f>
        <v>189.23976436538757</v>
      </c>
      <c r="E11" s="151">
        <f t="shared" si="6"/>
        <v>211.40451314177204</v>
      </c>
      <c r="F11" s="151">
        <f t="shared" si="6"/>
        <v>231.6664515230579</v>
      </c>
      <c r="G11" s="151">
        <f t="shared" si="6"/>
        <v>251.08926198945505</v>
      </c>
      <c r="H11" s="151">
        <f t="shared" si="6"/>
        <v>271.24961466290318</v>
      </c>
      <c r="I11" s="151">
        <f t="shared" si="6"/>
        <v>291.45439221524413</v>
      </c>
      <c r="J11" s="151">
        <f t="shared" si="6"/>
        <v>303.91031080149236</v>
      </c>
      <c r="K11" s="151">
        <f t="shared" si="6"/>
        <v>316.89855935761335</v>
      </c>
      <c r="L11" s="151">
        <f t="shared" si="6"/>
        <v>330.44188812838939</v>
      </c>
      <c r="M11" s="151">
        <f t="shared" si="6"/>
        <v>344.56401963832957</v>
      </c>
      <c r="Q11" s="660"/>
      <c r="R11" s="108"/>
      <c r="S11" s="108"/>
      <c r="T11" s="108"/>
      <c r="U11" s="108"/>
      <c r="V11" s="108"/>
      <c r="W11" s="108"/>
      <c r="X11" s="106"/>
      <c r="Y11" s="106"/>
      <c r="Z11" s="106"/>
      <c r="AA11" s="106"/>
      <c r="AB11" s="106"/>
      <c r="AC11" s="106"/>
      <c r="AD11" s="106"/>
    </row>
    <row r="12" spans="1:31" s="116" customFormat="1" ht="15.75" customHeight="1">
      <c r="A12" s="119" t="s">
        <v>1253</v>
      </c>
      <c r="B12" s="119" t="s">
        <v>1254</v>
      </c>
      <c r="C12" s="146">
        <f t="shared" ref="C12:M12" si="7">C36*$P4</f>
        <v>1122.7250218987444</v>
      </c>
      <c r="D12" s="146">
        <f t="shared" si="7"/>
        <v>1270.3120740813508</v>
      </c>
      <c r="E12" s="146">
        <f t="shared" si="7"/>
        <v>1292.5557129696997</v>
      </c>
      <c r="F12" s="146">
        <f t="shared" si="7"/>
        <v>1337.2047628376522</v>
      </c>
      <c r="G12" s="146">
        <f t="shared" si="7"/>
        <v>1382.754687887614</v>
      </c>
      <c r="H12" s="146">
        <f t="shared" si="7"/>
        <v>1404.2691043727011</v>
      </c>
      <c r="I12" s="146">
        <f t="shared" si="7"/>
        <v>1387.397672453789</v>
      </c>
      <c r="J12" s="146">
        <f t="shared" si="7"/>
        <v>1365.1231009479702</v>
      </c>
      <c r="K12" s="146">
        <f t="shared" si="7"/>
        <v>1336.9203785493012</v>
      </c>
      <c r="L12" s="146">
        <f t="shared" si="7"/>
        <v>1309.3003095026588</v>
      </c>
      <c r="M12" s="146">
        <f t="shared" si="7"/>
        <v>1282.2508564974662</v>
      </c>
      <c r="Q12" s="105"/>
      <c r="R12" s="106"/>
      <c r="S12" s="106"/>
      <c r="T12" s="106"/>
      <c r="U12" s="106"/>
      <c r="V12" s="106"/>
      <c r="W12" s="106"/>
      <c r="X12" s="106"/>
      <c r="Y12" s="106"/>
      <c r="Z12" s="106"/>
      <c r="AA12" s="106"/>
      <c r="AB12" s="106"/>
      <c r="AC12" s="106"/>
      <c r="AD12" s="106"/>
    </row>
    <row r="13" spans="1:31" s="116" customFormat="1" ht="15.75" customHeight="1">
      <c r="A13" s="119"/>
      <c r="B13" s="119" t="s">
        <v>1178</v>
      </c>
      <c r="C13" s="146">
        <f t="shared" ref="C13:L13" si="8">SUM(C4:C12)</f>
        <v>12037.624582593893</v>
      </c>
      <c r="D13" s="146">
        <f t="shared" si="8"/>
        <v>12596.583797963636</v>
      </c>
      <c r="E13" s="146">
        <f t="shared" si="8"/>
        <v>12625.041773834701</v>
      </c>
      <c r="F13" s="146">
        <f t="shared" si="8"/>
        <v>13255.300633226736</v>
      </c>
      <c r="G13" s="146">
        <f t="shared" si="8"/>
        <v>13913.289062552947</v>
      </c>
      <c r="H13" s="146">
        <f t="shared" si="8"/>
        <v>14488.033677998219</v>
      </c>
      <c r="I13" s="146">
        <f t="shared" si="8"/>
        <v>14976.825030201255</v>
      </c>
      <c r="J13" s="146">
        <f t="shared" si="8"/>
        <v>15443.711415984802</v>
      </c>
      <c r="K13" s="146">
        <f t="shared" si="8"/>
        <v>15872.206664925994</v>
      </c>
      <c r="L13" s="146">
        <f t="shared" si="8"/>
        <v>16342.535522690869</v>
      </c>
      <c r="M13" s="146">
        <f t="shared" ref="M13" si="9">SUM(M4:M12)</f>
        <v>16865.064422502321</v>
      </c>
      <c r="Q13" s="109"/>
      <c r="R13" s="110"/>
      <c r="S13" s="110"/>
      <c r="T13" s="110"/>
      <c r="U13" s="110"/>
      <c r="V13" s="110"/>
      <c r="W13" s="110"/>
      <c r="X13" s="106"/>
      <c r="Y13" s="106"/>
      <c r="Z13" s="106"/>
      <c r="AA13" s="106"/>
      <c r="AB13" s="106"/>
      <c r="AC13" s="106"/>
      <c r="AD13" s="106"/>
    </row>
    <row r="14" spans="1:31" s="116" customFormat="1" ht="15.75" customHeight="1">
      <c r="A14" s="654"/>
      <c r="B14" s="119" t="s">
        <v>1571</v>
      </c>
      <c r="C14" s="146">
        <f t="shared" ref="C14:M14" si="10">C60*$P4</f>
        <v>12004.498054643978</v>
      </c>
      <c r="D14" s="146">
        <f t="shared" si="10"/>
        <v>12539.332024440484</v>
      </c>
      <c r="E14" s="146">
        <f t="shared" si="10"/>
        <v>12532.161274380138</v>
      </c>
      <c r="F14" s="146">
        <f t="shared" si="10"/>
        <v>13140.045934004724</v>
      </c>
      <c r="G14" s="146">
        <f t="shared" si="10"/>
        <v>13777.615354507605</v>
      </c>
      <c r="H14" s="146">
        <f t="shared" si="10"/>
        <v>14327.75880138741</v>
      </c>
      <c r="I14" s="146">
        <f t="shared" si="10"/>
        <v>14788.943027352796</v>
      </c>
      <c r="J14" s="146">
        <f t="shared" si="10"/>
        <v>15234.197801509496</v>
      </c>
      <c r="K14" s="146">
        <f t="shared" si="10"/>
        <v>15637.023737984522</v>
      </c>
      <c r="L14" s="146">
        <f t="shared" si="10"/>
        <v>16081.280100184636</v>
      </c>
      <c r="M14" s="146">
        <f t="shared" si="10"/>
        <v>16577.293464882205</v>
      </c>
    </row>
    <row r="15" spans="1:31" s="116" customFormat="1" ht="15.75" customHeight="1">
      <c r="A15" s="117"/>
      <c r="B15" s="117"/>
      <c r="C15" s="46"/>
      <c r="D15" s="117"/>
      <c r="E15" s="117"/>
      <c r="F15" s="117"/>
      <c r="G15" s="117"/>
      <c r="H15" s="117"/>
      <c r="I15" s="117"/>
      <c r="J15" s="117"/>
      <c r="K15" s="117"/>
      <c r="L15" s="117"/>
      <c r="M15" s="117"/>
      <c r="N15" s="117"/>
      <c r="O15" s="117"/>
      <c r="R15" s="111"/>
      <c r="S15" s="112"/>
      <c r="T15" s="112"/>
      <c r="U15" s="112"/>
      <c r="V15" s="112"/>
      <c r="W15" s="112"/>
      <c r="X15" s="112"/>
      <c r="Y15" s="106"/>
      <c r="Z15" s="106"/>
      <c r="AA15" s="106"/>
      <c r="AB15" s="106"/>
      <c r="AC15" s="106"/>
      <c r="AD15" s="106"/>
      <c r="AE15" s="106"/>
    </row>
    <row r="16" spans="1:31" s="116" customFormat="1" ht="15.75" customHeight="1">
      <c r="A16" s="117"/>
      <c r="B16" s="117"/>
      <c r="D16" s="117"/>
      <c r="E16" s="117"/>
      <c r="F16" s="117"/>
      <c r="G16" s="117"/>
      <c r="H16" s="117"/>
      <c r="I16" s="117"/>
      <c r="J16" s="117"/>
      <c r="K16" s="117"/>
      <c r="L16" s="117"/>
      <c r="M16" s="117"/>
      <c r="N16" s="117"/>
      <c r="O16" s="117"/>
      <c r="R16" s="106"/>
      <c r="S16" s="106"/>
      <c r="T16" s="106"/>
      <c r="U16" s="106"/>
      <c r="V16" s="106"/>
      <c r="W16" s="106"/>
      <c r="X16" s="106"/>
      <c r="Y16" s="106"/>
      <c r="Z16" s="106"/>
      <c r="AA16" s="106"/>
      <c r="AB16" s="106"/>
      <c r="AC16" s="106"/>
      <c r="AD16" s="106"/>
      <c r="AE16" s="106"/>
    </row>
    <row r="17" spans="1:42" s="116" customFormat="1" ht="15.75" customHeight="1">
      <c r="B17" s="40"/>
      <c r="C17" s="152"/>
      <c r="D17" s="152"/>
      <c r="E17" s="152"/>
      <c r="F17" s="152"/>
      <c r="G17" s="152"/>
      <c r="H17" s="152"/>
      <c r="I17" s="152"/>
      <c r="J17" s="152"/>
      <c r="K17" s="152"/>
      <c r="L17" s="152"/>
      <c r="M17" s="152"/>
      <c r="N17" s="118"/>
      <c r="P17" s="40"/>
      <c r="Q17" s="153"/>
      <c r="R17" s="153"/>
      <c r="S17" s="153"/>
      <c r="T17" s="153"/>
      <c r="U17" s="153"/>
      <c r="V17" s="153"/>
      <c r="W17" s="153"/>
      <c r="X17" s="153"/>
      <c r="Y17" s="153"/>
      <c r="Z17" s="153"/>
      <c r="AA17" s="153"/>
      <c r="AB17" s="118"/>
      <c r="AD17" s="40"/>
      <c r="AE17" s="153"/>
      <c r="AF17" s="153"/>
      <c r="AG17" s="153"/>
      <c r="AH17" s="153"/>
      <c r="AI17" s="153"/>
      <c r="AJ17" s="153"/>
      <c r="AK17" s="153"/>
      <c r="AL17" s="153"/>
      <c r="AM17" s="153"/>
      <c r="AN17" s="153"/>
      <c r="AO17" s="153"/>
      <c r="AP17" s="118"/>
    </row>
    <row r="18" spans="1:42" s="116" customFormat="1" ht="22.5" customHeight="1">
      <c r="A18" s="693" t="s">
        <v>1257</v>
      </c>
      <c r="B18" s="693"/>
      <c r="C18" s="693"/>
      <c r="D18" s="693"/>
      <c r="E18" s="693"/>
      <c r="F18" s="693"/>
      <c r="G18" s="693"/>
      <c r="H18" s="693"/>
      <c r="I18" s="693"/>
      <c r="J18" s="693"/>
      <c r="K18" s="693"/>
      <c r="L18" s="693"/>
      <c r="M18" s="654"/>
    </row>
    <row r="19" spans="1:42" s="116" customFormat="1" ht="12.75" customHeight="1">
      <c r="A19" s="117" t="s">
        <v>596</v>
      </c>
      <c r="B19" s="117" t="s">
        <v>1235</v>
      </c>
      <c r="C19" s="654">
        <v>2005</v>
      </c>
      <c r="D19" s="654">
        <v>2010</v>
      </c>
      <c r="E19" s="654">
        <v>2015</v>
      </c>
      <c r="F19" s="654">
        <v>2020</v>
      </c>
      <c r="G19" s="654">
        <v>2025</v>
      </c>
      <c r="H19" s="654">
        <v>2030</v>
      </c>
      <c r="I19" s="654">
        <v>2035</v>
      </c>
      <c r="J19" s="654">
        <v>2040</v>
      </c>
      <c r="K19" s="654">
        <v>2045</v>
      </c>
      <c r="L19" s="654">
        <v>2050</v>
      </c>
      <c r="M19" s="654">
        <v>2055</v>
      </c>
    </row>
    <row r="20" spans="1:42" s="116" customFormat="1" ht="13">
      <c r="A20" s="119" t="s">
        <v>1241</v>
      </c>
      <c r="B20" s="119" t="s">
        <v>1242</v>
      </c>
      <c r="C20" s="120">
        <f>C162</f>
        <v>5.1129582435161192</v>
      </c>
      <c r="D20" s="120">
        <f>D162</f>
        <v>4.8448330000000004</v>
      </c>
      <c r="E20" s="120">
        <f t="shared" ref="E20:J20" si="11">E162</f>
        <v>4.5063139999999997</v>
      </c>
      <c r="F20" s="120">
        <f t="shared" si="11"/>
        <v>4.3566019999999996</v>
      </c>
      <c r="G20" s="120">
        <f t="shared" si="11"/>
        <v>4.2245980000000003</v>
      </c>
      <c r="H20" s="120">
        <f t="shared" si="11"/>
        <v>4.0867969999999998</v>
      </c>
      <c r="I20" s="120">
        <f t="shared" si="11"/>
        <v>3.9454449999999999</v>
      </c>
      <c r="J20" s="120">
        <f t="shared" si="11"/>
        <v>3.8057799999999999</v>
      </c>
      <c r="K20" s="120">
        <f>J20*(1+(J20-I20)/I20)</f>
        <v>3.67105900814737</v>
      </c>
      <c r="L20" s="120">
        <f t="shared" ref="L20:M29" si="12">K20*(1+(K20-J20)/J20)</f>
        <v>3.5411070112565497</v>
      </c>
      <c r="M20" s="120">
        <f t="shared" si="12"/>
        <v>3.4157551914422712</v>
      </c>
      <c r="P20" s="121"/>
      <c r="Q20" s="121"/>
      <c r="R20" s="121"/>
      <c r="S20" s="121"/>
      <c r="T20" s="121"/>
      <c r="U20" s="121"/>
      <c r="V20" s="121"/>
      <c r="W20" s="121"/>
      <c r="X20" s="121"/>
      <c r="Y20" s="121"/>
      <c r="Z20" s="121"/>
    </row>
    <row r="21" spans="1:42" s="116" customFormat="1" ht="15.75" customHeight="1">
      <c r="A21" s="119" t="s">
        <v>1253</v>
      </c>
      <c r="B21" s="119" t="s">
        <v>1254</v>
      </c>
      <c r="C21" s="120">
        <f>C164</f>
        <v>1.6372220516204801</v>
      </c>
      <c r="D21" s="120">
        <f>D164</f>
        <v>1.7677210000000001</v>
      </c>
      <c r="E21" s="120">
        <f t="shared" ref="E21:J21" si="13">E164</f>
        <v>1.771803</v>
      </c>
      <c r="F21" s="120">
        <f t="shared" si="13"/>
        <v>1.7663850000000001</v>
      </c>
      <c r="G21" s="120">
        <f t="shared" si="13"/>
        <v>1.7802089999999999</v>
      </c>
      <c r="H21" s="120">
        <f t="shared" si="13"/>
        <v>1.777379</v>
      </c>
      <c r="I21" s="120">
        <f t="shared" si="13"/>
        <v>1.74109</v>
      </c>
      <c r="J21" s="120">
        <f t="shared" si="13"/>
        <v>1.70512</v>
      </c>
      <c r="K21" s="120">
        <f t="shared" ref="K21:K29" si="14">J21*(1+(J21-I21)/I21)</f>
        <v>1.6698931212056813</v>
      </c>
      <c r="L21" s="120">
        <f t="shared" si="12"/>
        <v>1.6353940111253473</v>
      </c>
      <c r="M21" s="120">
        <f t="shared" si="12"/>
        <v>1.6016076344416728</v>
      </c>
      <c r="N21" s="654"/>
      <c r="P21" s="122"/>
      <c r="Q21" s="122"/>
      <c r="R21" s="122"/>
      <c r="S21" s="122"/>
      <c r="T21" s="122"/>
      <c r="U21" s="122"/>
      <c r="V21" s="122"/>
      <c r="W21" s="122"/>
      <c r="X21" s="122"/>
      <c r="Y21" s="122"/>
      <c r="Z21" s="122"/>
    </row>
    <row r="22" spans="1:42" s="116" customFormat="1" ht="15.75" customHeight="1">
      <c r="A22" s="119" t="s">
        <v>1251</v>
      </c>
      <c r="B22" s="119" t="s">
        <v>1252</v>
      </c>
      <c r="C22" s="120">
        <f>C123</f>
        <v>0.39436101913452098</v>
      </c>
      <c r="D22" s="120">
        <f t="shared" ref="D22:J22" si="15">D123</f>
        <v>0.37790699999999999</v>
      </c>
      <c r="E22" s="120">
        <f t="shared" si="15"/>
        <v>0.37693700000000002</v>
      </c>
      <c r="F22" s="120">
        <f t="shared" si="15"/>
        <v>0.37551299999999999</v>
      </c>
      <c r="G22" s="120">
        <f t="shared" si="15"/>
        <v>0.37684800000000002</v>
      </c>
      <c r="H22" s="120">
        <f t="shared" si="15"/>
        <v>0.38406200000000001</v>
      </c>
      <c r="I22" s="120">
        <f t="shared" si="15"/>
        <v>0.39679799999999998</v>
      </c>
      <c r="J22" s="120">
        <f t="shared" si="15"/>
        <v>0.41375600000000001</v>
      </c>
      <c r="K22" s="120">
        <f t="shared" ref="K22" si="16">J22*(1+(J22-I22)/I22)</f>
        <v>0.43143873592104798</v>
      </c>
      <c r="L22" s="120">
        <f t="shared" ref="L22" si="17">K22*(1+(K22-J22)/J22)</f>
        <v>0.44987718088233591</v>
      </c>
      <c r="M22" s="120">
        <f t="shared" ref="M22" si="18">L22*(1+(L22-K22)/K22)</f>
        <v>0.46910363170467539</v>
      </c>
      <c r="N22" s="654"/>
      <c r="P22" s="123"/>
      <c r="Q22" s="123"/>
      <c r="R22" s="123"/>
      <c r="S22" s="123"/>
      <c r="T22" s="123"/>
      <c r="U22" s="123"/>
      <c r="V22" s="123"/>
      <c r="W22" s="123"/>
      <c r="X22" s="123"/>
      <c r="Y22" s="123"/>
      <c r="Z22" s="123"/>
    </row>
    <row r="23" spans="1:42" s="116" customFormat="1" ht="15.75" customHeight="1">
      <c r="A23" s="119" t="s">
        <v>1243</v>
      </c>
      <c r="B23" s="119" t="s">
        <v>1244</v>
      </c>
      <c r="C23" s="120">
        <f>C169</f>
        <v>0.72674226760864302</v>
      </c>
      <c r="D23" s="120">
        <f>D169</f>
        <v>0.63835299999999995</v>
      </c>
      <c r="E23" s="120">
        <f t="shared" ref="E23:J23" si="19">E169</f>
        <v>0.498996</v>
      </c>
      <c r="F23" s="120">
        <f t="shared" si="19"/>
        <v>0.43620599999999998</v>
      </c>
      <c r="G23" s="120">
        <f t="shared" si="19"/>
        <v>0.39062000000000002</v>
      </c>
      <c r="H23" s="120">
        <f t="shared" si="19"/>
        <v>0.34983500000000001</v>
      </c>
      <c r="I23" s="120">
        <f t="shared" si="19"/>
        <v>0.29919800000000002</v>
      </c>
      <c r="J23" s="120">
        <f t="shared" si="19"/>
        <v>0.27627400000000002</v>
      </c>
      <c r="K23" s="120">
        <f t="shared" si="14"/>
        <v>0.25510639468178264</v>
      </c>
      <c r="L23" s="120">
        <f t="shared" si="12"/>
        <v>0.23556061231797945</v>
      </c>
      <c r="M23" s="120">
        <f t="shared" si="12"/>
        <v>0.217512391819255</v>
      </c>
      <c r="N23" s="654"/>
      <c r="O23" s="124"/>
      <c r="P23" s="124"/>
      <c r="Q23" s="124"/>
      <c r="R23" s="124"/>
      <c r="S23" s="124"/>
    </row>
    <row r="24" spans="1:42" s="116" customFormat="1" ht="15.75" customHeight="1">
      <c r="A24" s="119" t="s">
        <v>1245</v>
      </c>
      <c r="B24" s="119" t="s">
        <v>1246</v>
      </c>
      <c r="C24" s="120">
        <f>C125+C124+C133+C128+C129+C130+C131+C132</f>
        <v>1.9189713746309272</v>
      </c>
      <c r="D24" s="120">
        <f>D124+D125+D133+D128+D129+D130+D131+D132</f>
        <v>2.12018</v>
      </c>
      <c r="E24" s="120">
        <f t="shared" ref="E24:J24" si="20">E124+E125+E133+E128+E129+E130+E131+E132</f>
        <v>2.1486769999999997</v>
      </c>
      <c r="F24" s="120">
        <f t="shared" si="20"/>
        <v>2.2347159999999997</v>
      </c>
      <c r="G24" s="120">
        <f t="shared" si="20"/>
        <v>2.3443040000000002</v>
      </c>
      <c r="H24" s="120">
        <f t="shared" si="20"/>
        <v>2.486494</v>
      </c>
      <c r="I24" s="120">
        <f t="shared" si="20"/>
        <v>2.6405920000000003</v>
      </c>
      <c r="J24" s="120">
        <f t="shared" si="20"/>
        <v>2.8026279999999999</v>
      </c>
      <c r="K24" s="120">
        <f t="shared" si="14"/>
        <v>2.9746070980992134</v>
      </c>
      <c r="L24" s="120">
        <f t="shared" si="12"/>
        <v>3.1571394377213902</v>
      </c>
      <c r="M24" s="120">
        <f t="shared" si="12"/>
        <v>3.3508726028338427</v>
      </c>
      <c r="N24" s="654"/>
      <c r="O24" s="124"/>
      <c r="P24" s="124"/>
      <c r="Q24" s="124"/>
      <c r="R24" s="124"/>
      <c r="S24" s="124"/>
    </row>
    <row r="25" spans="1:42" s="116" customFormat="1" ht="15.75" customHeight="1">
      <c r="A25" s="119" t="s">
        <v>1239</v>
      </c>
      <c r="B25" s="119" t="s">
        <v>1240</v>
      </c>
      <c r="C25" s="120">
        <f>C126</f>
        <v>8.3529256284236894E-2</v>
      </c>
      <c r="D25" s="120">
        <f t="shared" ref="D25:J25" si="21">D126</f>
        <v>7.9626000000000002E-2</v>
      </c>
      <c r="E25" s="120">
        <f t="shared" si="21"/>
        <v>8.0264000000000002E-2</v>
      </c>
      <c r="F25" s="120">
        <f t="shared" si="21"/>
        <v>7.9727999999999993E-2</v>
      </c>
      <c r="G25" s="120">
        <f t="shared" si="21"/>
        <v>7.8634999999999997E-2</v>
      </c>
      <c r="H25" s="120">
        <f t="shared" si="21"/>
        <v>7.7917E-2</v>
      </c>
      <c r="I25" s="120">
        <f t="shared" si="21"/>
        <v>7.7727000000000004E-2</v>
      </c>
      <c r="J25" s="120">
        <f t="shared" si="21"/>
        <v>7.8753000000000004E-2</v>
      </c>
      <c r="K25" s="120">
        <f t="shared" si="14"/>
        <v>7.9792543247520178E-2</v>
      </c>
      <c r="L25" s="120">
        <f t="shared" si="12"/>
        <v>8.0845808514055054E-2</v>
      </c>
      <c r="M25" s="120">
        <f t="shared" ref="M25" si="22">L25*(1+(L25-K25)/K25)</f>
        <v>8.1912976930891168E-2</v>
      </c>
      <c r="N25" s="654"/>
    </row>
    <row r="26" spans="1:42" s="116" customFormat="1" ht="15.75" customHeight="1">
      <c r="A26" s="119" t="s">
        <v>1258</v>
      </c>
      <c r="B26" s="119" t="s">
        <v>1259</v>
      </c>
      <c r="C26" s="120">
        <f>C140+C141+C142</f>
        <v>0.54846947103738763</v>
      </c>
      <c r="D26" s="120">
        <f t="shared" ref="D26:J26" si="23">D140+D141+D142</f>
        <v>0.50605</v>
      </c>
      <c r="E26" s="120">
        <f t="shared" si="23"/>
        <v>0.50491200000000003</v>
      </c>
      <c r="F26" s="120">
        <f t="shared" si="23"/>
        <v>0.50233899999999998</v>
      </c>
      <c r="G26" s="120">
        <f t="shared" si="23"/>
        <v>0.49863299999999999</v>
      </c>
      <c r="H26" s="120">
        <f t="shared" si="23"/>
        <v>0.49568200000000001</v>
      </c>
      <c r="I26" s="120">
        <f t="shared" si="23"/>
        <v>0.49400200000000005</v>
      </c>
      <c r="J26" s="120">
        <f t="shared" si="23"/>
        <v>0.49224299999999999</v>
      </c>
      <c r="K26" s="120">
        <f t="shared" ref="K26:K27" si="24">J26*(1+(J26-I26)/I26)</f>
        <v>0.4904902632965048</v>
      </c>
      <c r="L26" s="120">
        <f t="shared" ref="L26:L27" si="25">K26*(1+(K26-J26)/J26)</f>
        <v>0.48874376758770488</v>
      </c>
      <c r="M26" s="120">
        <f t="shared" si="12"/>
        <v>0.48700349065120097</v>
      </c>
      <c r="N26" s="654"/>
    </row>
    <row r="27" spans="1:42" s="116" customFormat="1" ht="15.75" customHeight="1">
      <c r="A27" s="119" t="s">
        <v>1249</v>
      </c>
      <c r="B27" s="119" t="s">
        <v>1250</v>
      </c>
      <c r="C27" s="120">
        <f>C155+C154</f>
        <v>7.1476043164730108E-2</v>
      </c>
      <c r="D27" s="120">
        <f t="shared" ref="D27:J27" si="26">D155+D154</f>
        <v>6.9137000000000004E-2</v>
      </c>
      <c r="E27" s="120">
        <f t="shared" si="26"/>
        <v>7.0837999999999998E-2</v>
      </c>
      <c r="F27" s="120">
        <f t="shared" si="26"/>
        <v>7.3138000000000009E-2</v>
      </c>
      <c r="G27" s="120">
        <f t="shared" si="26"/>
        <v>7.5325000000000003E-2</v>
      </c>
      <c r="H27" s="120">
        <f t="shared" si="26"/>
        <v>7.7984999999999999E-2</v>
      </c>
      <c r="I27" s="120">
        <f t="shared" si="26"/>
        <v>8.1033999999999995E-2</v>
      </c>
      <c r="J27" s="120">
        <f t="shared" si="26"/>
        <v>8.4222999999999992E-2</v>
      </c>
      <c r="K27" s="120">
        <f t="shared" si="24"/>
        <v>8.7537499432337032E-2</v>
      </c>
      <c r="L27" s="120">
        <f t="shared" si="25"/>
        <v>9.098243718303084E-2</v>
      </c>
      <c r="M27" s="120">
        <f t="shared" si="12"/>
        <v>9.4562946502287998E-2</v>
      </c>
      <c r="N27" s="654"/>
    </row>
    <row r="28" spans="1:42" s="116" customFormat="1" ht="15.75" customHeight="1">
      <c r="A28" s="119" t="s">
        <v>1236</v>
      </c>
      <c r="B28" s="119" t="s">
        <v>1237</v>
      </c>
      <c r="C28" s="120">
        <f>C163</f>
        <v>0.821350157260895</v>
      </c>
      <c r="D28" s="120">
        <f>D163</f>
        <v>0.84948800000000002</v>
      </c>
      <c r="E28" s="120">
        <f t="shared" ref="E28:J28" si="27">E163</f>
        <v>0.84499599999999997</v>
      </c>
      <c r="F28" s="120">
        <f t="shared" si="27"/>
        <v>0.91059400000000001</v>
      </c>
      <c r="G28" s="120">
        <f t="shared" si="27"/>
        <v>0.99750899999999998</v>
      </c>
      <c r="H28" s="120">
        <f t="shared" si="27"/>
        <v>1.088076</v>
      </c>
      <c r="I28" s="120">
        <f t="shared" si="27"/>
        <v>1.17994</v>
      </c>
      <c r="J28" s="120">
        <f t="shared" si="27"/>
        <v>1.2720849999999999</v>
      </c>
      <c r="K28" s="120">
        <f t="shared" si="14"/>
        <v>1.3714258752351813</v>
      </c>
      <c r="L28" s="120">
        <f t="shared" si="12"/>
        <v>1.4785245728584042</v>
      </c>
      <c r="M28" s="120">
        <f t="shared" si="12"/>
        <v>1.5939869241356197</v>
      </c>
      <c r="N28" s="654"/>
    </row>
    <row r="29" spans="1:42" s="116" customFormat="1" ht="15.75" customHeight="1">
      <c r="B29" s="119" t="s">
        <v>1260</v>
      </c>
      <c r="C29" s="120">
        <f t="shared" ref="C29:D29" si="28">C20+C21+C22+C23+C24+C25+C26+C28</f>
        <v>11.24360384109321</v>
      </c>
      <c r="D29" s="120">
        <f t="shared" si="28"/>
        <v>11.184158</v>
      </c>
      <c r="E29" s="120">
        <f t="shared" ref="E29:J29" si="29">E20+E21+E22+E23+E24+E25+E26+E28</f>
        <v>10.732898999999998</v>
      </c>
      <c r="F29" s="120">
        <f t="shared" si="29"/>
        <v>10.662082999999999</v>
      </c>
      <c r="G29" s="120">
        <f t="shared" si="29"/>
        <v>10.691356000000003</v>
      </c>
      <c r="H29" s="120">
        <f t="shared" si="29"/>
        <v>10.746241999999999</v>
      </c>
      <c r="I29" s="120">
        <f t="shared" si="29"/>
        <v>10.774792</v>
      </c>
      <c r="J29" s="120">
        <f t="shared" si="29"/>
        <v>10.846639000000001</v>
      </c>
      <c r="K29" s="120">
        <f t="shared" si="14"/>
        <v>10.918965080376589</v>
      </c>
      <c r="L29" s="120">
        <f t="shared" si="12"/>
        <v>10.991773435668257</v>
      </c>
      <c r="M29" s="120">
        <f t="shared" si="12"/>
        <v>11.065067281714887</v>
      </c>
      <c r="N29" s="654"/>
      <c r="O29" s="117"/>
    </row>
    <row r="30" spans="1:42" s="116" customFormat="1" ht="25.5" customHeight="1">
      <c r="A30" s="117"/>
      <c r="B30" s="117"/>
      <c r="C30" s="46"/>
      <c r="D30" s="117"/>
      <c r="E30" s="117"/>
      <c r="F30" s="117"/>
      <c r="G30" s="117"/>
      <c r="H30" s="117"/>
      <c r="I30" s="117"/>
      <c r="J30" s="117"/>
      <c r="K30" s="117"/>
      <c r="L30" s="117"/>
      <c r="M30" s="117"/>
      <c r="N30" s="117"/>
      <c r="O30" s="117"/>
    </row>
    <row r="31" spans="1:42" s="116" customFormat="1" ht="15.75" customHeight="1">
      <c r="A31" s="693" t="s">
        <v>1261</v>
      </c>
      <c r="B31" s="693"/>
      <c r="C31" s="693"/>
      <c r="D31" s="693"/>
      <c r="E31" s="693"/>
      <c r="F31" s="693"/>
      <c r="G31" s="693"/>
      <c r="H31" s="693"/>
      <c r="I31" s="693"/>
      <c r="J31" s="693"/>
      <c r="K31" s="693"/>
      <c r="L31" s="693"/>
      <c r="M31" s="654"/>
      <c r="N31" s="117"/>
      <c r="O31" s="117"/>
    </row>
    <row r="32" spans="1:42" s="116" customFormat="1" ht="15.75" customHeight="1">
      <c r="A32" s="117" t="s">
        <v>596</v>
      </c>
      <c r="B32" s="117" t="s">
        <v>1235</v>
      </c>
      <c r="C32" s="654">
        <v>2005</v>
      </c>
      <c r="D32" s="654">
        <v>2010</v>
      </c>
      <c r="E32" s="654">
        <v>2015</v>
      </c>
      <c r="F32" s="654">
        <v>2020</v>
      </c>
      <c r="G32" s="654">
        <v>2025</v>
      </c>
      <c r="H32" s="654">
        <v>2030</v>
      </c>
      <c r="I32" s="654">
        <v>2035</v>
      </c>
      <c r="J32" s="654">
        <v>2040</v>
      </c>
      <c r="K32" s="654">
        <v>2045</v>
      </c>
      <c r="L32" s="654">
        <v>2050</v>
      </c>
      <c r="M32" s="654">
        <v>2055</v>
      </c>
      <c r="N32" s="117"/>
      <c r="O32" s="117"/>
    </row>
    <row r="33" spans="1:26" s="116" customFormat="1" ht="15.75" customHeight="1">
      <c r="A33" s="119" t="s">
        <v>1241</v>
      </c>
      <c r="B33" s="119" t="s">
        <v>1242</v>
      </c>
      <c r="C33" s="125">
        <f>C20*C34</f>
        <v>5.0209249951328285</v>
      </c>
      <c r="D33" s="125">
        <f t="shared" ref="D33:L33" si="30">D20*D34</f>
        <v>4.8498020440158314</v>
      </c>
      <c r="E33" s="125">
        <f t="shared" si="30"/>
        <v>4.6849447233943939</v>
      </c>
      <c r="F33" s="125">
        <f>F20*F34</f>
        <v>4.7348049517784911</v>
      </c>
      <c r="G33" s="125">
        <f>G20*G34</f>
        <v>4.7450569068653454</v>
      </c>
      <c r="H33" s="125">
        <f t="shared" si="30"/>
        <v>4.7044781544119942</v>
      </c>
      <c r="I33" s="125">
        <f t="shared" si="30"/>
        <v>4.622590819317633</v>
      </c>
      <c r="J33" s="125">
        <f t="shared" si="30"/>
        <v>4.52613166216811</v>
      </c>
      <c r="K33" s="125">
        <f t="shared" si="30"/>
        <v>4.365910906690158</v>
      </c>
      <c r="L33" s="125">
        <f t="shared" si="30"/>
        <v>4.2113618135503783</v>
      </c>
      <c r="M33" s="125">
        <f t="shared" ref="M33" si="31">M20*M34</f>
        <v>4.0622836112970164</v>
      </c>
      <c r="N33" s="117"/>
      <c r="O33" s="117"/>
    </row>
    <row r="34" spans="1:26" s="116" customFormat="1" ht="15.75" customHeight="1">
      <c r="A34" s="119"/>
      <c r="B34" s="119" t="s">
        <v>1262</v>
      </c>
      <c r="C34" s="41">
        <f>M265</f>
        <v>0.98199999999999998</v>
      </c>
      <c r="D34" s="43">
        <f t="shared" ref="D34:J34" si="32">N265</f>
        <v>1.0010256378322702</v>
      </c>
      <c r="E34" s="43">
        <f t="shared" si="32"/>
        <v>1.0396400968495303</v>
      </c>
      <c r="F34" s="43">
        <f t="shared" si="32"/>
        <v>1.0868114534626967</v>
      </c>
      <c r="G34" s="43">
        <f t="shared" si="32"/>
        <v>1.1231972620508142</v>
      </c>
      <c r="H34" s="43">
        <f t="shared" si="32"/>
        <v>1.1511406498565979</v>
      </c>
      <c r="I34" s="43">
        <f t="shared" si="32"/>
        <v>1.1716272357915605</v>
      </c>
      <c r="J34" s="43">
        <f t="shared" si="32"/>
        <v>1.1892783245926224</v>
      </c>
      <c r="K34" s="43">
        <f t="shared" ref="K34:M34" si="33">J34</f>
        <v>1.1892783245926224</v>
      </c>
      <c r="L34" s="43">
        <f t="shared" si="33"/>
        <v>1.1892783245926224</v>
      </c>
      <c r="M34" s="43">
        <f t="shared" si="33"/>
        <v>1.1892783245926224</v>
      </c>
      <c r="N34" s="34"/>
      <c r="O34" s="117"/>
    </row>
    <row r="35" spans="1:26" s="116" customFormat="1" ht="15.75" customHeight="1">
      <c r="A35" s="119"/>
      <c r="B35" s="119"/>
      <c r="C35" s="120"/>
      <c r="D35" s="120"/>
      <c r="E35" s="120"/>
      <c r="F35" s="120"/>
      <c r="G35" s="120"/>
      <c r="H35" s="120"/>
      <c r="I35" s="120"/>
      <c r="J35" s="120"/>
      <c r="K35" s="120"/>
      <c r="L35" s="120"/>
      <c r="M35" s="120"/>
      <c r="N35" s="117"/>
      <c r="O35" s="117"/>
      <c r="P35" s="120"/>
      <c r="Q35" s="120"/>
      <c r="R35" s="120"/>
      <c r="S35" s="120"/>
      <c r="T35" s="120"/>
      <c r="U35" s="120"/>
      <c r="V35" s="120"/>
      <c r="W35" s="120"/>
      <c r="X35" s="120"/>
      <c r="Y35" s="120"/>
    </row>
    <row r="36" spans="1:26" s="116" customFormat="1" ht="15.75" customHeight="1">
      <c r="A36" s="119" t="s">
        <v>1253</v>
      </c>
      <c r="B36" s="119" t="s">
        <v>1254</v>
      </c>
      <c r="C36" s="125">
        <f t="shared" ref="C36:L36" si="34">C21*C37</f>
        <v>1.0641943335533122</v>
      </c>
      <c r="D36" s="125">
        <f t="shared" si="34"/>
        <v>1.2040872740107591</v>
      </c>
      <c r="E36" s="125">
        <f t="shared" si="34"/>
        <v>1.2251712919144073</v>
      </c>
      <c r="F36" s="125">
        <f t="shared" si="34"/>
        <v>1.2674926661968267</v>
      </c>
      <c r="G36" s="125">
        <f t="shared" si="34"/>
        <v>1.3106679506043735</v>
      </c>
      <c r="H36" s="125">
        <f t="shared" si="34"/>
        <v>1.3310607624385793</v>
      </c>
      <c r="I36" s="125">
        <f t="shared" si="34"/>
        <v>1.315068883842454</v>
      </c>
      <c r="J36" s="125">
        <f t="shared" si="34"/>
        <v>1.2939555459222467</v>
      </c>
      <c r="K36" s="125">
        <f t="shared" si="34"/>
        <v>1.2672231076296694</v>
      </c>
      <c r="L36" s="125">
        <f t="shared" si="34"/>
        <v>1.2410429473958851</v>
      </c>
      <c r="M36" s="125">
        <f t="shared" ref="M36" si="35">M21*M37</f>
        <v>1.2154036554478354</v>
      </c>
      <c r="N36" s="117"/>
      <c r="O36" s="117"/>
      <c r="P36" s="120"/>
      <c r="Q36" s="120"/>
      <c r="R36" s="120"/>
      <c r="S36" s="120"/>
      <c r="T36" s="120"/>
      <c r="U36" s="120"/>
      <c r="V36" s="120"/>
      <c r="W36" s="120"/>
      <c r="X36" s="120"/>
      <c r="Y36" s="120"/>
      <c r="Z36" s="120"/>
    </row>
    <row r="37" spans="1:26" s="116" customFormat="1" ht="15.75" customHeight="1">
      <c r="A37" s="119"/>
      <c r="B37" s="119" t="s">
        <v>1264</v>
      </c>
      <c r="C37" s="125">
        <f>M285</f>
        <v>0.65</v>
      </c>
      <c r="D37" s="125">
        <f t="shared" ref="D37:J37" si="36">N285</f>
        <v>0.68115232777726742</v>
      </c>
      <c r="E37" s="125">
        <f t="shared" si="36"/>
        <v>0.6914827957252625</v>
      </c>
      <c r="F37" s="125">
        <f t="shared" si="36"/>
        <v>0.71756308290481785</v>
      </c>
      <c r="G37" s="125">
        <f t="shared" si="36"/>
        <v>0.73624386271745257</v>
      </c>
      <c r="H37" s="125">
        <f t="shared" si="36"/>
        <v>0.7488896641844982</v>
      </c>
      <c r="I37" s="125">
        <f t="shared" si="36"/>
        <v>0.75531355865719407</v>
      </c>
      <c r="J37" s="125">
        <f t="shared" si="36"/>
        <v>0.75886479891283121</v>
      </c>
      <c r="K37" s="125">
        <f>J37</f>
        <v>0.75886479891283121</v>
      </c>
      <c r="L37" s="125">
        <f>K37</f>
        <v>0.75886479891283121</v>
      </c>
      <c r="M37" s="125">
        <f>L37</f>
        <v>0.75886479891283121</v>
      </c>
      <c r="N37" s="117"/>
      <c r="O37" s="117"/>
    </row>
    <row r="38" spans="1:26" s="116" customFormat="1" ht="15.75" customHeight="1">
      <c r="A38" s="119"/>
      <c r="B38" s="119"/>
      <c r="C38" s="120"/>
      <c r="D38" s="120"/>
      <c r="E38" s="120"/>
      <c r="F38" s="120"/>
      <c r="G38" s="120"/>
      <c r="H38" s="120"/>
      <c r="I38" s="120"/>
      <c r="J38" s="120"/>
      <c r="K38" s="120"/>
      <c r="L38" s="120"/>
      <c r="M38" s="120"/>
      <c r="N38" s="117"/>
      <c r="O38" s="117"/>
    </row>
    <row r="39" spans="1:26" s="116" customFormat="1" ht="15.75" customHeight="1">
      <c r="A39" s="119" t="s">
        <v>1251</v>
      </c>
      <c r="B39" s="119" t="s">
        <v>1252</v>
      </c>
      <c r="C39" s="126">
        <f>C22*C40</f>
        <v>0.16276879278301723</v>
      </c>
      <c r="D39" s="126">
        <f t="shared" ref="D39:J39" si="37">D22*D40</f>
        <v>0.17937418423259485</v>
      </c>
      <c r="E39" s="126">
        <f t="shared" si="37"/>
        <v>0.20038342477893084</v>
      </c>
      <c r="F39" s="126">
        <f t="shared" si="37"/>
        <v>0.21958905357635819</v>
      </c>
      <c r="G39" s="126">
        <f t="shared" si="37"/>
        <v>0.23799930046393844</v>
      </c>
      <c r="H39" s="126">
        <f t="shared" si="37"/>
        <v>0.25710863949090351</v>
      </c>
      <c r="I39" s="126">
        <f t="shared" si="37"/>
        <v>0.27626008740781433</v>
      </c>
      <c r="J39" s="126">
        <f t="shared" si="37"/>
        <v>0.2880666453094714</v>
      </c>
      <c r="K39" s="126">
        <f t="shared" ref="K39" si="38">K22*K40</f>
        <v>0.30037778138162402</v>
      </c>
      <c r="L39" s="126">
        <f t="shared" ref="L39" si="39">L22*L40</f>
        <v>0.31321505983733594</v>
      </c>
      <c r="M39" s="126">
        <f t="shared" ref="M39" si="40">M22*M40</f>
        <v>0.32660096648182896</v>
      </c>
      <c r="N39" s="117"/>
      <c r="O39" s="117"/>
    </row>
    <row r="40" spans="1:26" s="116" customFormat="1" ht="15.75" customHeight="1">
      <c r="A40" s="119"/>
      <c r="B40" s="119" t="s">
        <v>1265</v>
      </c>
      <c r="C40" s="120">
        <f>'RTEKTY Conv'!H149</f>
        <v>0.41274057243344064</v>
      </c>
      <c r="D40" s="120">
        <f>C40*1.15</f>
        <v>0.47465165829845668</v>
      </c>
      <c r="E40" s="120">
        <f>D40*1.12</f>
        <v>0.53160985729427157</v>
      </c>
      <c r="F40" s="120">
        <f>E40*1.1</f>
        <v>0.58477084302369875</v>
      </c>
      <c r="G40" s="120">
        <f>F40*1.08</f>
        <v>0.63155251046559469</v>
      </c>
      <c r="H40" s="120">
        <f>G40*1.06</f>
        <v>0.66944566109353043</v>
      </c>
      <c r="I40" s="120">
        <f>H40*1.04</f>
        <v>0.6962234875372717</v>
      </c>
      <c r="J40" s="120">
        <f t="shared" ref="J40" si="41">I40</f>
        <v>0.6962234875372717</v>
      </c>
      <c r="K40" s="125">
        <f>J40</f>
        <v>0.6962234875372717</v>
      </c>
      <c r="L40" s="125">
        <f>K40</f>
        <v>0.6962234875372717</v>
      </c>
      <c r="M40" s="125">
        <f>L40</f>
        <v>0.6962234875372717</v>
      </c>
      <c r="N40" s="117"/>
      <c r="O40" s="117"/>
    </row>
    <row r="41" spans="1:26" s="116" customFormat="1" ht="15.75" customHeight="1">
      <c r="A41" s="119"/>
      <c r="B41" s="119"/>
      <c r="C41" s="120"/>
      <c r="D41" s="120"/>
      <c r="E41" s="120"/>
      <c r="F41" s="120"/>
      <c r="G41" s="120"/>
      <c r="H41" s="120"/>
      <c r="I41" s="120"/>
      <c r="J41" s="120"/>
      <c r="K41" s="120"/>
      <c r="L41" s="120"/>
      <c r="M41" s="120"/>
      <c r="N41" s="117"/>
      <c r="O41" s="120"/>
      <c r="P41" s="120"/>
      <c r="Q41" s="120"/>
      <c r="R41" s="120"/>
      <c r="S41" s="120"/>
    </row>
    <row r="42" spans="1:26" s="116" customFormat="1" ht="15.75" customHeight="1">
      <c r="A42" s="119" t="s">
        <v>1243</v>
      </c>
      <c r="B42" s="119" t="s">
        <v>1244</v>
      </c>
      <c r="C42" s="120">
        <f t="shared" ref="C42:M42" si="42">C7/$P$4</f>
        <v>0.46062251457680237</v>
      </c>
      <c r="D42" s="120">
        <f t="shared" si="42"/>
        <v>0.45100885213540381</v>
      </c>
      <c r="E42" s="120">
        <f t="shared" si="42"/>
        <v>0.47471153626103529</v>
      </c>
      <c r="F42" s="120">
        <f t="shared" si="42"/>
        <v>0.48901579387519067</v>
      </c>
      <c r="G42" s="120">
        <f t="shared" si="42"/>
        <v>0.50867316893473846</v>
      </c>
      <c r="H42" s="120">
        <f t="shared" si="42"/>
        <v>0.52768412957341837</v>
      </c>
      <c r="I42" s="120">
        <f t="shared" si="42"/>
        <v>0.54303238298171119</v>
      </c>
      <c r="J42" s="120">
        <f t="shared" si="42"/>
        <v>0.55856072782055166</v>
      </c>
      <c r="K42" s="120">
        <f t="shared" si="42"/>
        <v>0.5848846692322236</v>
      </c>
      <c r="L42" s="120">
        <f t="shared" si="42"/>
        <v>0.60462731635742006</v>
      </c>
      <c r="M42" s="120">
        <f t="shared" si="42"/>
        <v>0.62487147455023517</v>
      </c>
      <c r="N42" s="117"/>
      <c r="O42" s="120"/>
      <c r="P42" s="120"/>
      <c r="Q42" s="120"/>
      <c r="R42" s="120"/>
      <c r="S42" s="120"/>
    </row>
    <row r="43" spans="1:26" s="116" customFormat="1" ht="15.75" customHeight="1">
      <c r="A43" s="119"/>
      <c r="B43" s="119"/>
      <c r="C43" s="120"/>
      <c r="D43" s="120"/>
      <c r="E43" s="120"/>
      <c r="F43" s="120"/>
      <c r="G43" s="120"/>
      <c r="H43" s="120"/>
      <c r="I43" s="120"/>
      <c r="J43" s="120"/>
      <c r="K43" s="120"/>
      <c r="L43" s="120"/>
      <c r="M43" s="120"/>
      <c r="N43" s="117"/>
      <c r="O43" s="117"/>
    </row>
    <row r="44" spans="1:26" s="116" customFormat="1" ht="15.75" customHeight="1">
      <c r="A44" s="119"/>
      <c r="B44" s="40"/>
      <c r="C44" s="153"/>
      <c r="D44" s="153"/>
      <c r="E44" s="153"/>
      <c r="F44" s="153"/>
      <c r="G44" s="153"/>
      <c r="H44" s="153"/>
      <c r="I44" s="153"/>
      <c r="J44" s="153"/>
      <c r="K44" s="153"/>
      <c r="L44" s="153"/>
      <c r="M44" s="153"/>
      <c r="N44" s="117"/>
      <c r="O44" s="117"/>
      <c r="P44" s="117"/>
      <c r="Q44" s="117"/>
      <c r="R44" s="117"/>
      <c r="S44" s="117"/>
    </row>
    <row r="45" spans="1:26" s="116" customFormat="1" ht="15.75" customHeight="1">
      <c r="A45" s="119" t="s">
        <v>1245</v>
      </c>
      <c r="B45" s="119" t="s">
        <v>1246</v>
      </c>
      <c r="C45" s="120">
        <f t="shared" ref="C45:L45" si="43">C24*C46</f>
        <v>1.9189713746309272</v>
      </c>
      <c r="D45" s="120">
        <f t="shared" si="43"/>
        <v>2.12018</v>
      </c>
      <c r="E45" s="120">
        <f t="shared" si="43"/>
        <v>2.1486769999999997</v>
      </c>
      <c r="F45" s="120">
        <f t="shared" si="43"/>
        <v>2.2347159999999997</v>
      </c>
      <c r="G45" s="120">
        <f t="shared" si="43"/>
        <v>2.3443040000000002</v>
      </c>
      <c r="H45" s="120">
        <f t="shared" si="43"/>
        <v>2.486494</v>
      </c>
      <c r="I45" s="120">
        <f t="shared" si="43"/>
        <v>2.6405920000000003</v>
      </c>
      <c r="J45" s="120">
        <f t="shared" si="43"/>
        <v>2.8026279999999999</v>
      </c>
      <c r="K45" s="120">
        <f t="shared" si="43"/>
        <v>2.9746070980992134</v>
      </c>
      <c r="L45" s="120">
        <f t="shared" si="43"/>
        <v>3.1571394377213902</v>
      </c>
      <c r="M45" s="120">
        <f t="shared" ref="M45" si="44">M24*M46</f>
        <v>3.3508726028338427</v>
      </c>
      <c r="N45" s="117"/>
      <c r="O45" s="117"/>
    </row>
    <row r="46" spans="1:26" s="116" customFormat="1" ht="15.75" customHeight="1">
      <c r="A46" s="119"/>
      <c r="B46" s="119" t="s">
        <v>1266</v>
      </c>
      <c r="C46" s="120">
        <v>1</v>
      </c>
      <c r="D46" s="120">
        <v>1</v>
      </c>
      <c r="E46" s="120">
        <v>1</v>
      </c>
      <c r="F46" s="120">
        <v>1</v>
      </c>
      <c r="G46" s="120">
        <v>1</v>
      </c>
      <c r="H46" s="120">
        <v>1</v>
      </c>
      <c r="I46" s="120">
        <v>1</v>
      </c>
      <c r="J46" s="120">
        <v>1</v>
      </c>
      <c r="K46" s="120">
        <v>1</v>
      </c>
      <c r="L46" s="120">
        <v>1</v>
      </c>
      <c r="M46" s="120">
        <v>1</v>
      </c>
      <c r="N46" s="117"/>
      <c r="O46" s="117"/>
    </row>
    <row r="47" spans="1:26" s="116" customFormat="1" ht="15.75" customHeight="1">
      <c r="A47" s="119"/>
      <c r="B47" s="40"/>
      <c r="C47" s="153"/>
      <c r="D47" s="153"/>
      <c r="E47" s="153"/>
      <c r="F47" s="153"/>
      <c r="G47" s="153"/>
      <c r="H47" s="153"/>
      <c r="I47" s="153"/>
      <c r="J47" s="153"/>
      <c r="K47" s="153"/>
      <c r="L47" s="153"/>
      <c r="M47" s="153"/>
      <c r="N47" s="117"/>
      <c r="O47" s="117"/>
    </row>
    <row r="48" spans="1:26" s="116" customFormat="1" ht="15.75" customHeight="1">
      <c r="A48" s="119" t="s">
        <v>1239</v>
      </c>
      <c r="B48" s="119" t="s">
        <v>1240</v>
      </c>
      <c r="C48" s="126">
        <f>C25*C49</f>
        <v>4.8200966368051802E-2</v>
      </c>
      <c r="D48" s="126">
        <f t="shared" ref="D48:M48" si="45">D25*D49</f>
        <v>4.8246001876400338E-2</v>
      </c>
      <c r="E48" s="126">
        <f t="shared" si="45"/>
        <v>5.1064199499381693E-2</v>
      </c>
      <c r="F48" s="126">
        <f t="shared" si="45"/>
        <v>5.3259354412576475E-2</v>
      </c>
      <c r="G48" s="126">
        <f t="shared" si="45"/>
        <v>5.2529216012353892E-2</v>
      </c>
      <c r="H48" s="126">
        <f t="shared" si="45"/>
        <v>5.2049582552738331E-2</v>
      </c>
      <c r="I48" s="126">
        <f t="shared" si="45"/>
        <v>5.1922660049497443E-2</v>
      </c>
      <c r="J48" s="126">
        <f t="shared" si="45"/>
        <v>5.2608041566998241E-2</v>
      </c>
      <c r="K48" s="126">
        <f t="shared" si="45"/>
        <v>5.3302470152274149E-2</v>
      </c>
      <c r="L48" s="126">
        <f t="shared" si="45"/>
        <v>5.4006065227038817E-2</v>
      </c>
      <c r="M48" s="126">
        <f t="shared" si="45"/>
        <v>5.471894778937806E-2</v>
      </c>
      <c r="N48" s="117"/>
      <c r="O48" s="117"/>
    </row>
    <row r="49" spans="1:21" s="116" customFormat="1" ht="15.75" customHeight="1">
      <c r="A49" s="119"/>
      <c r="B49" s="119" t="s">
        <v>1267</v>
      </c>
      <c r="C49" s="120">
        <f>'RTEKTY Conv'!H163</f>
        <v>0.57705489683795952</v>
      </c>
      <c r="D49" s="120">
        <f>C49*1.05</f>
        <v>0.60590764167985756</v>
      </c>
      <c r="E49" s="120">
        <f t="shared" ref="E49:F49" si="46">D49*1.05</f>
        <v>0.63620302376385041</v>
      </c>
      <c r="F49" s="120">
        <f t="shared" si="46"/>
        <v>0.66801317495204293</v>
      </c>
      <c r="G49" s="120">
        <f>F49</f>
        <v>0.66801317495204293</v>
      </c>
      <c r="H49" s="120">
        <f t="shared" ref="H49:J49" si="47">G49</f>
        <v>0.66801317495204293</v>
      </c>
      <c r="I49" s="120">
        <f t="shared" si="47"/>
        <v>0.66801317495204293</v>
      </c>
      <c r="J49" s="120">
        <f t="shared" si="47"/>
        <v>0.66801317495204293</v>
      </c>
      <c r="K49" s="125">
        <f>J49</f>
        <v>0.66801317495204293</v>
      </c>
      <c r="L49" s="125">
        <f>K49</f>
        <v>0.66801317495204293</v>
      </c>
      <c r="M49" s="125">
        <f>L49</f>
        <v>0.66801317495204293</v>
      </c>
      <c r="N49" s="117"/>
      <c r="O49" s="117"/>
    </row>
    <row r="50" spans="1:21" s="116" customFormat="1" ht="15.75" customHeight="1">
      <c r="A50" s="119"/>
      <c r="B50" s="40"/>
      <c r="C50" s="153"/>
      <c r="D50" s="153"/>
      <c r="E50" s="153"/>
      <c r="F50" s="153"/>
      <c r="G50" s="153"/>
      <c r="H50" s="153"/>
      <c r="I50" s="153"/>
      <c r="J50" s="153"/>
      <c r="K50" s="153"/>
      <c r="L50" s="153"/>
      <c r="M50" s="153"/>
      <c r="N50" s="117"/>
      <c r="O50" s="117"/>
    </row>
    <row r="51" spans="1:21" s="116" customFormat="1" ht="15.75" customHeight="1">
      <c r="A51" s="119" t="s">
        <v>1247</v>
      </c>
      <c r="B51" s="119" t="s">
        <v>1248</v>
      </c>
      <c r="C51" s="120">
        <f t="shared" ref="C51:L51" si="48">C26*C52</f>
        <v>0.54846947103738763</v>
      </c>
      <c r="D51" s="120">
        <f t="shared" si="48"/>
        <v>0.50605</v>
      </c>
      <c r="E51" s="120">
        <f t="shared" si="48"/>
        <v>0.50491200000000003</v>
      </c>
      <c r="F51" s="120">
        <f t="shared" si="48"/>
        <v>0.50233899999999998</v>
      </c>
      <c r="G51" s="120">
        <f t="shared" si="48"/>
        <v>0.49863299999999999</v>
      </c>
      <c r="H51" s="120">
        <f t="shared" si="48"/>
        <v>0.49568200000000001</v>
      </c>
      <c r="I51" s="120">
        <f t="shared" si="48"/>
        <v>0.49400200000000005</v>
      </c>
      <c r="J51" s="120">
        <f t="shared" si="48"/>
        <v>0.49224299999999999</v>
      </c>
      <c r="K51" s="120">
        <f t="shared" si="48"/>
        <v>0.4904902632965048</v>
      </c>
      <c r="L51" s="120">
        <f t="shared" si="48"/>
        <v>0.48874376758770488</v>
      </c>
      <c r="M51" s="120">
        <f t="shared" ref="M51" si="49">M26*M52</f>
        <v>0.48700349065120097</v>
      </c>
      <c r="N51" s="117"/>
      <c r="O51" s="117"/>
    </row>
    <row r="52" spans="1:21" s="116" customFormat="1" ht="15.75" customHeight="1">
      <c r="A52" s="119"/>
      <c r="B52" s="119" t="s">
        <v>1268</v>
      </c>
      <c r="C52" s="120">
        <f t="shared" ref="C52:L52" si="50">C46</f>
        <v>1</v>
      </c>
      <c r="D52" s="120">
        <f t="shared" si="50"/>
        <v>1</v>
      </c>
      <c r="E52" s="120">
        <f t="shared" si="50"/>
        <v>1</v>
      </c>
      <c r="F52" s="120">
        <f t="shared" si="50"/>
        <v>1</v>
      </c>
      <c r="G52" s="120">
        <f t="shared" si="50"/>
        <v>1</v>
      </c>
      <c r="H52" s="120">
        <f t="shared" si="50"/>
        <v>1</v>
      </c>
      <c r="I52" s="120">
        <f t="shared" si="50"/>
        <v>1</v>
      </c>
      <c r="J52" s="120">
        <f t="shared" si="50"/>
        <v>1</v>
      </c>
      <c r="K52" s="120">
        <f t="shared" si="50"/>
        <v>1</v>
      </c>
      <c r="L52" s="120">
        <f t="shared" si="50"/>
        <v>1</v>
      </c>
      <c r="M52" s="120">
        <f t="shared" ref="M52" si="51">M46</f>
        <v>1</v>
      </c>
      <c r="N52" s="117"/>
      <c r="O52" s="117"/>
    </row>
    <row r="53" spans="1:21" s="116" customFormat="1" ht="15.75" customHeight="1">
      <c r="A53" s="119"/>
      <c r="B53" s="40"/>
      <c r="C53" s="153"/>
      <c r="D53" s="153"/>
      <c r="E53" s="153"/>
      <c r="F53" s="153"/>
      <c r="G53" s="153"/>
      <c r="H53" s="153"/>
      <c r="I53" s="153"/>
      <c r="J53" s="153"/>
      <c r="K53" s="153"/>
      <c r="L53" s="153"/>
      <c r="M53" s="153"/>
      <c r="N53" s="117"/>
      <c r="O53" s="117"/>
    </row>
    <row r="54" spans="1:21" s="116" customFormat="1" ht="15.75" customHeight="1">
      <c r="A54" s="119" t="s">
        <v>1249</v>
      </c>
      <c r="B54" s="119" t="s">
        <v>1250</v>
      </c>
      <c r="C54" s="120">
        <f t="shared" ref="C54:L54" si="52">C27*C55</f>
        <v>7.1476043164730108E-2</v>
      </c>
      <c r="D54" s="120">
        <f t="shared" si="52"/>
        <v>6.9137000000000004E-2</v>
      </c>
      <c r="E54" s="120">
        <f t="shared" si="52"/>
        <v>7.0837999999999998E-2</v>
      </c>
      <c r="F54" s="120">
        <f t="shared" si="52"/>
        <v>7.3138000000000009E-2</v>
      </c>
      <c r="G54" s="120">
        <f t="shared" si="52"/>
        <v>7.5325000000000003E-2</v>
      </c>
      <c r="H54" s="120">
        <f t="shared" si="52"/>
        <v>7.7984999999999999E-2</v>
      </c>
      <c r="I54" s="120">
        <f t="shared" si="52"/>
        <v>8.1033999999999995E-2</v>
      </c>
      <c r="J54" s="120">
        <f t="shared" si="52"/>
        <v>8.4222999999999992E-2</v>
      </c>
      <c r="K54" s="120">
        <f t="shared" si="52"/>
        <v>8.7537499432337032E-2</v>
      </c>
      <c r="L54" s="120">
        <f t="shared" si="52"/>
        <v>9.098243718303084E-2</v>
      </c>
      <c r="M54" s="120">
        <f t="shared" ref="M54" si="53">M27*M55</f>
        <v>9.4562946502287998E-2</v>
      </c>
      <c r="N54" s="117"/>
      <c r="O54" s="117"/>
    </row>
    <row r="55" spans="1:21" s="116" customFormat="1" ht="15.75" customHeight="1">
      <c r="A55" s="119"/>
      <c r="B55" s="119" t="s">
        <v>1268</v>
      </c>
      <c r="C55" s="120">
        <v>1</v>
      </c>
      <c r="D55" s="120">
        <v>1</v>
      </c>
      <c r="E55" s="120">
        <v>1</v>
      </c>
      <c r="F55" s="120">
        <v>1</v>
      </c>
      <c r="G55" s="120">
        <v>1</v>
      </c>
      <c r="H55" s="120">
        <v>1</v>
      </c>
      <c r="I55" s="120">
        <v>1</v>
      </c>
      <c r="J55" s="120">
        <v>1</v>
      </c>
      <c r="K55" s="120">
        <v>1</v>
      </c>
      <c r="L55" s="120">
        <v>1</v>
      </c>
      <c r="M55" s="120">
        <v>1</v>
      </c>
      <c r="N55" s="117"/>
      <c r="O55" s="117"/>
    </row>
    <row r="56" spans="1:21" s="116" customFormat="1" ht="15.75" customHeight="1">
      <c r="A56" s="119"/>
      <c r="B56" s="40"/>
      <c r="C56" s="153"/>
      <c r="D56" s="153"/>
      <c r="E56" s="153"/>
      <c r="F56" s="153"/>
      <c r="G56" s="153"/>
      <c r="H56" s="153"/>
      <c r="I56" s="153"/>
      <c r="J56" s="153"/>
      <c r="K56" s="153"/>
      <c r="L56" s="153"/>
      <c r="M56" s="153"/>
      <c r="N56" s="117"/>
      <c r="O56" s="117"/>
    </row>
    <row r="57" spans="1:21" s="116" customFormat="1" ht="15.75" customHeight="1">
      <c r="A57" s="119" t="s">
        <v>1236</v>
      </c>
      <c r="B57" s="119" t="s">
        <v>1237</v>
      </c>
      <c r="C57" s="120">
        <f t="shared" ref="C57:L57" si="54">C28*C58</f>
        <v>2.3654884529113773</v>
      </c>
      <c r="D57" s="120">
        <f t="shared" si="54"/>
        <v>2.7544946018195051</v>
      </c>
      <c r="E57" s="120">
        <f t="shared" si="54"/>
        <v>2.8404093009231826</v>
      </c>
      <c r="F57" s="120">
        <f t="shared" si="54"/>
        <v>3.226651430807999</v>
      </c>
      <c r="G57" s="120">
        <f t="shared" si="54"/>
        <v>3.6520160205221832</v>
      </c>
      <c r="H57" s="120">
        <f t="shared" si="54"/>
        <v>4.0354149833271089</v>
      </c>
      <c r="I57" s="120">
        <f t="shared" si="54"/>
        <v>4.4026693900219884</v>
      </c>
      <c r="J57" s="120">
        <f t="shared" si="54"/>
        <v>4.7664789802118364</v>
      </c>
      <c r="K57" s="120">
        <f t="shared" si="54"/>
        <v>5.1387074033787936</v>
      </c>
      <c r="L57" s="120">
        <f t="shared" si="54"/>
        <v>5.5400042436285846</v>
      </c>
      <c r="M57" s="120">
        <f t="shared" ref="M57" si="55">M28*M58</f>
        <v>5.9726395395157956</v>
      </c>
      <c r="N57" s="117"/>
      <c r="O57" s="117"/>
    </row>
    <row r="58" spans="1:21" s="116" customFormat="1" ht="15.75" customHeight="1">
      <c r="A58" s="119"/>
      <c r="B58" s="119" t="s">
        <v>1269</v>
      </c>
      <c r="C58" s="120">
        <f>M277</f>
        <v>2.88</v>
      </c>
      <c r="D58" s="120">
        <f t="shared" ref="D58:J58" si="56">N277</f>
        <v>3.2425350350087405</v>
      </c>
      <c r="E58" s="120">
        <f t="shared" si="56"/>
        <v>3.3614470375282046</v>
      </c>
      <c r="F58" s="120">
        <f t="shared" si="56"/>
        <v>3.543457820728007</v>
      </c>
      <c r="G58" s="120">
        <f t="shared" si="56"/>
        <v>3.661135910074178</v>
      </c>
      <c r="H58" s="120">
        <f t="shared" si="56"/>
        <v>3.7087620564437676</v>
      </c>
      <c r="I58" s="120">
        <f t="shared" si="56"/>
        <v>3.7312654796192932</v>
      </c>
      <c r="J58" s="120">
        <f t="shared" si="56"/>
        <v>3.7469815147665733</v>
      </c>
      <c r="K58" s="120">
        <f>J58</f>
        <v>3.7469815147665733</v>
      </c>
      <c r="L58" s="120">
        <f>K58</f>
        <v>3.7469815147665733</v>
      </c>
      <c r="M58" s="120">
        <f>L58</f>
        <v>3.7469815147665733</v>
      </c>
      <c r="N58" s="117"/>
      <c r="O58" s="117"/>
    </row>
    <row r="59" spans="1:21" s="116" customFormat="1" ht="15.75" customHeight="1">
      <c r="A59" s="119"/>
      <c r="B59" s="40"/>
      <c r="C59" s="153"/>
      <c r="D59" s="153"/>
      <c r="E59" s="153"/>
      <c r="F59" s="153"/>
      <c r="G59" s="153"/>
      <c r="H59" s="153"/>
      <c r="I59" s="153"/>
      <c r="J59" s="153"/>
      <c r="K59" s="153"/>
      <c r="L59" s="153"/>
      <c r="M59" s="153"/>
      <c r="N59" s="117"/>
      <c r="O59" s="117"/>
    </row>
    <row r="60" spans="1:21" s="116" customFormat="1" ht="15.75" customHeight="1">
      <c r="B60" s="119" t="s">
        <v>1270</v>
      </c>
      <c r="C60" s="120">
        <f t="shared" ref="C60:L60" si="57">C33+C36+C42+C45+C51+C57</f>
        <v>11.378671141842634</v>
      </c>
      <c r="D60" s="120">
        <f t="shared" si="57"/>
        <v>11.885622771981501</v>
      </c>
      <c r="E60" s="120">
        <f t="shared" si="57"/>
        <v>11.878825852493021</v>
      </c>
      <c r="F60" s="120">
        <f t="shared" si="57"/>
        <v>12.455019842658507</v>
      </c>
      <c r="G60" s="120">
        <f t="shared" si="57"/>
        <v>13.05935104692664</v>
      </c>
      <c r="H60" s="120">
        <f t="shared" si="57"/>
        <v>13.5808140297511</v>
      </c>
      <c r="I60" s="120">
        <f t="shared" si="57"/>
        <v>14.017955476163788</v>
      </c>
      <c r="J60" s="120">
        <f t="shared" si="57"/>
        <v>14.439997916122744</v>
      </c>
      <c r="K60" s="120">
        <f t="shared" si="57"/>
        <v>14.821823448326562</v>
      </c>
      <c r="L60" s="120">
        <f t="shared" si="57"/>
        <v>15.242919526241362</v>
      </c>
      <c r="M60" s="120">
        <f t="shared" ref="M60" si="58">M33+M36+M42+M45+M51+M57</f>
        <v>15.713074374295928</v>
      </c>
      <c r="N60" s="117"/>
      <c r="O60" s="117"/>
    </row>
    <row r="61" spans="1:21" s="116" customFormat="1" ht="15.75" customHeight="1">
      <c r="A61" s="119"/>
      <c r="B61" s="40"/>
      <c r="C61" s="153"/>
      <c r="D61" s="153"/>
      <c r="E61" s="153"/>
      <c r="F61" s="153"/>
      <c r="G61" s="153"/>
      <c r="H61" s="153"/>
      <c r="I61" s="153"/>
      <c r="J61" s="153"/>
      <c r="K61" s="153"/>
      <c r="L61" s="153"/>
      <c r="M61" s="153"/>
      <c r="N61" s="117"/>
      <c r="O61" s="117"/>
    </row>
    <row r="62" spans="1:21" s="25" customFormat="1">
      <c r="A62" s="117"/>
      <c r="B62" s="117"/>
      <c r="C62" s="117"/>
      <c r="D62" s="46"/>
      <c r="E62" s="117"/>
      <c r="F62" s="117"/>
      <c r="G62" s="117"/>
      <c r="H62" s="117"/>
      <c r="I62" s="117"/>
      <c r="J62" s="117"/>
      <c r="K62" s="117"/>
      <c r="L62" s="117"/>
      <c r="M62" s="117"/>
      <c r="N62" s="117"/>
      <c r="O62" s="117"/>
      <c r="P62" s="153"/>
      <c r="Q62" s="660"/>
      <c r="R62" s="660"/>
      <c r="S62" s="660"/>
      <c r="T62" s="660"/>
      <c r="U62" s="153"/>
    </row>
    <row r="63" spans="1:21" s="25" customFormat="1" ht="11.25" customHeight="1">
      <c r="A63" s="652" t="s">
        <v>1271</v>
      </c>
      <c r="B63" s="660"/>
      <c r="C63" s="660"/>
      <c r="D63" s="660"/>
      <c r="E63" s="660"/>
      <c r="F63" s="660"/>
      <c r="G63" s="660"/>
      <c r="H63" s="660"/>
      <c r="I63" s="660"/>
      <c r="J63" s="660"/>
      <c r="K63" s="660"/>
      <c r="L63" s="660"/>
      <c r="M63" s="660"/>
      <c r="N63" s="117"/>
      <c r="O63" s="117"/>
      <c r="P63" s="117"/>
      <c r="Q63" s="117"/>
      <c r="R63" s="117"/>
      <c r="S63" s="117"/>
      <c r="T63" s="117"/>
      <c r="U63" s="117"/>
    </row>
    <row r="64" spans="1:21" s="25" customFormat="1" ht="13">
      <c r="A64" s="660"/>
      <c r="B64" s="656"/>
      <c r="C64" s="654">
        <v>2005</v>
      </c>
      <c r="D64" s="654">
        <v>2010</v>
      </c>
      <c r="E64" s="654">
        <v>2015</v>
      </c>
      <c r="F64" s="654">
        <v>2020</v>
      </c>
      <c r="G64" s="654">
        <v>2025</v>
      </c>
      <c r="H64" s="654">
        <v>2030</v>
      </c>
      <c r="I64" s="654">
        <v>2035</v>
      </c>
      <c r="J64" s="654">
        <v>2040</v>
      </c>
      <c r="K64" s="654">
        <v>2045</v>
      </c>
      <c r="L64" s="654">
        <v>2050</v>
      </c>
      <c r="M64" s="654">
        <v>2050</v>
      </c>
      <c r="N64" s="660"/>
      <c r="O64" s="117"/>
      <c r="P64" s="117"/>
      <c r="Q64" s="117"/>
      <c r="R64" s="117"/>
      <c r="S64" s="117"/>
      <c r="T64" s="117"/>
      <c r="U64" s="117"/>
    </row>
    <row r="65" spans="1:26" s="25" customFormat="1">
      <c r="A65" s="660"/>
      <c r="B65" s="660"/>
      <c r="C65" s="660"/>
      <c r="D65" s="660"/>
      <c r="E65" s="660"/>
      <c r="F65" s="660"/>
      <c r="G65" s="660"/>
      <c r="H65" s="660"/>
      <c r="I65" s="660"/>
      <c r="J65" s="660"/>
      <c r="K65" s="660"/>
      <c r="L65" s="660"/>
      <c r="M65" s="660"/>
      <c r="N65" s="660"/>
      <c r="O65" s="117"/>
      <c r="P65" s="660"/>
      <c r="Q65" s="660"/>
      <c r="R65" s="660"/>
      <c r="S65" s="660"/>
      <c r="T65" s="660"/>
      <c r="U65" s="660"/>
      <c r="V65" s="660"/>
      <c r="W65" s="660"/>
      <c r="X65" s="660"/>
      <c r="Y65" s="660"/>
      <c r="Z65" s="660"/>
    </row>
    <row r="66" spans="1:26" s="25" customFormat="1">
      <c r="A66" s="660"/>
      <c r="B66" s="660"/>
      <c r="C66" s="660" t="s">
        <v>1572</v>
      </c>
      <c r="D66" s="660" t="s">
        <v>79</v>
      </c>
      <c r="E66" s="660"/>
      <c r="F66" s="660" t="s">
        <v>1272</v>
      </c>
      <c r="G66" s="660"/>
      <c r="H66" s="660"/>
      <c r="I66" s="660" t="s">
        <v>1573</v>
      </c>
      <c r="J66" s="660"/>
      <c r="K66" s="660"/>
      <c r="L66" s="660" t="s">
        <v>1274</v>
      </c>
      <c r="M66" s="660"/>
      <c r="N66" s="660"/>
      <c r="O66" s="660"/>
      <c r="P66" s="660"/>
      <c r="Q66" s="660"/>
      <c r="R66" s="660"/>
      <c r="S66" s="660"/>
      <c r="T66" s="660"/>
      <c r="U66" s="660"/>
      <c r="V66" s="660"/>
      <c r="W66" s="660"/>
      <c r="X66" s="660"/>
      <c r="Y66" s="660"/>
      <c r="Z66" s="660"/>
    </row>
    <row r="67" spans="1:26" s="25" customFormat="1">
      <c r="A67" s="660" t="e">
        <f>$H$72*C67</f>
        <v>#REF!</v>
      </c>
      <c r="B67" s="189" t="s">
        <v>1275</v>
      </c>
      <c r="C67" s="365">
        <f>'AEO14 RLT Techs'!B157*1.058/100</f>
        <v>0.60306000000000004</v>
      </c>
      <c r="D67" s="364">
        <f>'RTEKTY Conv'!G177</f>
        <v>0.45981100563498845</v>
      </c>
      <c r="E67" s="660">
        <f>C67/D67</f>
        <v>1.3115388553329383</v>
      </c>
      <c r="F67" s="42">
        <f>1/(C67/D67+C68/D68+C69/D69+C70/D70+C71/D71)</f>
        <v>0.64118024481071334</v>
      </c>
      <c r="G67" s="660"/>
      <c r="H67" s="660"/>
      <c r="I67" s="34">
        <f>F67*C23*'Conv Factors'!B15</f>
        <v>491.60128823788079</v>
      </c>
      <c r="J67" s="660"/>
      <c r="K67" s="660"/>
      <c r="L67" s="660">
        <f>I67*10^12/ResCalc!C75/ResCalc!C62</f>
        <v>94450.96432501213</v>
      </c>
      <c r="M67" s="660"/>
      <c r="N67" s="660"/>
      <c r="O67" s="660"/>
      <c r="P67" s="660"/>
      <c r="Q67" s="660"/>
      <c r="R67" s="660"/>
      <c r="S67" s="660"/>
      <c r="T67" s="660"/>
      <c r="U67" s="660"/>
      <c r="V67" s="660"/>
      <c r="W67" s="660"/>
      <c r="X67" s="660"/>
      <c r="Y67" s="660"/>
      <c r="Z67" s="660"/>
    </row>
    <row r="68" spans="1:26" s="25" customFormat="1">
      <c r="A68" s="660" t="e">
        <f t="shared" ref="A68:A71" si="59">$H$72*C68</f>
        <v>#REF!</v>
      </c>
      <c r="B68" s="189" t="s">
        <v>1276</v>
      </c>
      <c r="C68" s="365">
        <f>'AEO14 RLT Techs'!C157*0.9/100</f>
        <v>0.11700000000000001</v>
      </c>
      <c r="D68" s="364">
        <f>'RTEKTY Conv'!G181</f>
        <v>2.1309861778393948</v>
      </c>
      <c r="E68" s="660">
        <f t="shared" ref="E68:E71" si="60">C68/D68</f>
        <v>5.4904157153485719E-2</v>
      </c>
      <c r="F68" s="660"/>
      <c r="G68" s="660"/>
      <c r="H68" s="660"/>
      <c r="I68" s="660"/>
      <c r="J68" s="660"/>
      <c r="K68" s="660"/>
      <c r="L68" s="660"/>
      <c r="M68" s="660"/>
      <c r="N68" s="660"/>
      <c r="O68" s="660"/>
      <c r="P68" s="660"/>
      <c r="Q68" s="660"/>
      <c r="R68" s="660"/>
      <c r="S68" s="660"/>
      <c r="T68" s="660"/>
      <c r="U68" s="660"/>
      <c r="V68" s="660"/>
      <c r="W68" s="660"/>
      <c r="X68" s="660"/>
      <c r="Y68" s="660"/>
      <c r="Z68" s="660"/>
    </row>
    <row r="69" spans="1:26" s="25" customFormat="1">
      <c r="A69" s="660" t="e">
        <f t="shared" si="59"/>
        <v>#REF!</v>
      </c>
      <c r="B69" s="189" t="s">
        <v>1277</v>
      </c>
      <c r="C69" s="365">
        <f>'AEO14 RLT Techs'!E157/100</f>
        <v>0.18</v>
      </c>
      <c r="D69" s="364">
        <f>'RTEKTY Conv'!G220</f>
        <v>2.0009706521081223</v>
      </c>
      <c r="E69" s="660">
        <f t="shared" si="60"/>
        <v>8.9956341843575274E-2</v>
      </c>
      <c r="F69" s="660"/>
      <c r="G69" s="660"/>
      <c r="H69" s="660"/>
      <c r="I69" s="660"/>
      <c r="J69" s="660"/>
      <c r="K69" s="660"/>
      <c r="L69" s="660"/>
      <c r="M69" s="660"/>
      <c r="N69" s="660"/>
      <c r="O69" s="660"/>
      <c r="P69" s="660"/>
      <c r="Q69" s="660"/>
      <c r="R69" s="660"/>
      <c r="S69" s="660"/>
      <c r="T69" s="660"/>
      <c r="U69" s="660"/>
      <c r="V69" s="660"/>
      <c r="W69" s="660"/>
      <c r="X69" s="660"/>
      <c r="Y69" s="660"/>
      <c r="Z69" s="660"/>
    </row>
    <row r="70" spans="1:26" s="25" customFormat="1">
      <c r="A70" s="660" t="e">
        <f t="shared" si="59"/>
        <v>#REF!</v>
      </c>
      <c r="B70" s="189" t="s">
        <v>1278</v>
      </c>
      <c r="C70" s="365">
        <v>0.05</v>
      </c>
      <c r="D70" s="364">
        <f>'RTEKTY Conv'!G195</f>
        <v>0.76793723125015889</v>
      </c>
      <c r="E70" s="660">
        <f t="shared" si="60"/>
        <v>6.5109488074439101E-2</v>
      </c>
      <c r="F70" s="660"/>
      <c r="G70" s="660"/>
      <c r="H70" s="660"/>
      <c r="I70" s="660"/>
      <c r="J70" s="660"/>
      <c r="K70" s="660"/>
      <c r="L70" s="660"/>
      <c r="M70" s="660"/>
      <c r="N70" s="660"/>
      <c r="O70" s="660"/>
      <c r="P70" s="660"/>
      <c r="Q70" s="660"/>
      <c r="R70" s="660"/>
      <c r="S70" s="660"/>
      <c r="T70" s="660"/>
      <c r="U70" s="660"/>
      <c r="V70" s="660"/>
      <c r="W70" s="660"/>
      <c r="X70" s="660"/>
      <c r="Y70" s="660"/>
      <c r="Z70" s="660"/>
    </row>
    <row r="71" spans="1:26" s="25" customFormat="1">
      <c r="A71" s="660" t="e">
        <f t="shared" si="59"/>
        <v>#REF!</v>
      </c>
      <c r="B71" s="189" t="s">
        <v>1279</v>
      </c>
      <c r="C71" s="365">
        <v>4.9939999999999998E-2</v>
      </c>
      <c r="D71" s="364">
        <f>'RTEKTY Conv'!G229</f>
        <v>1.3102451539881022</v>
      </c>
      <c r="E71" s="660">
        <f t="shared" si="60"/>
        <v>3.8115004545518423E-2</v>
      </c>
      <c r="F71" s="660"/>
      <c r="G71" s="660"/>
      <c r="H71" s="660"/>
      <c r="I71" s="660"/>
      <c r="J71" s="660"/>
      <c r="K71" s="660"/>
      <c r="L71" s="660"/>
      <c r="M71" s="660"/>
      <c r="N71" s="660"/>
      <c r="O71" s="660"/>
      <c r="P71" s="660"/>
      <c r="Q71" s="660"/>
      <c r="R71" s="660"/>
      <c r="S71" s="660"/>
      <c r="T71" s="660"/>
      <c r="U71" s="660"/>
      <c r="V71" s="660"/>
      <c r="W71" s="660"/>
      <c r="X71" s="660"/>
      <c r="Y71" s="660"/>
      <c r="Z71" s="660"/>
    </row>
    <row r="72" spans="1:26" s="25" customFormat="1">
      <c r="A72" s="660"/>
      <c r="B72" s="189"/>
      <c r="C72" s="365">
        <f>SUM(C67:C71)</f>
        <v>1.0000000000000002</v>
      </c>
      <c r="D72" s="364"/>
      <c r="E72" s="660">
        <f>SUM(E67:E71)</f>
        <v>1.559623846949957</v>
      </c>
      <c r="F72" s="660"/>
      <c r="G72" s="400" t="e">
        <f>'2010 Fuel Share'!F72</f>
        <v>#REF!</v>
      </c>
      <c r="H72" s="397" t="e">
        <f>G72*F67</f>
        <v>#REF!</v>
      </c>
      <c r="I72" s="394" t="e">
        <f>H72</f>
        <v>#REF!</v>
      </c>
      <c r="J72" s="660"/>
      <c r="K72" s="660"/>
      <c r="L72" s="660"/>
      <c r="M72" s="660"/>
      <c r="N72" s="660"/>
      <c r="O72" s="660"/>
      <c r="P72" s="660"/>
      <c r="Q72" s="660"/>
      <c r="R72" s="660"/>
      <c r="S72" s="660"/>
      <c r="T72" s="660"/>
      <c r="U72" s="660"/>
      <c r="V72" s="660"/>
      <c r="W72" s="660"/>
      <c r="X72" s="660"/>
      <c r="Y72" s="660"/>
      <c r="Z72" s="660"/>
    </row>
    <row r="73" spans="1:26" s="25" customFormat="1" ht="13">
      <c r="A73" s="660"/>
      <c r="B73" s="652" t="s">
        <v>1281</v>
      </c>
      <c r="C73" s="660"/>
      <c r="D73" s="660"/>
      <c r="E73" s="660"/>
      <c r="F73" s="660" t="s">
        <v>1574</v>
      </c>
      <c r="G73" s="660"/>
      <c r="H73" s="660"/>
      <c r="I73" s="660"/>
      <c r="J73" s="660"/>
      <c r="K73" s="660"/>
      <c r="L73" s="660"/>
      <c r="M73" s="660"/>
      <c r="N73" s="660"/>
      <c r="O73" s="660"/>
      <c r="P73" s="660"/>
      <c r="Q73" s="660"/>
      <c r="R73" s="660"/>
      <c r="S73" s="660"/>
      <c r="T73" s="660"/>
      <c r="U73" s="660"/>
      <c r="V73" s="660"/>
      <c r="W73" s="660"/>
      <c r="X73" s="660"/>
      <c r="Y73" s="660"/>
      <c r="Z73" s="660"/>
    </row>
    <row r="74" spans="1:26" s="25" customFormat="1">
      <c r="A74" s="660"/>
      <c r="B74" s="660" t="s">
        <v>1282</v>
      </c>
      <c r="C74" s="660"/>
      <c r="D74" s="660"/>
      <c r="E74" s="660"/>
      <c r="F74" s="660"/>
      <c r="G74" s="660"/>
      <c r="H74" s="660"/>
      <c r="I74" s="660"/>
      <c r="J74" s="660"/>
      <c r="K74" s="660"/>
      <c r="L74" s="660"/>
      <c r="M74" s="660"/>
      <c r="N74" s="660"/>
      <c r="O74" s="660"/>
      <c r="P74" s="660"/>
      <c r="Q74" s="660"/>
      <c r="R74" s="660"/>
      <c r="S74" s="660"/>
      <c r="T74" s="660"/>
      <c r="U74" s="660"/>
      <c r="V74" s="660"/>
      <c r="W74" s="117"/>
      <c r="X74" s="660"/>
      <c r="Y74" s="660"/>
      <c r="Z74" s="660"/>
    </row>
    <row r="75" spans="1:26">
      <c r="A75" s="660"/>
      <c r="B75" s="660"/>
      <c r="C75" s="660"/>
      <c r="D75" s="660"/>
      <c r="E75" s="660"/>
      <c r="F75" s="660"/>
      <c r="G75" s="660"/>
      <c r="H75" s="660"/>
      <c r="I75" s="660"/>
      <c r="J75" s="660"/>
      <c r="K75" s="660"/>
      <c r="L75" s="660"/>
      <c r="M75" s="660"/>
      <c r="N75" s="660"/>
      <c r="O75" s="660"/>
      <c r="P75" s="660"/>
      <c r="Q75" s="660"/>
      <c r="R75" s="660"/>
      <c r="S75" s="660"/>
      <c r="T75" s="660"/>
      <c r="U75" s="660"/>
      <c r="V75" s="660"/>
    </row>
    <row r="76" spans="1:26" ht="13">
      <c r="O76" s="660"/>
      <c r="P76" s="660"/>
      <c r="Q76" s="660"/>
      <c r="R76" s="660"/>
      <c r="S76" s="660"/>
      <c r="T76" s="660"/>
      <c r="U76" s="660"/>
      <c r="V76" s="660"/>
      <c r="W76" s="113" t="s">
        <v>127</v>
      </c>
    </row>
    <row r="77" spans="1:26">
      <c r="O77" s="660"/>
      <c r="P77" s="660"/>
      <c r="Q77" s="660"/>
      <c r="R77" s="660"/>
      <c r="S77" s="660"/>
      <c r="T77" s="660"/>
      <c r="U77" s="660"/>
      <c r="V77" s="660"/>
      <c r="W77" s="660"/>
      <c r="X77" s="660"/>
      <c r="Y77" s="660"/>
      <c r="Z77" s="660"/>
    </row>
    <row r="78" spans="1:26" ht="13">
      <c r="A78" s="694" t="s">
        <v>1283</v>
      </c>
      <c r="B78" s="694"/>
      <c r="C78" s="116">
        <v>2005</v>
      </c>
      <c r="D78" s="116">
        <v>2010</v>
      </c>
      <c r="E78" s="116">
        <v>2015</v>
      </c>
      <c r="F78" s="116">
        <v>2020</v>
      </c>
      <c r="G78" s="116">
        <v>2025</v>
      </c>
      <c r="H78" s="116">
        <v>2030</v>
      </c>
      <c r="I78" s="116">
        <v>2035</v>
      </c>
      <c r="J78" s="116">
        <v>2040</v>
      </c>
      <c r="K78" s="660"/>
      <c r="L78" s="660"/>
      <c r="M78" s="660"/>
      <c r="N78" s="660"/>
      <c r="O78" s="660"/>
      <c r="P78" s="660"/>
      <c r="Q78" s="660"/>
      <c r="R78" s="660"/>
      <c r="S78" s="660"/>
      <c r="T78" s="660"/>
      <c r="U78" s="660"/>
      <c r="V78" s="660"/>
      <c r="W78" s="660"/>
      <c r="X78" s="660"/>
      <c r="Y78" s="660"/>
    </row>
    <row r="79" spans="1:26">
      <c r="B79" s="117" t="s">
        <v>1284</v>
      </c>
      <c r="C79" s="124">
        <f>C120*(C215*C260+C216*1)/(C215+C216)</f>
        <v>0.4156645247155184</v>
      </c>
      <c r="D79" s="124">
        <f>D120*(D215*D260+D216*1)/(D215+D216)</f>
        <v>0.4819196625201026</v>
      </c>
      <c r="E79" s="124">
        <f t="shared" ref="E79:I79" si="61">E120*(E215*E260+E216*1)/(E215+E216)</f>
        <v>0.47427309289319791</v>
      </c>
      <c r="F79" s="124">
        <f t="shared" si="61"/>
        <v>0.4941324350922125</v>
      </c>
      <c r="G79" s="124">
        <f t="shared" si="61"/>
        <v>0.51202570937051195</v>
      </c>
      <c r="H79" s="124">
        <f t="shared" si="61"/>
        <v>0.52011329272199047</v>
      </c>
      <c r="I79" s="124">
        <f t="shared" si="61"/>
        <v>0.51957421596742337</v>
      </c>
      <c r="J79" s="124">
        <f t="shared" ref="J79" si="62">J120*(J215*J260+J216*1)/(J215+J216)</f>
        <v>0.51538860663045127</v>
      </c>
      <c r="K79" s="124"/>
      <c r="L79" s="124"/>
      <c r="M79" s="124"/>
      <c r="N79" s="660"/>
      <c r="O79" s="660"/>
      <c r="P79" s="660"/>
      <c r="Q79" s="660"/>
      <c r="R79" s="660"/>
      <c r="S79" s="660"/>
      <c r="T79" s="660"/>
      <c r="U79" s="660"/>
      <c r="V79" s="660"/>
      <c r="W79" s="660"/>
      <c r="X79" s="660"/>
      <c r="Y79" s="660"/>
    </row>
    <row r="80" spans="1:26">
      <c r="B80" s="117" t="s">
        <v>1285</v>
      </c>
      <c r="C80" s="124">
        <f>C137*C263</f>
        <v>2.7154832834257245</v>
      </c>
      <c r="D80" s="124">
        <f>D137*D263</f>
        <v>2.641255617224</v>
      </c>
      <c r="E80" s="124">
        <f t="shared" ref="E80:I80" si="63">E137*E263</f>
        <v>2.41778039647</v>
      </c>
      <c r="F80" s="124">
        <f t="shared" si="63"/>
        <v>2.4067489385700003</v>
      </c>
      <c r="G80" s="124">
        <f t="shared" si="63"/>
        <v>2.3757899961839999</v>
      </c>
      <c r="H80" s="124">
        <f t="shared" si="63"/>
        <v>2.3309492223999997</v>
      </c>
      <c r="I80" s="124">
        <f t="shared" si="63"/>
        <v>2.2713042353100001</v>
      </c>
      <c r="J80" s="124">
        <f t="shared" ref="J80" si="64">J137*J263</f>
        <v>2.2066748638</v>
      </c>
      <c r="K80" s="124"/>
      <c r="L80" s="124"/>
      <c r="M80" s="124"/>
      <c r="N80" s="660"/>
      <c r="O80" s="660"/>
      <c r="P80" s="660"/>
      <c r="Q80" s="660"/>
      <c r="R80" s="660"/>
      <c r="S80" s="660"/>
      <c r="T80" s="660"/>
      <c r="U80" s="660"/>
      <c r="V80" s="660"/>
      <c r="W80" s="660"/>
      <c r="X80" s="660"/>
      <c r="Y80" s="660"/>
    </row>
    <row r="81" spans="1:70">
      <c r="B81" s="117" t="s">
        <v>1286</v>
      </c>
      <c r="C81" s="124">
        <f>C146*C264</f>
        <v>0.53130998611450175</v>
      </c>
      <c r="D81" s="124">
        <f>D146*D264</f>
        <v>0.39045004999999999</v>
      </c>
      <c r="E81" s="124">
        <f t="shared" ref="E81:I81" si="65">E145*E264</f>
        <v>0</v>
      </c>
      <c r="F81" s="124">
        <f t="shared" si="65"/>
        <v>0</v>
      </c>
      <c r="G81" s="124">
        <f t="shared" si="65"/>
        <v>0</v>
      </c>
      <c r="H81" s="124">
        <f t="shared" si="65"/>
        <v>0</v>
      </c>
      <c r="I81" s="124">
        <f t="shared" si="65"/>
        <v>0</v>
      </c>
      <c r="J81" s="124">
        <f t="shared" ref="J81" si="66">J145*J264</f>
        <v>0</v>
      </c>
      <c r="K81" s="124"/>
      <c r="L81" s="124"/>
      <c r="M81" s="124"/>
      <c r="N81" s="660"/>
      <c r="O81" s="660"/>
      <c r="P81" s="660"/>
      <c r="Q81" s="660"/>
      <c r="R81" s="660"/>
      <c r="S81" s="660"/>
      <c r="T81" s="660"/>
      <c r="U81" s="660"/>
      <c r="V81" s="660"/>
      <c r="W81" s="660"/>
      <c r="X81" s="660"/>
      <c r="Y81" s="660"/>
    </row>
    <row r="82" spans="1:70">
      <c r="B82" s="117" t="s">
        <v>1287</v>
      </c>
      <c r="C82" s="124">
        <f>C152*0.78</f>
        <v>0.28860000000000002</v>
      </c>
      <c r="D82" s="124">
        <f>D152*0.78</f>
        <v>0.28519218000000002</v>
      </c>
      <c r="E82" s="124">
        <f t="shared" ref="E82:I82" si="67">E150*0.78</f>
        <v>0</v>
      </c>
      <c r="F82" s="124">
        <f t="shared" si="67"/>
        <v>0</v>
      </c>
      <c r="G82" s="124">
        <f t="shared" si="67"/>
        <v>0</v>
      </c>
      <c r="H82" s="124">
        <f t="shared" si="67"/>
        <v>0</v>
      </c>
      <c r="I82" s="124">
        <f t="shared" si="67"/>
        <v>0</v>
      </c>
      <c r="J82" s="124">
        <f t="shared" ref="J82" si="68">J150*0.78</f>
        <v>0</v>
      </c>
      <c r="K82" s="124"/>
      <c r="L82" s="124"/>
      <c r="M82" s="124"/>
      <c r="N82" s="660"/>
      <c r="O82" s="660"/>
      <c r="P82" s="660"/>
      <c r="Q82" s="660"/>
      <c r="R82" s="660"/>
      <c r="S82" s="660"/>
      <c r="T82" s="660"/>
      <c r="U82" s="660"/>
      <c r="V82" s="660"/>
      <c r="W82" s="660"/>
      <c r="X82" s="660"/>
      <c r="Y82" s="660"/>
    </row>
    <row r="83" spans="1:70">
      <c r="B83" s="117" t="s">
        <v>1288</v>
      </c>
      <c r="C83" s="124">
        <f>C158*1</f>
        <v>0.44818162918090798</v>
      </c>
      <c r="D83" s="124">
        <f>D158*1</f>
        <v>0.53766800000000003</v>
      </c>
      <c r="E83" s="124">
        <f t="shared" ref="E83:I83" si="69">E156*1</f>
        <v>0.45599299999999998</v>
      </c>
      <c r="F83" s="124">
        <f t="shared" si="69"/>
        <v>0.42479699999999998</v>
      </c>
      <c r="G83" s="124">
        <f t="shared" si="69"/>
        <v>0.39945700000000001</v>
      </c>
      <c r="H83" s="124">
        <f t="shared" si="69"/>
        <v>0.378826</v>
      </c>
      <c r="I83" s="124">
        <f t="shared" si="69"/>
        <v>0.36152800000000002</v>
      </c>
      <c r="J83" s="124">
        <f t="shared" ref="J83" si="70">J156*1</f>
        <v>0.34792499999999998</v>
      </c>
      <c r="K83" s="124"/>
      <c r="L83" s="124"/>
      <c r="M83" s="124"/>
      <c r="N83" s="660"/>
      <c r="O83" s="660"/>
      <c r="P83" s="660"/>
      <c r="Q83" s="660"/>
      <c r="R83" s="660"/>
      <c r="S83" s="660"/>
      <c r="T83" s="660"/>
      <c r="U83" s="660"/>
      <c r="V83" s="660"/>
      <c r="W83" s="660"/>
      <c r="X83" s="660"/>
      <c r="Y83" s="660"/>
    </row>
    <row r="84" spans="1:70">
      <c r="B84" s="117" t="s">
        <v>1289</v>
      </c>
      <c r="C84" s="124">
        <f>C159*0.81</f>
        <v>8.1537638604640736E-2</v>
      </c>
      <c r="D84" s="124">
        <f>D159*0.81</f>
        <v>1.5009300000000001E-2</v>
      </c>
      <c r="E84" s="124">
        <f t="shared" ref="E84:I84" si="71">E157*0.81</f>
        <v>0</v>
      </c>
      <c r="F84" s="124">
        <f t="shared" si="71"/>
        <v>0</v>
      </c>
      <c r="G84" s="124">
        <f t="shared" si="71"/>
        <v>0</v>
      </c>
      <c r="H84" s="124">
        <f t="shared" si="71"/>
        <v>0</v>
      </c>
      <c r="I84" s="124">
        <f t="shared" si="71"/>
        <v>0</v>
      </c>
      <c r="J84" s="124">
        <f t="shared" ref="J84" si="72">J157*0.81</f>
        <v>0</v>
      </c>
      <c r="K84" s="124"/>
      <c r="L84" s="124"/>
      <c r="M84" s="124"/>
      <c r="N84" s="660"/>
      <c r="O84" s="660"/>
      <c r="P84" s="660"/>
      <c r="Q84" s="660"/>
      <c r="R84" s="660"/>
      <c r="S84" s="660"/>
      <c r="T84" s="660"/>
      <c r="U84" s="660"/>
      <c r="V84" s="660"/>
      <c r="W84" s="660"/>
      <c r="X84" s="660"/>
      <c r="Y84" s="660"/>
    </row>
    <row r="85" spans="1:70">
      <c r="C85" s="124">
        <f t="shared" ref="C85:I85" si="73">SUM(C79:C84)</f>
        <v>4.4807770620412946</v>
      </c>
      <c r="D85" s="124">
        <f t="shared" si="73"/>
        <v>4.3514948097441026</v>
      </c>
      <c r="E85" s="124">
        <f t="shared" si="73"/>
        <v>3.3480464893631976</v>
      </c>
      <c r="F85" s="124">
        <f t="shared" si="73"/>
        <v>3.3256783736622126</v>
      </c>
      <c r="G85" s="124">
        <f t="shared" si="73"/>
        <v>3.2872727055545119</v>
      </c>
      <c r="H85" s="124">
        <f t="shared" si="73"/>
        <v>3.2298885151219903</v>
      </c>
      <c r="I85" s="124">
        <f t="shared" si="73"/>
        <v>3.1524064512774235</v>
      </c>
      <c r="J85" s="124">
        <f t="shared" ref="J85" si="74">SUM(J79:J84)</f>
        <v>3.0699884704304514</v>
      </c>
      <c r="K85" s="660"/>
      <c r="L85" s="660"/>
      <c r="M85" s="660"/>
      <c r="N85" s="660"/>
      <c r="O85" s="660"/>
      <c r="P85" s="660"/>
      <c r="Q85" s="660"/>
      <c r="R85" s="660"/>
      <c r="S85" s="660"/>
      <c r="T85" s="660"/>
      <c r="U85" s="660"/>
      <c r="V85" s="660"/>
      <c r="W85" s="660"/>
      <c r="X85" s="660"/>
      <c r="Y85" s="660"/>
    </row>
    <row r="86" spans="1:70">
      <c r="C86" s="127">
        <f t="shared" ref="C86:I86" si="75">(C33-C85)/C33</f>
        <v>0.10757936707183262</v>
      </c>
      <c r="D86" s="127">
        <f>(D33-D85)/D33</f>
        <v>0.10274795336988854</v>
      </c>
      <c r="E86" s="127">
        <f>(E33-E85)/E33</f>
        <v>0.28536051393634593</v>
      </c>
      <c r="F86" s="127">
        <f t="shared" si="75"/>
        <v>0.29761026958185072</v>
      </c>
      <c r="G86" s="127">
        <f t="shared" si="75"/>
        <v>0.30722164769017857</v>
      </c>
      <c r="H86" s="127">
        <f t="shared" si="75"/>
        <v>0.31344382753846811</v>
      </c>
      <c r="I86" s="127">
        <f t="shared" si="75"/>
        <v>0.3180433712402933</v>
      </c>
      <c r="J86" s="660"/>
      <c r="K86" s="660"/>
      <c r="L86" s="660"/>
      <c r="M86" s="660"/>
      <c r="N86" s="660"/>
      <c r="O86" s="660"/>
      <c r="P86" s="660"/>
      <c r="Q86" s="660"/>
      <c r="R86" s="660"/>
      <c r="S86" s="660"/>
      <c r="T86" s="660"/>
      <c r="U86" s="660"/>
      <c r="V86" s="660"/>
      <c r="W86" s="660"/>
      <c r="X86" s="660"/>
      <c r="Y86" s="660"/>
    </row>
    <row r="87" spans="1:70">
      <c r="C87" s="127"/>
      <c r="D87" s="127"/>
      <c r="E87" s="127"/>
      <c r="F87" s="127"/>
      <c r="G87" s="127"/>
      <c r="H87" s="127"/>
      <c r="I87" s="127"/>
      <c r="J87" s="660"/>
      <c r="K87" s="660"/>
      <c r="L87" s="660"/>
      <c r="M87" s="660"/>
      <c r="N87" s="660"/>
      <c r="O87" s="153"/>
      <c r="P87" s="660"/>
      <c r="Q87" s="660"/>
      <c r="R87" s="660"/>
      <c r="S87" s="660"/>
      <c r="T87" s="153"/>
      <c r="U87" s="660"/>
      <c r="V87" s="660"/>
      <c r="W87" s="660"/>
      <c r="X87" s="660"/>
      <c r="Y87" s="153"/>
      <c r="Z87" s="660"/>
    </row>
    <row r="88" spans="1:70" ht="13">
      <c r="A88" s="694" t="s">
        <v>1290</v>
      </c>
      <c r="B88" s="694"/>
      <c r="C88" s="116">
        <v>2005</v>
      </c>
      <c r="D88" s="116">
        <v>2010</v>
      </c>
      <c r="E88" s="116">
        <v>2015</v>
      </c>
      <c r="F88" s="116">
        <v>2020</v>
      </c>
      <c r="G88" s="116">
        <v>2025</v>
      </c>
      <c r="H88" s="116">
        <v>2030</v>
      </c>
      <c r="I88" s="116">
        <v>2035</v>
      </c>
      <c r="J88" s="116">
        <v>2040</v>
      </c>
      <c r="K88" s="128"/>
      <c r="L88" s="128"/>
      <c r="M88" s="128"/>
      <c r="N88" s="660"/>
      <c r="O88" s="153"/>
      <c r="P88" s="660"/>
      <c r="Q88" s="660"/>
      <c r="R88" s="660"/>
      <c r="S88" s="660"/>
      <c r="T88" s="153"/>
      <c r="U88" s="660"/>
      <c r="V88" s="660"/>
      <c r="W88" s="660"/>
      <c r="X88" s="660"/>
      <c r="Y88" s="153"/>
      <c r="Z88" s="660"/>
    </row>
    <row r="89" spans="1:70">
      <c r="B89" s="117" t="s">
        <v>1284</v>
      </c>
      <c r="C89" s="124">
        <f>C122*C281</f>
        <v>0.33945603379579292</v>
      </c>
      <c r="D89" s="124">
        <f>D122*D281</f>
        <v>0.391169986872</v>
      </c>
      <c r="E89" s="124">
        <f t="shared" ref="E89:I89" si="76">E122*E281</f>
        <v>0.41767550084999999</v>
      </c>
      <c r="F89" s="124">
        <f t="shared" si="76"/>
        <v>0.44781572434500005</v>
      </c>
      <c r="G89" s="124">
        <f t="shared" si="76"/>
        <v>0.47794246380299998</v>
      </c>
      <c r="H89" s="124">
        <f t="shared" si="76"/>
        <v>0.49712667149</v>
      </c>
      <c r="I89" s="124">
        <f t="shared" si="76"/>
        <v>0.50278071086100007</v>
      </c>
      <c r="J89" s="124">
        <f t="shared" ref="J89" si="77">J122*J281</f>
        <v>0.50603651576399999</v>
      </c>
      <c r="K89" s="50"/>
      <c r="L89" s="50"/>
      <c r="M89" s="50"/>
      <c r="O89" s="153"/>
      <c r="P89" s="660"/>
      <c r="Q89" s="660"/>
      <c r="R89" s="660"/>
      <c r="S89" s="660"/>
      <c r="T89" s="153"/>
      <c r="U89" s="660"/>
      <c r="V89" s="660"/>
      <c r="W89" s="660"/>
      <c r="X89" s="660"/>
      <c r="Y89" s="153"/>
      <c r="Z89" s="660"/>
    </row>
    <row r="90" spans="1:70">
      <c r="B90" s="117" t="s">
        <v>1285</v>
      </c>
      <c r="C90" s="124">
        <f>C139*C282</f>
        <v>0.62680777348874406</v>
      </c>
      <c r="D90" s="124">
        <f>D139*D282</f>
        <v>0.73082898682200015</v>
      </c>
      <c r="E90" s="124">
        <f t="shared" ref="E90:I90" si="78">E139*E282</f>
        <v>0.73433069094699999</v>
      </c>
      <c r="F90" s="124">
        <f t="shared" si="78"/>
        <v>0.74998422316400004</v>
      </c>
      <c r="G90" s="124">
        <f t="shared" si="78"/>
        <v>0.76268849519199999</v>
      </c>
      <c r="H90" s="124">
        <f t="shared" si="78"/>
        <v>0.76377765389699992</v>
      </c>
      <c r="I90" s="124">
        <f t="shared" si="78"/>
        <v>0.74586130737699985</v>
      </c>
      <c r="J90" s="124">
        <f t="shared" ref="J90" si="79">J139*J282</f>
        <v>0.72605291287200002</v>
      </c>
      <c r="K90" s="129"/>
      <c r="L90" s="129"/>
      <c r="M90" s="129"/>
      <c r="O90" s="153"/>
      <c r="P90" s="660"/>
      <c r="Q90" s="660"/>
      <c r="R90" s="660"/>
      <c r="S90" s="660"/>
      <c r="T90" s="153"/>
      <c r="U90" s="660"/>
      <c r="V90" s="660"/>
      <c r="W90" s="660"/>
      <c r="X90" s="660"/>
      <c r="Y90" s="153"/>
      <c r="Z90" s="660"/>
    </row>
    <row r="91" spans="1:70">
      <c r="B91" s="117" t="s">
        <v>1286</v>
      </c>
      <c r="C91" s="124">
        <f>C147*C283</f>
        <v>5.9172126898190874E-2</v>
      </c>
      <c r="D91" s="124">
        <f>D147*D283</f>
        <v>3.4181042554E-2</v>
      </c>
      <c r="E91" s="124">
        <f t="shared" ref="E91:I91" si="80">E146*E283</f>
        <v>0.26989275337500002</v>
      </c>
      <c r="F91" s="124">
        <f t="shared" si="80"/>
        <v>0.26461436264999999</v>
      </c>
      <c r="G91" s="124">
        <f t="shared" si="80"/>
        <v>0.24502199694799998</v>
      </c>
      <c r="H91" s="124">
        <f t="shared" si="80"/>
        <v>0.22358344528999999</v>
      </c>
      <c r="I91" s="124">
        <f t="shared" si="80"/>
        <v>0.20442591006199998</v>
      </c>
      <c r="J91" s="124">
        <f t="shared" ref="J91" si="81">J146*J283</f>
        <v>0.18867617325800001</v>
      </c>
      <c r="K91" s="34"/>
      <c r="L91" s="34"/>
      <c r="M91" s="34"/>
    </row>
    <row r="92" spans="1:70">
      <c r="B92" s="117" t="s">
        <v>1287</v>
      </c>
      <c r="C92" s="124">
        <f>C153*C284</f>
        <v>3.3160278238668212E-2</v>
      </c>
      <c r="D92" s="124">
        <f>D153*D284</f>
        <v>4.6913554324000004E-2</v>
      </c>
      <c r="E92" s="124">
        <f t="shared" ref="E92:I92" si="82">E151*E284</f>
        <v>0</v>
      </c>
      <c r="F92" s="124">
        <f t="shared" si="82"/>
        <v>0</v>
      </c>
      <c r="G92" s="124">
        <f t="shared" si="82"/>
        <v>0</v>
      </c>
      <c r="H92" s="124">
        <f t="shared" si="82"/>
        <v>0</v>
      </c>
      <c r="I92" s="124">
        <f t="shared" si="82"/>
        <v>0</v>
      </c>
      <c r="J92" s="124">
        <f t="shared" ref="J92" si="83">J151*J284</f>
        <v>0</v>
      </c>
      <c r="K92" s="660"/>
      <c r="L92" s="660"/>
      <c r="M92" s="660"/>
      <c r="N92" s="660"/>
    </row>
    <row r="93" spans="1:70" ht="13">
      <c r="B93" s="652"/>
      <c r="C93" s="34">
        <f>SUM(C89:C92)</f>
        <v>1.0585962124213961</v>
      </c>
      <c r="D93" s="34">
        <f t="shared" ref="D93:I93" si="84">SUM(D89:D92)</f>
        <v>1.2030935705720001</v>
      </c>
      <c r="E93" s="34">
        <f t="shared" si="84"/>
        <v>1.4218989451719999</v>
      </c>
      <c r="F93" s="34">
        <f t="shared" si="84"/>
        <v>1.4624143101589999</v>
      </c>
      <c r="G93" s="34">
        <f t="shared" si="84"/>
        <v>1.4856529559429998</v>
      </c>
      <c r="H93" s="34">
        <f t="shared" si="84"/>
        <v>1.4844877706770001</v>
      </c>
      <c r="I93" s="34">
        <f t="shared" si="84"/>
        <v>1.4530679282999999</v>
      </c>
      <c r="J93" s="34">
        <f t="shared" ref="J93" si="85">SUM(J89:J92)</f>
        <v>1.420765601894</v>
      </c>
    </row>
    <row r="94" spans="1:70" s="116" customFormat="1" ht="15.75" customHeight="1">
      <c r="A94" s="117"/>
      <c r="B94" s="660"/>
      <c r="C94" s="50">
        <f t="shared" ref="C94:I94" si="86">(C36-C93)/C36</f>
        <v>5.2604312534009559E-3</v>
      </c>
      <c r="D94" s="50">
        <f t="shared" si="86"/>
        <v>8.25275260529132E-4</v>
      </c>
      <c r="E94" s="50">
        <f t="shared" si="86"/>
        <v>-0.16057154991788389</v>
      </c>
      <c r="F94" s="50">
        <f t="shared" si="86"/>
        <v>-0.15378522429407432</v>
      </c>
      <c r="G94" s="50">
        <f t="shared" si="86"/>
        <v>-0.13350826596312021</v>
      </c>
      <c r="H94" s="50">
        <f t="shared" si="86"/>
        <v>-0.11526672002361017</v>
      </c>
      <c r="I94" s="50">
        <f t="shared" si="86"/>
        <v>-0.10493674221408938</v>
      </c>
      <c r="J94" s="50">
        <f t="shared" ref="J94" si="87">(J36-J93)/J36</f>
        <v>-9.8001864415961384E-2</v>
      </c>
      <c r="K94" s="117"/>
      <c r="L94" s="117"/>
      <c r="M94" s="117"/>
      <c r="N94" s="117"/>
      <c r="O94" s="117"/>
      <c r="AL94" s="656" t="s">
        <v>1291</v>
      </c>
      <c r="AN94" s="652"/>
      <c r="AO94" s="660"/>
      <c r="AP94" s="660"/>
      <c r="AQ94" s="660"/>
      <c r="AR94" s="660"/>
      <c r="AS94" s="660"/>
      <c r="AT94" s="660"/>
      <c r="AU94" s="660"/>
      <c r="AV94" s="660"/>
      <c r="AW94" s="660"/>
      <c r="AX94" s="660"/>
      <c r="AY94" s="660"/>
      <c r="AZ94" s="660"/>
      <c r="BA94" s="660"/>
      <c r="BB94" s="660"/>
      <c r="BC94" s="660"/>
      <c r="BD94" s="660"/>
      <c r="BE94" s="660"/>
      <c r="BF94" s="660"/>
      <c r="BG94" s="660"/>
      <c r="BH94" s="660"/>
      <c r="BI94" s="660"/>
      <c r="BJ94" s="660"/>
      <c r="BK94" s="660"/>
      <c r="BL94" s="660"/>
      <c r="BM94" s="660"/>
      <c r="BN94" s="660"/>
      <c r="BO94" s="660"/>
      <c r="BP94" s="660"/>
      <c r="BQ94" s="660"/>
      <c r="BR94" s="660"/>
    </row>
    <row r="95" spans="1:70" s="25" customFormat="1" ht="15.75" customHeight="1">
      <c r="A95" s="117"/>
      <c r="B95" s="117" t="s">
        <v>1575</v>
      </c>
      <c r="C95" s="381">
        <f>C89/SUM(C89:C92)</f>
        <v>0.320666208524715</v>
      </c>
      <c r="D95" s="381">
        <f t="shared" ref="D95:J95" si="88">D89/SUM(D89:D92)</f>
        <v>0.32513679437753268</v>
      </c>
      <c r="E95" s="381">
        <f t="shared" si="88"/>
        <v>0.29374485596757788</v>
      </c>
      <c r="F95" s="381">
        <f t="shared" si="88"/>
        <v>0.30621672752662793</v>
      </c>
      <c r="G95" s="381">
        <f t="shared" si="88"/>
        <v>0.32170532282866282</v>
      </c>
      <c r="H95" s="381">
        <f t="shared" si="88"/>
        <v>0.33488094769772714</v>
      </c>
      <c r="I95" s="381">
        <f t="shared" si="88"/>
        <v>0.34601321870012131</v>
      </c>
      <c r="J95" s="381">
        <f t="shared" si="88"/>
        <v>0.35617171128679548</v>
      </c>
      <c r="K95" s="117"/>
      <c r="L95" s="117"/>
      <c r="M95" s="117"/>
      <c r="N95" s="117"/>
      <c r="O95" s="117"/>
      <c r="P95" s="652"/>
      <c r="Q95" s="660"/>
      <c r="R95" s="660"/>
      <c r="S95" s="660"/>
      <c r="T95" s="660"/>
      <c r="U95" s="660"/>
      <c r="V95" s="660"/>
      <c r="W95" s="660"/>
      <c r="X95" s="660"/>
      <c r="Y95" s="660"/>
      <c r="Z95" s="660"/>
      <c r="AA95" s="660"/>
      <c r="AB95" s="660"/>
      <c r="AC95" s="660"/>
      <c r="AD95" s="660"/>
      <c r="AE95" s="660"/>
      <c r="AF95" s="660"/>
      <c r="AG95" s="660"/>
      <c r="AH95" s="660"/>
      <c r="AI95" s="660"/>
      <c r="AJ95" s="660"/>
      <c r="AK95" s="660"/>
      <c r="AL95" s="660"/>
      <c r="AM95" s="660"/>
      <c r="AN95" s="660"/>
      <c r="AO95" s="660"/>
      <c r="AP95" s="660"/>
      <c r="AQ95" s="660"/>
      <c r="AR95" s="660"/>
      <c r="AS95" s="660"/>
      <c r="AT95" s="660"/>
      <c r="AU95" s="660"/>
      <c r="AV95" s="660"/>
      <c r="AW95" s="660"/>
      <c r="AX95" s="660"/>
      <c r="AY95" s="660"/>
      <c r="AZ95" s="660"/>
      <c r="BA95" s="660"/>
      <c r="BB95" s="660"/>
      <c r="BC95" s="660"/>
      <c r="BD95" s="660"/>
      <c r="BE95" s="660"/>
      <c r="BF95" s="660"/>
      <c r="BG95" s="660"/>
      <c r="BH95" s="660"/>
      <c r="BI95" s="660"/>
      <c r="BJ95" s="660"/>
      <c r="BK95" s="660"/>
      <c r="BL95" s="660"/>
      <c r="BM95" s="660"/>
      <c r="BN95" s="660"/>
      <c r="BO95" s="660"/>
      <c r="BP95" s="660"/>
      <c r="BQ95" s="660"/>
      <c r="BR95" s="660"/>
    </row>
    <row r="96" spans="1:70" s="25" customFormat="1" ht="15.75" customHeight="1">
      <c r="A96" s="117"/>
      <c r="B96" s="117"/>
      <c r="C96" s="381"/>
      <c r="D96" s="381"/>
      <c r="E96" s="381"/>
      <c r="F96" s="381"/>
      <c r="G96" s="381"/>
      <c r="H96" s="381"/>
      <c r="I96" s="381"/>
      <c r="J96" s="145">
        <f>35.62/32.07</f>
        <v>1.1106953539133146</v>
      </c>
      <c r="K96" s="117"/>
      <c r="L96" s="117"/>
      <c r="M96" s="117"/>
      <c r="N96" s="117"/>
      <c r="O96" s="117"/>
      <c r="P96" s="652"/>
      <c r="Q96" s="660"/>
      <c r="R96" s="660"/>
      <c r="S96" s="660"/>
      <c r="T96" s="660"/>
      <c r="U96" s="660"/>
      <c r="V96" s="660"/>
      <c r="W96" s="660"/>
      <c r="X96" s="660"/>
      <c r="Y96" s="660"/>
      <c r="Z96" s="660"/>
      <c r="AA96" s="660"/>
      <c r="AB96" s="660"/>
      <c r="AC96" s="660"/>
      <c r="AD96" s="660"/>
      <c r="AE96" s="660"/>
      <c r="AF96" s="660"/>
      <c r="AG96" s="660"/>
      <c r="AH96" s="660"/>
      <c r="AI96" s="660"/>
      <c r="AJ96" s="660"/>
      <c r="AK96" s="660"/>
      <c r="AL96" s="660"/>
      <c r="AM96" s="660"/>
      <c r="AN96" s="660"/>
      <c r="AO96" s="660"/>
      <c r="AP96" s="660"/>
      <c r="AQ96" s="660"/>
      <c r="AR96" s="660"/>
      <c r="AS96" s="660"/>
      <c r="AT96" s="660"/>
      <c r="AU96" s="660"/>
      <c r="AV96" s="660"/>
      <c r="AW96" s="660"/>
      <c r="AX96" s="660"/>
      <c r="AY96" s="660"/>
      <c r="AZ96" s="660"/>
      <c r="BA96" s="660"/>
      <c r="BB96" s="660"/>
      <c r="BC96" s="660"/>
      <c r="BD96" s="660"/>
      <c r="BE96" s="660"/>
      <c r="BF96" s="660"/>
      <c r="BG96" s="660"/>
      <c r="BH96" s="660"/>
      <c r="BI96" s="660"/>
      <c r="BJ96" s="660"/>
      <c r="BK96" s="660"/>
      <c r="BL96" s="660"/>
      <c r="BM96" s="660"/>
      <c r="BN96" s="660"/>
      <c r="BO96" s="660"/>
      <c r="BP96" s="660"/>
      <c r="BQ96" s="660"/>
      <c r="BR96" s="660"/>
    </row>
    <row r="97" spans="1:46" s="25" customFormat="1" ht="15.75" customHeight="1">
      <c r="A97" s="117"/>
      <c r="B97" s="117"/>
      <c r="C97" s="381"/>
      <c r="D97" s="381"/>
      <c r="E97" s="381"/>
      <c r="F97" s="381"/>
      <c r="G97" s="381"/>
      <c r="H97" s="381"/>
      <c r="I97" s="381"/>
      <c r="J97" s="381"/>
      <c r="K97" s="117"/>
      <c r="L97" s="117"/>
      <c r="M97" s="117"/>
      <c r="N97" s="117"/>
      <c r="O97" s="117"/>
      <c r="P97" s="652"/>
      <c r="Q97" s="660"/>
      <c r="R97" s="660"/>
      <c r="S97" s="660"/>
      <c r="T97" s="660"/>
      <c r="U97" s="660"/>
      <c r="V97" s="660"/>
      <c r="W97" s="660"/>
      <c r="X97" s="660"/>
      <c r="Y97" s="660"/>
      <c r="Z97" s="660"/>
      <c r="AA97" s="660"/>
      <c r="AB97" s="660"/>
      <c r="AC97" s="660"/>
      <c r="AD97" s="660"/>
      <c r="AE97" s="660"/>
      <c r="AF97" s="660"/>
      <c r="AG97" s="660"/>
      <c r="AH97" s="660"/>
      <c r="AI97" s="660"/>
      <c r="AJ97" s="660"/>
      <c r="AK97" s="660"/>
      <c r="AL97" s="660"/>
      <c r="AM97" s="660"/>
      <c r="AN97" s="660"/>
      <c r="AO97" s="660"/>
      <c r="AP97" s="660"/>
      <c r="AQ97" s="660"/>
      <c r="AR97" s="660"/>
      <c r="AS97" s="660"/>
      <c r="AT97" s="660"/>
    </row>
    <row r="98" spans="1:46" s="25" customFormat="1" ht="13">
      <c r="A98" s="695" t="s">
        <v>1576</v>
      </c>
      <c r="B98" s="695"/>
      <c r="C98" s="695"/>
      <c r="D98" s="695"/>
      <c r="E98" s="695"/>
      <c r="F98" s="695"/>
      <c r="G98" s="695"/>
      <c r="H98" s="695"/>
      <c r="I98" s="660"/>
      <c r="J98" s="660"/>
      <c r="K98" s="660"/>
      <c r="L98" s="660"/>
      <c r="M98" s="660"/>
      <c r="N98" s="660"/>
      <c r="O98" s="660"/>
      <c r="P98" s="652"/>
      <c r="Q98" s="113"/>
      <c r="R98" s="113"/>
      <c r="S98" s="113"/>
      <c r="T98" s="113"/>
      <c r="U98" s="113"/>
      <c r="V98" s="113"/>
      <c r="W98" s="113"/>
      <c r="X98" s="113"/>
      <c r="Y98" s="113"/>
      <c r="Z98" s="113"/>
      <c r="AA98" s="113"/>
      <c r="AB98" s="113"/>
      <c r="AC98" s="113"/>
      <c r="AD98" s="113"/>
      <c r="AE98" s="113"/>
      <c r="AF98" s="113"/>
      <c r="AG98" s="113"/>
      <c r="AH98" s="113"/>
      <c r="AI98" s="113"/>
      <c r="AJ98" s="113"/>
      <c r="AK98" s="113"/>
      <c r="AL98" s="113"/>
      <c r="AM98" s="113"/>
      <c r="AN98" s="113"/>
      <c r="AO98" s="113"/>
      <c r="AP98" s="113"/>
      <c r="AQ98" s="113"/>
      <c r="AR98" s="113"/>
      <c r="AS98" s="113"/>
      <c r="AT98" s="113"/>
    </row>
    <row r="99" spans="1:46" s="25" customFormat="1" ht="13">
      <c r="A99" s="695" t="s">
        <v>1183</v>
      </c>
      <c r="B99" s="695"/>
      <c r="C99" s="695"/>
      <c r="D99" s="695"/>
      <c r="E99" s="695"/>
      <c r="F99" s="695"/>
      <c r="G99" s="695"/>
      <c r="H99" s="695"/>
      <c r="I99" s="660"/>
      <c r="J99" s="660"/>
      <c r="K99" s="660"/>
      <c r="L99" s="37"/>
      <c r="M99" s="37"/>
      <c r="N99" s="650"/>
      <c r="O99" s="650"/>
      <c r="P99" s="650"/>
      <c r="Q99" s="650"/>
      <c r="R99" s="650"/>
      <c r="S99" s="650"/>
      <c r="T99" s="652"/>
      <c r="U99" s="652"/>
      <c r="V99" s="652"/>
      <c r="W99" s="652"/>
      <c r="X99" s="652"/>
      <c r="Y99" s="652"/>
      <c r="Z99" s="652"/>
      <c r="AA99" s="652"/>
      <c r="AB99" s="652"/>
      <c r="AC99" s="652"/>
      <c r="AD99" s="652"/>
      <c r="AE99" s="652"/>
      <c r="AF99" s="652"/>
      <c r="AG99" s="652"/>
      <c r="AH99" s="652"/>
      <c r="AI99" s="652"/>
      <c r="AJ99" s="652"/>
      <c r="AK99" s="652"/>
      <c r="AL99" s="652"/>
      <c r="AM99" s="652"/>
      <c r="AN99" s="652"/>
      <c r="AO99" s="652"/>
      <c r="AP99" s="652"/>
      <c r="AQ99" s="652"/>
      <c r="AR99" s="660"/>
      <c r="AS99" s="660"/>
      <c r="AT99" s="660"/>
    </row>
    <row r="100" spans="1:46" s="25" customFormat="1" ht="13">
      <c r="A100" s="660"/>
      <c r="B100" s="660"/>
      <c r="C100" s="40" t="s">
        <v>931</v>
      </c>
      <c r="D100" s="113" t="s">
        <v>899</v>
      </c>
      <c r="E100" s="113" t="s">
        <v>168</v>
      </c>
      <c r="F100" s="113" t="s">
        <v>219</v>
      </c>
      <c r="G100" s="113" t="s">
        <v>234</v>
      </c>
      <c r="H100" s="113">
        <v>2030</v>
      </c>
      <c r="I100" s="113">
        <v>2035</v>
      </c>
      <c r="J100" s="113">
        <v>2040</v>
      </c>
      <c r="K100" s="660"/>
      <c r="L100" s="662"/>
      <c r="M100" s="662"/>
      <c r="N100" s="660"/>
      <c r="O100" s="660"/>
      <c r="P100" s="660"/>
      <c r="Q100" s="660"/>
      <c r="R100" s="660"/>
      <c r="S100" s="660"/>
      <c r="T100" s="660"/>
      <c r="U100" s="660"/>
      <c r="V100" s="660"/>
      <c r="W100" s="660"/>
      <c r="X100" s="660"/>
      <c r="Y100" s="660"/>
      <c r="Z100" s="660"/>
      <c r="AA100" s="660"/>
      <c r="AB100" s="660"/>
      <c r="AC100" s="660"/>
      <c r="AD100" s="660"/>
      <c r="AE100" s="660"/>
      <c r="AF100" s="660"/>
      <c r="AG100" s="660"/>
      <c r="AH100" s="660"/>
      <c r="AI100" s="660"/>
      <c r="AJ100" s="660"/>
      <c r="AK100" s="660"/>
      <c r="AL100" s="660"/>
      <c r="AM100" s="660"/>
      <c r="AN100" s="660"/>
      <c r="AO100" s="660"/>
      <c r="AP100" s="660"/>
      <c r="AQ100" s="660"/>
      <c r="AR100" s="660"/>
      <c r="AS100" s="660"/>
      <c r="AT100" s="660"/>
    </row>
    <row r="101" spans="1:46" s="25" customFormat="1" ht="13">
      <c r="A101" s="39" t="s">
        <v>1185</v>
      </c>
      <c r="B101" s="660"/>
      <c r="C101" s="660"/>
      <c r="D101" s="660"/>
      <c r="E101" s="660"/>
      <c r="F101" s="660"/>
      <c r="G101" s="660"/>
      <c r="H101" s="660"/>
      <c r="I101" s="660"/>
      <c r="J101" s="660"/>
      <c r="K101" s="660"/>
      <c r="L101" s="37"/>
      <c r="M101" s="37"/>
      <c r="N101" s="660"/>
      <c r="O101" s="660"/>
      <c r="P101" s="660"/>
      <c r="Q101" s="660"/>
      <c r="R101" s="660"/>
      <c r="S101" s="660"/>
      <c r="T101" s="660"/>
      <c r="U101" s="660"/>
      <c r="V101" s="660"/>
      <c r="W101" s="660"/>
      <c r="X101" s="660"/>
      <c r="Y101" s="660"/>
      <c r="Z101" s="660"/>
      <c r="AA101" s="660"/>
      <c r="AB101" s="660"/>
      <c r="AC101" s="660"/>
      <c r="AD101" s="660"/>
      <c r="AE101" s="660"/>
      <c r="AF101" s="660"/>
      <c r="AG101" s="660"/>
      <c r="AH101" s="660"/>
      <c r="AI101" s="660"/>
      <c r="AJ101" s="660"/>
      <c r="AK101" s="660"/>
      <c r="AL101" s="660"/>
      <c r="AM101" s="660"/>
      <c r="AN101" s="660"/>
      <c r="AO101" s="660"/>
      <c r="AP101" s="660"/>
      <c r="AQ101" s="660"/>
      <c r="AR101" s="660"/>
      <c r="AS101" s="660"/>
      <c r="AT101" s="660"/>
    </row>
    <row r="102" spans="1:46" s="25" customFormat="1" ht="13">
      <c r="A102" s="39" t="s">
        <v>1186</v>
      </c>
      <c r="B102" s="660"/>
      <c r="C102" s="660"/>
      <c r="D102" s="660"/>
      <c r="E102" s="660"/>
      <c r="F102" s="660"/>
      <c r="G102" s="660"/>
      <c r="H102" s="660"/>
      <c r="I102" s="660"/>
      <c r="J102" s="660"/>
      <c r="K102" s="660"/>
      <c r="L102" s="37"/>
      <c r="M102" s="37"/>
      <c r="N102" s="660"/>
      <c r="O102" s="660"/>
      <c r="P102" s="660"/>
      <c r="Q102" s="660"/>
      <c r="R102" s="660"/>
      <c r="S102" s="660"/>
      <c r="T102" s="660"/>
      <c r="U102" s="660"/>
      <c r="V102" s="660"/>
      <c r="W102" s="660"/>
      <c r="X102" s="660"/>
      <c r="Y102" s="660"/>
      <c r="Z102" s="660"/>
      <c r="AA102" s="660"/>
      <c r="AB102" s="660"/>
      <c r="AC102" s="660"/>
      <c r="AD102" s="660"/>
      <c r="AE102" s="660"/>
      <c r="AF102" s="660"/>
      <c r="AG102" s="660"/>
      <c r="AH102" s="660"/>
      <c r="AI102" s="660"/>
      <c r="AJ102" s="660"/>
      <c r="AK102" s="660"/>
      <c r="AL102" s="660"/>
      <c r="AM102" s="660"/>
      <c r="AN102" s="660"/>
      <c r="AO102" s="660"/>
      <c r="AP102" s="660"/>
      <c r="AQ102" s="660"/>
      <c r="AR102" s="660"/>
      <c r="AS102" s="660"/>
      <c r="AT102" s="660"/>
    </row>
    <row r="103" spans="1:46" s="25" customFormat="1">
      <c r="A103" s="39" t="s">
        <v>1187</v>
      </c>
      <c r="B103" s="660"/>
      <c r="C103" s="130">
        <v>79.6539306640625</v>
      </c>
      <c r="D103" s="36">
        <v>78.986275000000006</v>
      </c>
      <c r="E103" s="36">
        <v>81.206581</v>
      </c>
      <c r="F103" s="36">
        <v>85.713097000000005</v>
      </c>
      <c r="G103" s="36">
        <v>89.733536000000001</v>
      </c>
      <c r="H103" s="36">
        <v>93.555961999999994</v>
      </c>
      <c r="I103" s="36">
        <v>96.987388999999993</v>
      </c>
      <c r="J103" s="36">
        <v>100.37367999999999</v>
      </c>
      <c r="K103" s="660"/>
      <c r="L103" s="662"/>
      <c r="M103" s="662"/>
      <c r="N103" s="662"/>
      <c r="O103" s="662"/>
      <c r="P103" s="662"/>
      <c r="Q103" s="662"/>
      <c r="R103" s="662"/>
      <c r="S103" s="662"/>
      <c r="T103" s="34"/>
      <c r="U103" s="34"/>
      <c r="V103" s="34"/>
      <c r="W103" s="34"/>
      <c r="X103" s="34"/>
      <c r="Y103" s="34"/>
      <c r="Z103" s="34"/>
      <c r="AA103" s="34"/>
      <c r="AB103" s="34"/>
      <c r="AC103" s="34"/>
      <c r="AD103" s="34"/>
      <c r="AE103" s="34"/>
      <c r="AF103" s="34"/>
      <c r="AG103" s="34"/>
      <c r="AH103" s="34"/>
      <c r="AI103" s="34"/>
      <c r="AJ103" s="34"/>
      <c r="AK103" s="34"/>
      <c r="AL103" s="34"/>
      <c r="AM103" s="34"/>
      <c r="AN103" s="34"/>
      <c r="AO103" s="34"/>
      <c r="AP103" s="50"/>
      <c r="AQ103" s="660"/>
      <c r="AR103" s="660"/>
      <c r="AS103" s="660"/>
      <c r="AT103" s="660"/>
    </row>
    <row r="104" spans="1:46" s="25" customFormat="1">
      <c r="A104" s="39" t="s">
        <v>1188</v>
      </c>
      <c r="B104" s="660"/>
      <c r="C104" s="130">
        <v>24.4934978485107</v>
      </c>
      <c r="D104" s="36">
        <v>28.133452999999999</v>
      </c>
      <c r="E104" s="36">
        <v>28.962713000000001</v>
      </c>
      <c r="F104" s="36">
        <v>30.546143000000001</v>
      </c>
      <c r="G104" s="36">
        <v>32.178677</v>
      </c>
      <c r="H104" s="36">
        <v>33.98386</v>
      </c>
      <c r="I104" s="36">
        <v>35.822186000000002</v>
      </c>
      <c r="J104" s="36">
        <v>37.608955000000002</v>
      </c>
      <c r="K104" s="660"/>
      <c r="L104" s="662"/>
      <c r="M104" s="662"/>
      <c r="N104" s="662"/>
      <c r="O104" s="662"/>
      <c r="P104" s="662"/>
      <c r="Q104" s="662"/>
      <c r="R104" s="662"/>
      <c r="S104" s="662"/>
      <c r="T104" s="34"/>
      <c r="U104" s="34"/>
      <c r="V104" s="34"/>
      <c r="W104" s="34"/>
      <c r="X104" s="34"/>
      <c r="Y104" s="34"/>
      <c r="Z104" s="34"/>
      <c r="AA104" s="34"/>
      <c r="AB104" s="34"/>
      <c r="AC104" s="34"/>
      <c r="AD104" s="34"/>
      <c r="AE104" s="34"/>
      <c r="AF104" s="34"/>
      <c r="AG104" s="34"/>
      <c r="AH104" s="34"/>
      <c r="AI104" s="34"/>
      <c r="AJ104" s="34"/>
      <c r="AK104" s="34"/>
      <c r="AL104" s="34"/>
      <c r="AM104" s="34"/>
      <c r="AN104" s="34"/>
      <c r="AO104" s="34"/>
      <c r="AP104" s="50"/>
      <c r="AQ104" s="660"/>
      <c r="AR104" s="660"/>
      <c r="AS104" s="660"/>
      <c r="AT104" s="660"/>
    </row>
    <row r="105" spans="1:46" s="25" customFormat="1">
      <c r="A105" s="39" t="s">
        <v>1189</v>
      </c>
      <c r="B105" s="660"/>
      <c r="C105" s="130">
        <v>6.9431958198547399</v>
      </c>
      <c r="D105" s="36">
        <v>6.5768820000000003</v>
      </c>
      <c r="E105" s="36">
        <v>6.0181339999999999</v>
      </c>
      <c r="F105" s="36">
        <v>5.7028100000000004</v>
      </c>
      <c r="G105" s="36">
        <v>5.4645440000000001</v>
      </c>
      <c r="H105" s="36">
        <v>5.2926279999999997</v>
      </c>
      <c r="I105" s="36">
        <v>5.1442629999999996</v>
      </c>
      <c r="J105" s="36">
        <v>5.0316460000000003</v>
      </c>
      <c r="K105" s="660"/>
      <c r="L105" s="662"/>
      <c r="M105" s="662"/>
      <c r="N105" s="662"/>
      <c r="O105" s="662"/>
      <c r="P105" s="662"/>
      <c r="Q105" s="662"/>
      <c r="R105" s="662"/>
      <c r="S105" s="662"/>
      <c r="T105" s="34"/>
      <c r="U105" s="34"/>
      <c r="V105" s="34"/>
      <c r="W105" s="34"/>
      <c r="X105" s="34"/>
      <c r="Y105" s="34"/>
      <c r="Z105" s="34"/>
      <c r="AA105" s="34"/>
      <c r="AB105" s="34"/>
      <c r="AC105" s="34"/>
      <c r="AD105" s="34"/>
      <c r="AE105" s="34"/>
      <c r="AF105" s="34"/>
      <c r="AG105" s="34"/>
      <c r="AH105" s="34"/>
      <c r="AI105" s="34"/>
      <c r="AJ105" s="34"/>
      <c r="AK105" s="34"/>
      <c r="AL105" s="34"/>
      <c r="AM105" s="34"/>
      <c r="AN105" s="34"/>
      <c r="AO105" s="34"/>
      <c r="AP105" s="50"/>
      <c r="AQ105" s="660"/>
      <c r="AR105" s="660"/>
      <c r="AS105" s="660"/>
      <c r="AT105" s="660"/>
    </row>
    <row r="106" spans="1:46" s="25" customFormat="1" ht="13">
      <c r="A106" s="39" t="s">
        <v>1190</v>
      </c>
      <c r="B106" s="660"/>
      <c r="C106" s="130">
        <v>111.090629577637</v>
      </c>
      <c r="D106" s="38">
        <v>113.696609</v>
      </c>
      <c r="E106" s="38">
        <v>116.187431</v>
      </c>
      <c r="F106" s="38">
        <v>121.962051</v>
      </c>
      <c r="G106" s="38">
        <v>127.376762</v>
      </c>
      <c r="H106" s="38">
        <v>132.832458</v>
      </c>
      <c r="I106" s="38">
        <v>137.95382699999999</v>
      </c>
      <c r="J106" s="38">
        <v>143.01428200000001</v>
      </c>
      <c r="K106" s="660"/>
      <c r="L106" s="37"/>
      <c r="M106" s="37"/>
      <c r="N106" s="37"/>
      <c r="O106" s="37"/>
      <c r="P106" s="37"/>
      <c r="Q106" s="37"/>
      <c r="R106" s="37"/>
      <c r="S106" s="37"/>
      <c r="T106" s="59"/>
      <c r="U106" s="59"/>
      <c r="V106" s="59"/>
      <c r="W106" s="59"/>
      <c r="X106" s="59"/>
      <c r="Y106" s="59"/>
      <c r="Z106" s="59"/>
      <c r="AA106" s="59"/>
      <c r="AB106" s="59"/>
      <c r="AC106" s="59"/>
      <c r="AD106" s="59"/>
      <c r="AE106" s="59"/>
      <c r="AF106" s="59"/>
      <c r="AG106" s="59"/>
      <c r="AH106" s="59"/>
      <c r="AI106" s="59"/>
      <c r="AJ106" s="59"/>
      <c r="AK106" s="59"/>
      <c r="AL106" s="59"/>
      <c r="AM106" s="59"/>
      <c r="AN106" s="59"/>
      <c r="AO106" s="59"/>
      <c r="AP106" s="131"/>
      <c r="AQ106" s="660"/>
      <c r="AR106" s="660"/>
      <c r="AS106" s="660"/>
      <c r="AT106" s="660"/>
    </row>
    <row r="107" spans="1:46" s="25" customFormat="1">
      <c r="A107" s="660"/>
      <c r="B107" s="660"/>
      <c r="C107" s="660"/>
      <c r="D107" s="34"/>
      <c r="E107" s="34"/>
      <c r="F107" s="34"/>
      <c r="G107" s="34"/>
      <c r="H107" s="34"/>
      <c r="I107" s="34"/>
      <c r="J107" s="34"/>
      <c r="K107" s="660"/>
      <c r="L107" s="662"/>
      <c r="M107" s="662"/>
      <c r="N107" s="660"/>
      <c r="O107" s="660"/>
      <c r="P107" s="660"/>
      <c r="Q107" s="660"/>
      <c r="R107" s="660"/>
      <c r="S107" s="660"/>
      <c r="T107" s="660"/>
      <c r="U107" s="660"/>
      <c r="V107" s="660"/>
      <c r="W107" s="660"/>
      <c r="X107" s="660"/>
      <c r="Y107" s="660"/>
      <c r="Z107" s="660"/>
      <c r="AA107" s="660"/>
      <c r="AB107" s="660"/>
      <c r="AC107" s="660"/>
      <c r="AD107" s="660"/>
      <c r="AE107" s="660"/>
      <c r="AF107" s="660"/>
      <c r="AG107" s="660"/>
      <c r="AH107" s="660"/>
      <c r="AI107" s="660"/>
      <c r="AJ107" s="660"/>
      <c r="AK107" s="660"/>
      <c r="AL107" s="660"/>
      <c r="AM107" s="660"/>
      <c r="AN107" s="660"/>
      <c r="AO107" s="660"/>
      <c r="AP107" s="660"/>
      <c r="AQ107" s="660"/>
      <c r="AR107" s="660"/>
      <c r="AS107" s="660"/>
      <c r="AT107" s="660"/>
    </row>
    <row r="108" spans="1:46" s="25" customFormat="1" ht="13">
      <c r="A108" s="39" t="s">
        <v>1191</v>
      </c>
      <c r="B108" s="660"/>
      <c r="C108" s="132">
        <v>1801.65991210938</v>
      </c>
      <c r="D108" s="38">
        <v>1661.5974120000001</v>
      </c>
      <c r="E108" s="38">
        <v>1695.30249</v>
      </c>
      <c r="F108" s="38">
        <v>1735.5345460000001</v>
      </c>
      <c r="G108" s="38">
        <v>1770.923462</v>
      </c>
      <c r="H108" s="38">
        <v>1802.268188</v>
      </c>
      <c r="I108" s="38">
        <v>1830.575439</v>
      </c>
      <c r="J108" s="38">
        <v>1857.958374</v>
      </c>
      <c r="K108" s="660"/>
      <c r="L108" s="37"/>
      <c r="M108" s="37"/>
      <c r="N108" s="37"/>
      <c r="O108" s="37"/>
      <c r="P108" s="37"/>
      <c r="Q108" s="37"/>
      <c r="R108" s="37"/>
      <c r="S108" s="37"/>
      <c r="T108" s="133"/>
      <c r="U108" s="133"/>
      <c r="V108" s="133"/>
      <c r="W108" s="133"/>
      <c r="X108" s="133"/>
      <c r="Y108" s="133"/>
      <c r="Z108" s="133"/>
      <c r="AA108" s="133"/>
      <c r="AB108" s="133"/>
      <c r="AC108" s="133"/>
      <c r="AD108" s="133"/>
      <c r="AE108" s="133"/>
      <c r="AF108" s="133"/>
      <c r="AG108" s="133"/>
      <c r="AH108" s="133"/>
      <c r="AI108" s="133"/>
      <c r="AJ108" s="133"/>
      <c r="AK108" s="133"/>
      <c r="AL108" s="133"/>
      <c r="AM108" s="133"/>
      <c r="AN108" s="133"/>
      <c r="AO108" s="133"/>
      <c r="AP108" s="131"/>
      <c r="AQ108" s="660"/>
      <c r="AR108" s="660"/>
      <c r="AS108" s="660"/>
      <c r="AT108" s="660"/>
    </row>
    <row r="109" spans="1:46" s="25" customFormat="1">
      <c r="A109" s="660"/>
      <c r="B109" s="660"/>
      <c r="C109" s="660"/>
      <c r="D109" s="34"/>
      <c r="E109" s="34"/>
      <c r="F109" s="34"/>
      <c r="G109" s="34"/>
      <c r="H109" s="34"/>
      <c r="I109" s="34"/>
      <c r="J109" s="34"/>
      <c r="K109" s="660"/>
      <c r="L109" s="662"/>
      <c r="M109" s="662"/>
      <c r="N109" s="660"/>
      <c r="O109" s="660"/>
      <c r="P109" s="660"/>
      <c r="Q109" s="660"/>
      <c r="R109" s="660"/>
      <c r="S109" s="660"/>
      <c r="T109" s="660"/>
      <c r="U109" s="660"/>
      <c r="V109" s="660"/>
      <c r="W109" s="660"/>
      <c r="X109" s="660"/>
      <c r="Y109" s="660"/>
      <c r="Z109" s="660"/>
      <c r="AA109" s="660"/>
      <c r="AB109" s="660"/>
      <c r="AC109" s="660"/>
      <c r="AD109" s="660"/>
      <c r="AE109" s="660"/>
      <c r="AF109" s="660"/>
      <c r="AG109" s="660"/>
      <c r="AH109" s="660"/>
      <c r="AI109" s="660"/>
      <c r="AJ109" s="660"/>
      <c r="AK109" s="660"/>
      <c r="AL109" s="660"/>
      <c r="AM109" s="660"/>
      <c r="AN109" s="660"/>
      <c r="AO109" s="660"/>
      <c r="AP109" s="660"/>
      <c r="AQ109" s="660"/>
      <c r="AR109" s="660"/>
      <c r="AS109" s="660"/>
      <c r="AT109" s="660"/>
    </row>
    <row r="110" spans="1:46" s="25" customFormat="1" ht="13">
      <c r="A110" s="39" t="s">
        <v>1293</v>
      </c>
      <c r="B110" s="660"/>
      <c r="C110" s="660"/>
      <c r="D110" s="34"/>
      <c r="E110" s="34"/>
      <c r="F110" s="34"/>
      <c r="G110" s="34"/>
      <c r="H110" s="34"/>
      <c r="I110" s="34"/>
      <c r="J110" s="34"/>
      <c r="K110" s="660"/>
      <c r="L110" s="37"/>
      <c r="M110" s="37"/>
      <c r="N110" s="660"/>
      <c r="O110" s="660"/>
      <c r="P110" s="660"/>
      <c r="Q110" s="660"/>
      <c r="R110" s="660"/>
      <c r="S110" s="660"/>
      <c r="T110" s="660"/>
      <c r="U110" s="660"/>
      <c r="V110" s="660"/>
      <c r="W110" s="660"/>
      <c r="X110" s="660"/>
      <c r="Y110" s="660"/>
      <c r="Z110" s="660"/>
      <c r="AA110" s="660"/>
      <c r="AB110" s="660"/>
      <c r="AC110" s="660"/>
      <c r="AD110" s="660"/>
      <c r="AE110" s="660"/>
      <c r="AF110" s="660"/>
      <c r="AG110" s="660"/>
      <c r="AH110" s="660"/>
      <c r="AI110" s="660"/>
      <c r="AJ110" s="660"/>
      <c r="AK110" s="660"/>
      <c r="AL110" s="660"/>
      <c r="AM110" s="660"/>
      <c r="AN110" s="660"/>
      <c r="AO110" s="660"/>
      <c r="AP110" s="660"/>
      <c r="AQ110" s="660"/>
      <c r="AR110" s="660"/>
      <c r="AS110" s="660"/>
      <c r="AT110" s="660"/>
    </row>
    <row r="111" spans="1:46" s="25" customFormat="1" ht="13">
      <c r="A111" s="39" t="s">
        <v>1294</v>
      </c>
      <c r="B111" s="660"/>
      <c r="C111" s="660"/>
      <c r="D111" s="34"/>
      <c r="E111" s="34"/>
      <c r="F111" s="34"/>
      <c r="G111" s="34"/>
      <c r="H111" s="34"/>
      <c r="I111" s="34"/>
      <c r="J111" s="34"/>
      <c r="K111" s="660"/>
      <c r="L111" s="37"/>
      <c r="M111" s="37"/>
      <c r="N111" s="660"/>
      <c r="O111" s="660"/>
      <c r="P111" s="660"/>
      <c r="Q111" s="660"/>
      <c r="R111" s="660"/>
      <c r="S111" s="660"/>
      <c r="T111" s="660"/>
      <c r="U111" s="660"/>
      <c r="V111" s="660"/>
      <c r="W111" s="660"/>
      <c r="X111" s="660"/>
      <c r="Y111" s="660"/>
      <c r="Z111" s="660"/>
      <c r="AA111" s="660"/>
      <c r="AB111" s="660"/>
      <c r="AC111" s="660"/>
      <c r="AD111" s="660"/>
      <c r="AE111" s="660"/>
      <c r="AF111" s="660"/>
      <c r="AG111" s="660"/>
      <c r="AH111" s="660"/>
      <c r="AI111" s="660"/>
      <c r="AJ111" s="660"/>
      <c r="AK111" s="660"/>
      <c r="AL111" s="660"/>
      <c r="AM111" s="660"/>
      <c r="AN111" s="660"/>
      <c r="AO111" s="660"/>
      <c r="AP111" s="660"/>
      <c r="AQ111" s="660"/>
      <c r="AR111" s="660"/>
      <c r="AS111" s="660"/>
      <c r="AT111" s="660"/>
    </row>
    <row r="112" spans="1:46" s="25" customFormat="1">
      <c r="A112" s="39" t="s">
        <v>1295</v>
      </c>
      <c r="B112" s="660"/>
      <c r="C112" s="134">
        <v>103.666473388672</v>
      </c>
      <c r="D112" s="36">
        <v>99.039085</v>
      </c>
      <c r="E112" s="36">
        <v>93.045021000000006</v>
      </c>
      <c r="F112" s="36">
        <v>88.076804999999993</v>
      </c>
      <c r="G112" s="36">
        <v>84.577774000000005</v>
      </c>
      <c r="H112" s="36">
        <v>81.535697999999996</v>
      </c>
      <c r="I112" s="36">
        <v>78.736464999999995</v>
      </c>
      <c r="J112" s="36">
        <v>76.473823999999993</v>
      </c>
      <c r="K112" s="660"/>
      <c r="L112" s="662"/>
      <c r="M112" s="662"/>
      <c r="N112" s="662"/>
      <c r="O112" s="662"/>
      <c r="P112" s="662"/>
      <c r="Q112" s="662"/>
      <c r="R112" s="662"/>
      <c r="S112" s="662"/>
      <c r="T112" s="68"/>
      <c r="U112" s="68"/>
      <c r="V112" s="68"/>
      <c r="W112" s="68"/>
      <c r="X112" s="68"/>
      <c r="Y112" s="68"/>
      <c r="Z112" s="68"/>
      <c r="AA112" s="68"/>
      <c r="AB112" s="68"/>
      <c r="AC112" s="68"/>
      <c r="AD112" s="68"/>
      <c r="AE112" s="68"/>
      <c r="AF112" s="68"/>
      <c r="AG112" s="68"/>
      <c r="AH112" s="68"/>
      <c r="AI112" s="68"/>
      <c r="AJ112" s="68"/>
      <c r="AK112" s="68"/>
      <c r="AL112" s="68"/>
      <c r="AM112" s="68"/>
      <c r="AN112" s="68"/>
      <c r="AO112" s="68"/>
      <c r="AP112" s="50"/>
      <c r="AQ112" s="660"/>
      <c r="AR112" s="660"/>
      <c r="AS112" s="660"/>
      <c r="AT112" s="660"/>
    </row>
    <row r="113" spans="1:42" s="25" customFormat="1">
      <c r="A113" s="39" t="s">
        <v>1296</v>
      </c>
      <c r="B113" s="660"/>
      <c r="C113" s="134">
        <v>194.80401611328099</v>
      </c>
      <c r="D113" s="36">
        <v>188.15167199999999</v>
      </c>
      <c r="E113" s="36">
        <v>176.86814899999999</v>
      </c>
      <c r="F113" s="36">
        <v>167.12780799999999</v>
      </c>
      <c r="G113" s="36">
        <v>161.588898</v>
      </c>
      <c r="H113" s="36">
        <v>156.823959</v>
      </c>
      <c r="I113" s="36">
        <v>152.84884600000001</v>
      </c>
      <c r="J113" s="36">
        <v>150.21644599999999</v>
      </c>
      <c r="K113" s="660"/>
      <c r="L113" s="662"/>
      <c r="M113" s="662"/>
      <c r="N113" s="662"/>
      <c r="O113" s="662"/>
      <c r="P113" s="662"/>
      <c r="Q113" s="662"/>
      <c r="R113" s="662"/>
      <c r="S113" s="662"/>
      <c r="T113" s="68"/>
      <c r="U113" s="68"/>
      <c r="V113" s="68"/>
      <c r="W113" s="68"/>
      <c r="X113" s="68"/>
      <c r="Y113" s="68"/>
      <c r="Z113" s="68"/>
      <c r="AA113" s="68"/>
      <c r="AB113" s="68"/>
      <c r="AC113" s="68"/>
      <c r="AD113" s="68"/>
      <c r="AE113" s="68"/>
      <c r="AF113" s="68"/>
      <c r="AG113" s="68"/>
      <c r="AH113" s="68"/>
      <c r="AI113" s="68"/>
      <c r="AJ113" s="68"/>
      <c r="AK113" s="68"/>
      <c r="AL113" s="68"/>
      <c r="AM113" s="68"/>
      <c r="AN113" s="68"/>
      <c r="AO113" s="68"/>
      <c r="AP113" s="50"/>
    </row>
    <row r="114" spans="1:42" s="25" customFormat="1" ht="13">
      <c r="A114" s="39" t="s">
        <v>1297</v>
      </c>
      <c r="B114" s="660"/>
      <c r="C114" s="660"/>
      <c r="D114" s="34"/>
      <c r="E114" s="34"/>
      <c r="F114" s="34"/>
      <c r="G114" s="34"/>
      <c r="H114" s="34"/>
      <c r="I114" s="34"/>
      <c r="J114" s="34"/>
      <c r="K114" s="660"/>
      <c r="L114" s="37"/>
      <c r="M114" s="37"/>
      <c r="N114" s="660"/>
      <c r="O114" s="660"/>
      <c r="P114" s="660"/>
      <c r="Q114" s="660"/>
      <c r="R114" s="660"/>
      <c r="S114" s="660"/>
      <c r="T114" s="660"/>
      <c r="U114" s="660"/>
      <c r="V114" s="660"/>
      <c r="W114" s="660"/>
      <c r="X114" s="660"/>
      <c r="Y114" s="660"/>
      <c r="Z114" s="660"/>
      <c r="AA114" s="660"/>
      <c r="AB114" s="660"/>
      <c r="AC114" s="660"/>
      <c r="AD114" s="660"/>
      <c r="AE114" s="660"/>
      <c r="AF114" s="660"/>
      <c r="AG114" s="660"/>
      <c r="AH114" s="660"/>
      <c r="AI114" s="660"/>
      <c r="AJ114" s="660"/>
      <c r="AK114" s="660"/>
      <c r="AL114" s="660"/>
      <c r="AM114" s="660"/>
      <c r="AN114" s="660"/>
      <c r="AO114" s="660"/>
      <c r="AP114" s="660"/>
    </row>
    <row r="115" spans="1:42" s="25" customFormat="1">
      <c r="A115" s="39" t="s">
        <v>1295</v>
      </c>
      <c r="B115" s="660"/>
      <c r="C115" s="134">
        <v>57.539424896240199</v>
      </c>
      <c r="D115" s="36">
        <v>59.60474</v>
      </c>
      <c r="E115" s="36">
        <v>54.884025999999999</v>
      </c>
      <c r="F115" s="36">
        <v>50.749091999999997</v>
      </c>
      <c r="G115" s="36">
        <v>47.759135999999998</v>
      </c>
      <c r="H115" s="36">
        <v>45.240603999999998</v>
      </c>
      <c r="I115" s="36">
        <v>43.011868</v>
      </c>
      <c r="J115" s="36">
        <v>41.160136999999999</v>
      </c>
      <c r="K115" s="660"/>
      <c r="L115" s="662"/>
      <c r="M115" s="662"/>
      <c r="N115" s="662"/>
      <c r="O115" s="662"/>
      <c r="P115" s="662"/>
      <c r="Q115" s="662"/>
      <c r="R115" s="662"/>
      <c r="S115" s="662"/>
      <c r="T115" s="68"/>
      <c r="U115" s="68"/>
      <c r="V115" s="68"/>
      <c r="W115" s="68"/>
      <c r="X115" s="68"/>
      <c r="Y115" s="68"/>
      <c r="Z115" s="68"/>
      <c r="AA115" s="68"/>
      <c r="AB115" s="68"/>
      <c r="AC115" s="68"/>
      <c r="AD115" s="68"/>
      <c r="AE115" s="68"/>
      <c r="AF115" s="68"/>
      <c r="AG115" s="68"/>
      <c r="AH115" s="68"/>
      <c r="AI115" s="68"/>
      <c r="AJ115" s="68"/>
      <c r="AK115" s="68"/>
      <c r="AL115" s="68"/>
      <c r="AM115" s="68"/>
      <c r="AN115" s="68"/>
      <c r="AO115" s="68"/>
      <c r="AP115" s="50"/>
    </row>
    <row r="116" spans="1:42" s="25" customFormat="1">
      <c r="A116" s="39" t="s">
        <v>1296</v>
      </c>
      <c r="B116" s="660"/>
      <c r="C116" s="134">
        <v>108.12474060058599</v>
      </c>
      <c r="D116" s="36">
        <v>113.23541299999999</v>
      </c>
      <c r="E116" s="36">
        <v>104.328369</v>
      </c>
      <c r="F116" s="36">
        <v>96.297600000000003</v>
      </c>
      <c r="G116" s="36">
        <v>91.245552000000004</v>
      </c>
      <c r="H116" s="36">
        <v>87.014770999999996</v>
      </c>
      <c r="I116" s="36">
        <v>83.497703999999999</v>
      </c>
      <c r="J116" s="36">
        <v>80.850273000000001</v>
      </c>
      <c r="K116" s="660"/>
      <c r="L116" s="662"/>
      <c r="M116" s="662"/>
      <c r="N116" s="662"/>
      <c r="O116" s="662"/>
      <c r="P116" s="662"/>
      <c r="Q116" s="662"/>
      <c r="R116" s="662"/>
      <c r="S116" s="662"/>
      <c r="T116" s="68"/>
      <c r="U116" s="68"/>
      <c r="V116" s="68"/>
      <c r="W116" s="68"/>
      <c r="X116" s="68"/>
      <c r="Y116" s="68"/>
      <c r="Z116" s="68"/>
      <c r="AA116" s="68"/>
      <c r="AB116" s="68"/>
      <c r="AC116" s="68"/>
      <c r="AD116" s="68"/>
      <c r="AE116" s="68"/>
      <c r="AF116" s="68"/>
      <c r="AG116" s="68"/>
      <c r="AH116" s="68"/>
      <c r="AI116" s="68"/>
      <c r="AJ116" s="68"/>
      <c r="AK116" s="68"/>
      <c r="AL116" s="68"/>
      <c r="AM116" s="68"/>
      <c r="AN116" s="68"/>
      <c r="AO116" s="68"/>
      <c r="AP116" s="50"/>
    </row>
    <row r="117" spans="1:42" s="25" customFormat="1">
      <c r="A117" s="660"/>
      <c r="B117" s="660"/>
      <c r="C117" s="660"/>
      <c r="D117" s="34"/>
      <c r="E117" s="660"/>
      <c r="F117" s="660"/>
      <c r="G117" s="660"/>
      <c r="H117" s="660"/>
      <c r="I117" s="660"/>
      <c r="J117" s="660"/>
      <c r="K117" s="660"/>
      <c r="L117" s="662"/>
      <c r="M117" s="662"/>
      <c r="N117" s="660"/>
      <c r="O117" s="660"/>
      <c r="P117" s="660"/>
      <c r="Q117" s="660"/>
      <c r="R117" s="660"/>
      <c r="S117" s="660"/>
      <c r="T117" s="660"/>
      <c r="U117" s="660"/>
      <c r="V117" s="660"/>
      <c r="W117" s="660"/>
      <c r="X117" s="660"/>
      <c r="Y117" s="660"/>
      <c r="Z117" s="660"/>
      <c r="AA117" s="660"/>
      <c r="AB117" s="660"/>
      <c r="AC117" s="660"/>
      <c r="AD117" s="660"/>
      <c r="AE117" s="660"/>
      <c r="AF117" s="660"/>
      <c r="AG117" s="660"/>
      <c r="AH117" s="660"/>
      <c r="AI117" s="660"/>
      <c r="AJ117" s="660"/>
      <c r="AK117" s="660"/>
      <c r="AL117" s="660"/>
      <c r="AM117" s="660"/>
      <c r="AN117" s="660"/>
      <c r="AO117" s="660"/>
      <c r="AP117" s="660"/>
    </row>
    <row r="118" spans="1:42" s="25" customFormat="1" ht="13">
      <c r="A118" s="39" t="s">
        <v>1298</v>
      </c>
      <c r="B118" s="660"/>
      <c r="C118" s="660"/>
      <c r="D118" s="34"/>
      <c r="E118" s="660"/>
      <c r="F118" s="660"/>
      <c r="G118" s="660"/>
      <c r="H118" s="660"/>
      <c r="I118" s="660"/>
      <c r="J118" s="660"/>
      <c r="K118" s="660"/>
      <c r="L118" s="37"/>
      <c r="M118" s="37"/>
      <c r="N118" s="660"/>
      <c r="O118" s="660"/>
      <c r="P118" s="660"/>
      <c r="Q118" s="660"/>
      <c r="R118" s="660"/>
      <c r="S118" s="660"/>
      <c r="T118" s="660"/>
      <c r="U118" s="660"/>
      <c r="V118" s="660"/>
      <c r="W118" s="660"/>
      <c r="X118" s="660"/>
      <c r="Y118" s="660"/>
      <c r="Z118" s="660"/>
      <c r="AA118" s="660"/>
      <c r="AB118" s="660"/>
      <c r="AC118" s="660"/>
      <c r="AD118" s="660"/>
      <c r="AE118" s="660"/>
      <c r="AF118" s="660"/>
      <c r="AG118" s="660"/>
      <c r="AH118" s="660"/>
      <c r="AI118" s="660"/>
      <c r="AJ118" s="660"/>
      <c r="AK118" s="660"/>
      <c r="AL118" s="660"/>
      <c r="AM118" s="660"/>
      <c r="AN118" s="660"/>
      <c r="AO118" s="660"/>
      <c r="AP118" s="660"/>
    </row>
    <row r="119" spans="1:42" s="25" customFormat="1" ht="13">
      <c r="A119" s="39" t="s">
        <v>1299</v>
      </c>
      <c r="B119" s="660"/>
      <c r="C119" s="660"/>
      <c r="D119" s="34"/>
      <c r="E119" s="660"/>
      <c r="F119" s="660"/>
      <c r="G119" s="660"/>
      <c r="H119" s="660"/>
      <c r="I119" s="660"/>
      <c r="J119" s="660"/>
      <c r="K119" s="660"/>
      <c r="L119" s="37"/>
      <c r="M119" s="37"/>
      <c r="N119" s="660"/>
      <c r="O119" s="660"/>
      <c r="P119" s="660"/>
      <c r="Q119" s="660"/>
      <c r="R119" s="660"/>
      <c r="S119" s="660"/>
      <c r="T119" s="660"/>
      <c r="U119" s="660"/>
      <c r="V119" s="660"/>
      <c r="W119" s="660"/>
      <c r="X119" s="660"/>
      <c r="Y119" s="660"/>
      <c r="Z119" s="660"/>
      <c r="AA119" s="660"/>
      <c r="AB119" s="660"/>
      <c r="AC119" s="660"/>
      <c r="AD119" s="660"/>
      <c r="AE119" s="660"/>
      <c r="AF119" s="660"/>
      <c r="AG119" s="660"/>
      <c r="AH119" s="660"/>
      <c r="AI119" s="660"/>
      <c r="AJ119" s="660"/>
      <c r="AK119" s="660"/>
      <c r="AL119" s="660"/>
      <c r="AM119" s="660"/>
      <c r="AN119" s="660"/>
      <c r="AO119" s="660"/>
      <c r="AP119" s="660"/>
    </row>
    <row r="120" spans="1:42" s="25" customFormat="1">
      <c r="A120" s="39" t="s">
        <v>1300</v>
      </c>
      <c r="B120" s="660"/>
      <c r="C120" s="130">
        <v>0.31044062972068798</v>
      </c>
      <c r="D120" s="36">
        <v>0.37431599999999998</v>
      </c>
      <c r="E120" s="36">
        <v>0.35586800000000002</v>
      </c>
      <c r="F120" s="36">
        <v>0.350018</v>
      </c>
      <c r="G120" s="36">
        <v>0.346829</v>
      </c>
      <c r="H120" s="36">
        <v>0.34055000000000002</v>
      </c>
      <c r="I120" s="36">
        <v>0.33205000000000001</v>
      </c>
      <c r="J120" s="36">
        <v>0.32287399999999999</v>
      </c>
      <c r="K120" s="660"/>
      <c r="L120" s="662"/>
      <c r="M120" s="662"/>
      <c r="N120" s="662"/>
      <c r="O120" s="662"/>
      <c r="P120" s="662"/>
      <c r="Q120" s="662"/>
      <c r="R120" s="662"/>
      <c r="S120" s="662"/>
      <c r="T120" s="34"/>
      <c r="U120" s="34"/>
      <c r="V120" s="34"/>
      <c r="W120" s="34"/>
      <c r="X120" s="34"/>
      <c r="Y120" s="34"/>
      <c r="Z120" s="34"/>
      <c r="AA120" s="34"/>
      <c r="AB120" s="34"/>
      <c r="AC120" s="34"/>
      <c r="AD120" s="34"/>
      <c r="AE120" s="34"/>
      <c r="AF120" s="34"/>
      <c r="AG120" s="34"/>
      <c r="AH120" s="34"/>
      <c r="AI120" s="34"/>
      <c r="AJ120" s="34"/>
      <c r="AK120" s="34"/>
      <c r="AL120" s="34"/>
      <c r="AM120" s="34"/>
      <c r="AN120" s="34"/>
      <c r="AO120" s="34"/>
      <c r="AP120" s="50"/>
    </row>
    <row r="121" spans="1:42" s="25" customFormat="1">
      <c r="A121" s="39" t="s">
        <v>1302</v>
      </c>
      <c r="B121" s="660"/>
      <c r="C121" s="130">
        <v>0.821350157260895</v>
      </c>
      <c r="D121" s="36">
        <v>0.82708599999999999</v>
      </c>
      <c r="E121" s="36">
        <v>0.82296499999999995</v>
      </c>
      <c r="F121" s="36">
        <v>0.88810500000000003</v>
      </c>
      <c r="G121" s="36">
        <v>0.97562300000000002</v>
      </c>
      <c r="H121" s="36">
        <v>1.066975</v>
      </c>
      <c r="I121" s="36">
        <v>1.1596200000000001</v>
      </c>
      <c r="J121" s="36">
        <v>1.2522930000000001</v>
      </c>
      <c r="K121" s="660">
        <f>E121/$D$121</f>
        <v>0.99501744679513371</v>
      </c>
      <c r="L121" s="660">
        <f t="shared" ref="L121:O121" si="89">F121/$D$121</f>
        <v>1.0737758830399742</v>
      </c>
      <c r="M121" s="660">
        <f t="shared" si="89"/>
        <v>1.1795907559794265</v>
      </c>
      <c r="N121" s="660">
        <f t="shared" si="89"/>
        <v>1.2900411807236492</v>
      </c>
      <c r="O121" s="660">
        <f t="shared" si="89"/>
        <v>1.4020549253644725</v>
      </c>
      <c r="P121" s="660">
        <f>J121/$D$121</f>
        <v>1.5141025238004271</v>
      </c>
      <c r="Q121" s="662">
        <f>AVERAGE(K121:P121)</f>
        <v>1.2424304526171805</v>
      </c>
      <c r="R121" s="662">
        <f>J121/D121</f>
        <v>1.5141025238004271</v>
      </c>
      <c r="S121" s="662"/>
      <c r="T121" s="34"/>
      <c r="U121" s="34"/>
      <c r="V121" s="34"/>
      <c r="W121" s="34"/>
      <c r="X121" s="34"/>
      <c r="Y121" s="34"/>
      <c r="Z121" s="34"/>
      <c r="AA121" s="34"/>
      <c r="AB121" s="34"/>
      <c r="AC121" s="34"/>
      <c r="AD121" s="34"/>
      <c r="AE121" s="34"/>
      <c r="AF121" s="34"/>
      <c r="AG121" s="34"/>
      <c r="AH121" s="34"/>
      <c r="AI121" s="34"/>
      <c r="AJ121" s="34"/>
      <c r="AK121" s="34"/>
      <c r="AL121" s="34"/>
      <c r="AM121" s="34"/>
      <c r="AN121" s="34"/>
      <c r="AO121" s="34"/>
      <c r="AP121" s="50"/>
    </row>
    <row r="122" spans="1:42" s="25" customFormat="1">
      <c r="A122" s="39" t="s">
        <v>1303</v>
      </c>
      <c r="B122" s="660"/>
      <c r="C122" s="130">
        <v>0.382184237241745</v>
      </c>
      <c r="D122" s="36">
        <v>0.43712200000000001</v>
      </c>
      <c r="E122" s="36">
        <v>0.46065</v>
      </c>
      <c r="F122" s="36">
        <v>0.47446500000000003</v>
      </c>
      <c r="G122" s="36">
        <v>0.49104300000000001</v>
      </c>
      <c r="H122" s="36">
        <v>0.50100999999999996</v>
      </c>
      <c r="I122" s="36">
        <v>0.50321700000000003</v>
      </c>
      <c r="J122" s="36">
        <v>0.50572600000000001</v>
      </c>
      <c r="K122" s="660"/>
      <c r="L122" s="662"/>
      <c r="M122" s="662"/>
      <c r="N122" s="662"/>
      <c r="O122" s="662"/>
      <c r="P122" s="662"/>
      <c r="Q122" s="662"/>
      <c r="R122" s="662"/>
      <c r="S122" s="662"/>
      <c r="T122" s="34"/>
      <c r="U122" s="34"/>
      <c r="V122" s="34"/>
      <c r="W122" s="34"/>
      <c r="X122" s="34"/>
      <c r="Y122" s="34"/>
      <c r="Z122" s="34"/>
      <c r="AA122" s="34"/>
      <c r="AB122" s="34"/>
      <c r="AC122" s="34"/>
      <c r="AD122" s="34"/>
      <c r="AE122" s="34"/>
      <c r="AF122" s="34"/>
      <c r="AG122" s="34"/>
      <c r="AH122" s="34"/>
      <c r="AI122" s="34"/>
      <c r="AJ122" s="34"/>
      <c r="AK122" s="34"/>
      <c r="AL122" s="34"/>
      <c r="AM122" s="34"/>
      <c r="AN122" s="34"/>
      <c r="AO122" s="34"/>
      <c r="AP122" s="50"/>
    </row>
    <row r="123" spans="1:42" s="25" customFormat="1">
      <c r="A123" s="39" t="s">
        <v>1306</v>
      </c>
      <c r="B123" s="660"/>
      <c r="C123" s="130">
        <v>0.39436101913452098</v>
      </c>
      <c r="D123" s="36">
        <v>0.37790699999999999</v>
      </c>
      <c r="E123" s="36">
        <v>0.37693700000000002</v>
      </c>
      <c r="F123" s="36">
        <v>0.37551299999999999</v>
      </c>
      <c r="G123" s="36">
        <v>0.37684800000000002</v>
      </c>
      <c r="H123" s="36">
        <v>0.38406200000000001</v>
      </c>
      <c r="I123" s="36">
        <v>0.39679799999999998</v>
      </c>
      <c r="J123" s="36">
        <v>0.41375600000000001</v>
      </c>
      <c r="K123" s="660"/>
      <c r="L123" s="662"/>
      <c r="M123" s="662"/>
      <c r="N123" s="662"/>
      <c r="O123" s="662"/>
      <c r="P123" s="662"/>
      <c r="Q123" s="662"/>
      <c r="R123" s="662"/>
      <c r="S123" s="662"/>
      <c r="T123" s="34"/>
      <c r="U123" s="34"/>
      <c r="V123" s="34"/>
      <c r="W123" s="34"/>
      <c r="X123" s="34"/>
      <c r="Y123" s="34"/>
      <c r="Z123" s="34"/>
      <c r="AA123" s="34"/>
      <c r="AB123" s="34"/>
      <c r="AC123" s="34"/>
      <c r="AD123" s="34"/>
      <c r="AE123" s="34"/>
      <c r="AF123" s="34"/>
      <c r="AG123" s="34"/>
      <c r="AH123" s="34"/>
      <c r="AI123" s="34"/>
      <c r="AJ123" s="34"/>
      <c r="AK123" s="34"/>
      <c r="AL123" s="34"/>
      <c r="AM123" s="34"/>
      <c r="AN123" s="34"/>
      <c r="AO123" s="34"/>
      <c r="AP123" s="50"/>
    </row>
    <row r="124" spans="1:42" s="25" customFormat="1">
      <c r="A124" s="39" t="s">
        <v>1308</v>
      </c>
      <c r="B124" s="660"/>
      <c r="C124" s="130">
        <v>0.102017246186733</v>
      </c>
      <c r="D124" s="36">
        <v>0.105281</v>
      </c>
      <c r="E124" s="36">
        <v>0.109099</v>
      </c>
      <c r="F124" s="36">
        <v>0.117116</v>
      </c>
      <c r="G124" s="36">
        <v>0.12457799999999999</v>
      </c>
      <c r="H124" s="36">
        <v>0.13200799999999999</v>
      </c>
      <c r="I124" s="36">
        <v>0.138992</v>
      </c>
      <c r="J124" s="36">
        <v>0.145903</v>
      </c>
      <c r="K124" s="660"/>
      <c r="L124" s="662"/>
      <c r="M124" s="662"/>
      <c r="N124" s="662"/>
      <c r="O124" s="662"/>
      <c r="P124" s="662"/>
      <c r="Q124" s="662"/>
      <c r="R124" s="662"/>
      <c r="S124" s="662"/>
      <c r="T124" s="34"/>
      <c r="U124" s="34"/>
      <c r="V124" s="34"/>
      <c r="W124" s="34"/>
      <c r="X124" s="34"/>
      <c r="Y124" s="34"/>
      <c r="Z124" s="34"/>
      <c r="AA124" s="34"/>
      <c r="AB124" s="34"/>
      <c r="AC124" s="34"/>
      <c r="AD124" s="34"/>
      <c r="AE124" s="34"/>
      <c r="AF124" s="34"/>
      <c r="AG124" s="34"/>
      <c r="AH124" s="34"/>
      <c r="AI124" s="34"/>
      <c r="AJ124" s="34"/>
      <c r="AK124" s="34"/>
      <c r="AL124" s="34"/>
      <c r="AM124" s="34"/>
      <c r="AN124" s="34"/>
      <c r="AO124" s="34"/>
      <c r="AP124" s="50"/>
    </row>
    <row r="125" spans="1:42" s="25" customFormat="1">
      <c r="A125" s="39" t="s">
        <v>1309</v>
      </c>
      <c r="B125" s="660"/>
      <c r="C125" s="130">
        <v>0.25261107087135298</v>
      </c>
      <c r="D125" s="36">
        <v>0.198571</v>
      </c>
      <c r="E125" s="36">
        <v>0.20485800000000001</v>
      </c>
      <c r="F125" s="36">
        <v>0.21132000000000001</v>
      </c>
      <c r="G125" s="36">
        <v>0.220084</v>
      </c>
      <c r="H125" s="36">
        <v>0.230013</v>
      </c>
      <c r="I125" s="36">
        <v>0.24099799999999999</v>
      </c>
      <c r="J125" s="36">
        <v>0.25195899999999999</v>
      </c>
      <c r="K125" s="660"/>
      <c r="L125" s="662"/>
      <c r="M125" s="662"/>
      <c r="N125" s="662"/>
      <c r="O125" s="662"/>
      <c r="P125" s="662"/>
      <c r="Q125" s="662"/>
      <c r="R125" s="662"/>
      <c r="S125" s="662"/>
      <c r="T125" s="34"/>
      <c r="U125" s="34"/>
      <c r="V125" s="34"/>
      <c r="W125" s="34"/>
      <c r="X125" s="34"/>
      <c r="Y125" s="34"/>
      <c r="Z125" s="34"/>
      <c r="AA125" s="34"/>
      <c r="AB125" s="34"/>
      <c r="AC125" s="34"/>
      <c r="AD125" s="34"/>
      <c r="AE125" s="34"/>
      <c r="AF125" s="34"/>
      <c r="AG125" s="34"/>
      <c r="AH125" s="34"/>
      <c r="AI125" s="34"/>
      <c r="AJ125" s="34"/>
      <c r="AK125" s="34"/>
      <c r="AL125" s="34"/>
      <c r="AM125" s="34"/>
      <c r="AN125" s="34"/>
      <c r="AO125" s="34"/>
      <c r="AP125" s="50"/>
    </row>
    <row r="126" spans="1:42" s="25" customFormat="1">
      <c r="A126" s="39" t="s">
        <v>1311</v>
      </c>
      <c r="B126" s="660"/>
      <c r="C126" s="130">
        <v>8.3529256284236894E-2</v>
      </c>
      <c r="D126" s="36">
        <v>7.9626000000000002E-2</v>
      </c>
      <c r="E126" s="36">
        <v>8.0264000000000002E-2</v>
      </c>
      <c r="F126" s="36">
        <v>7.9727999999999993E-2</v>
      </c>
      <c r="G126" s="36">
        <v>7.8634999999999997E-2</v>
      </c>
      <c r="H126" s="36">
        <v>7.7917E-2</v>
      </c>
      <c r="I126" s="36">
        <v>7.7727000000000004E-2</v>
      </c>
      <c r="J126" s="36">
        <v>7.8753000000000004E-2</v>
      </c>
      <c r="K126" s="660"/>
      <c r="L126" s="662"/>
      <c r="M126" s="662"/>
      <c r="N126" s="662"/>
      <c r="O126" s="662"/>
      <c r="P126" s="662"/>
      <c r="Q126" s="662"/>
      <c r="R126" s="662"/>
      <c r="S126" s="662"/>
      <c r="T126" s="34"/>
      <c r="U126" s="34"/>
      <c r="V126" s="34"/>
      <c r="W126" s="34"/>
      <c r="X126" s="34"/>
      <c r="Y126" s="34"/>
      <c r="Z126" s="34"/>
      <c r="AA126" s="34"/>
      <c r="AB126" s="34"/>
      <c r="AC126" s="34"/>
      <c r="AD126" s="34"/>
      <c r="AE126" s="34"/>
      <c r="AF126" s="34"/>
      <c r="AG126" s="34"/>
      <c r="AH126" s="34"/>
      <c r="AI126" s="34"/>
      <c r="AJ126" s="34"/>
      <c r="AK126" s="34"/>
      <c r="AL126" s="34"/>
      <c r="AM126" s="34"/>
      <c r="AN126" s="34"/>
      <c r="AO126" s="34"/>
      <c r="AP126" s="50"/>
    </row>
    <row r="127" spans="1:42" s="25" customFormat="1">
      <c r="A127" s="39" t="s">
        <v>1313</v>
      </c>
      <c r="B127" s="660"/>
      <c r="C127" s="130">
        <v>0.72674226760864302</v>
      </c>
      <c r="D127" s="36">
        <v>0.63835299999999995</v>
      </c>
      <c r="E127" s="36">
        <v>0.498996</v>
      </c>
      <c r="F127" s="36">
        <v>0.43620599999999998</v>
      </c>
      <c r="G127" s="36">
        <v>0.39062000000000002</v>
      </c>
      <c r="H127" s="36">
        <v>0.34983500000000001</v>
      </c>
      <c r="I127" s="36">
        <v>0.29919800000000002</v>
      </c>
      <c r="J127" s="36">
        <v>0.27627400000000002</v>
      </c>
      <c r="K127" s="660"/>
      <c r="L127" s="662"/>
      <c r="M127" s="662"/>
      <c r="N127" s="662"/>
      <c r="O127" s="662"/>
      <c r="P127" s="662"/>
      <c r="Q127" s="662"/>
      <c r="R127" s="662"/>
      <c r="S127" s="662"/>
      <c r="T127" s="34"/>
      <c r="U127" s="34"/>
      <c r="V127" s="34"/>
      <c r="W127" s="34"/>
      <c r="X127" s="34"/>
      <c r="Y127" s="34"/>
      <c r="Z127" s="34"/>
      <c r="AA127" s="34"/>
      <c r="AB127" s="34"/>
      <c r="AC127" s="34"/>
      <c r="AD127" s="34"/>
      <c r="AE127" s="34"/>
      <c r="AF127" s="34"/>
      <c r="AG127" s="34"/>
      <c r="AH127" s="34"/>
      <c r="AI127" s="34"/>
      <c r="AJ127" s="34"/>
      <c r="AK127" s="34"/>
      <c r="AL127" s="34"/>
      <c r="AM127" s="34"/>
      <c r="AN127" s="34"/>
      <c r="AO127" s="34"/>
      <c r="AP127" s="50"/>
    </row>
    <row r="128" spans="1:42" s="25" customFormat="1">
      <c r="A128" s="39" t="s">
        <v>1315</v>
      </c>
      <c r="B128" s="660"/>
      <c r="C128" s="130">
        <v>3.4679807722568498E-2</v>
      </c>
      <c r="D128" s="36">
        <v>3.1628999999999997E-2</v>
      </c>
      <c r="E128" s="36">
        <v>3.0263000000000002E-2</v>
      </c>
      <c r="F128" s="36">
        <v>2.5973E-2</v>
      </c>
      <c r="G128" s="36">
        <v>2.2155999999999999E-2</v>
      </c>
      <c r="H128" s="36">
        <v>2.0947E-2</v>
      </c>
      <c r="I128" s="36">
        <v>2.147E-2</v>
      </c>
      <c r="J128" s="36">
        <v>2.2419999999999999E-2</v>
      </c>
      <c r="K128" s="660"/>
      <c r="L128" s="662"/>
      <c r="M128" s="662"/>
      <c r="N128" s="662"/>
      <c r="O128" s="662"/>
      <c r="P128" s="662"/>
      <c r="Q128" s="662"/>
      <c r="R128" s="662"/>
      <c r="S128" s="662"/>
      <c r="T128" s="34"/>
      <c r="U128" s="34"/>
      <c r="V128" s="34"/>
      <c r="W128" s="34"/>
      <c r="X128" s="34"/>
      <c r="Y128" s="34"/>
      <c r="Z128" s="34"/>
      <c r="AA128" s="34"/>
      <c r="AB128" s="34"/>
      <c r="AC128" s="34"/>
      <c r="AD128" s="34"/>
      <c r="AE128" s="34"/>
      <c r="AF128" s="34"/>
      <c r="AG128" s="34"/>
      <c r="AH128" s="34"/>
      <c r="AI128" s="34"/>
      <c r="AJ128" s="34"/>
      <c r="AK128" s="34"/>
      <c r="AL128" s="34"/>
      <c r="AM128" s="34"/>
      <c r="AN128" s="34"/>
      <c r="AO128" s="34"/>
      <c r="AP128" s="50"/>
    </row>
    <row r="129" spans="1:42" s="25" customFormat="1">
      <c r="A129" s="39" t="s">
        <v>1316</v>
      </c>
      <c r="B129" s="660"/>
      <c r="C129" s="130">
        <v>9.5851413905620603E-2</v>
      </c>
      <c r="D129" s="36">
        <v>9.9588999999999997E-2</v>
      </c>
      <c r="E129" s="36">
        <v>9.8664000000000002E-2</v>
      </c>
      <c r="F129" s="36">
        <v>9.7799999999999998E-2</v>
      </c>
      <c r="G129" s="36">
        <v>9.7684999999999994E-2</v>
      </c>
      <c r="H129" s="36">
        <v>0.104022</v>
      </c>
      <c r="I129" s="36">
        <v>0.111884</v>
      </c>
      <c r="J129" s="36">
        <v>0.1197</v>
      </c>
      <c r="K129" s="660"/>
      <c r="L129" s="662"/>
      <c r="M129" s="662"/>
      <c r="N129" s="662"/>
      <c r="O129" s="662"/>
      <c r="P129" s="662"/>
      <c r="Q129" s="662"/>
      <c r="R129" s="662"/>
      <c r="S129" s="662"/>
      <c r="T129" s="34"/>
      <c r="U129" s="34"/>
      <c r="V129" s="34"/>
      <c r="W129" s="34"/>
      <c r="X129" s="34"/>
      <c r="Y129" s="34"/>
      <c r="Z129" s="34"/>
      <c r="AA129" s="34"/>
      <c r="AB129" s="34"/>
      <c r="AC129" s="34"/>
      <c r="AD129" s="34"/>
      <c r="AE129" s="34"/>
      <c r="AF129" s="34"/>
      <c r="AG129" s="34"/>
      <c r="AH129" s="34"/>
      <c r="AI129" s="34"/>
      <c r="AJ129" s="34"/>
      <c r="AK129" s="34"/>
      <c r="AL129" s="34"/>
      <c r="AM129" s="34"/>
      <c r="AN129" s="34"/>
      <c r="AO129" s="34"/>
      <c r="AP129" s="50"/>
    </row>
    <row r="130" spans="1:42" s="25" customFormat="1">
      <c r="A130" s="39" t="s">
        <v>1318</v>
      </c>
      <c r="B130" s="660"/>
      <c r="C130" s="130">
        <v>0.29940426349639898</v>
      </c>
      <c r="D130" s="36">
        <v>0.33408399999999999</v>
      </c>
      <c r="E130" s="36">
        <v>0.32941999999999999</v>
      </c>
      <c r="F130" s="36">
        <v>0.32728299999999999</v>
      </c>
      <c r="G130" s="36">
        <v>0.33494699999999999</v>
      </c>
      <c r="H130" s="36">
        <v>0.35036</v>
      </c>
      <c r="I130" s="36">
        <v>0.37098100000000001</v>
      </c>
      <c r="J130" s="36">
        <v>0.38829999999999998</v>
      </c>
      <c r="K130" s="660"/>
      <c r="L130" s="662"/>
      <c r="M130" s="662"/>
      <c r="N130" s="662"/>
      <c r="O130" s="662"/>
      <c r="P130" s="662"/>
      <c r="Q130" s="662"/>
      <c r="R130" s="662"/>
      <c r="S130" s="662"/>
      <c r="T130" s="34"/>
      <c r="U130" s="34"/>
      <c r="V130" s="34"/>
      <c r="W130" s="34"/>
      <c r="X130" s="34"/>
      <c r="Y130" s="34"/>
      <c r="Z130" s="34"/>
      <c r="AA130" s="34"/>
      <c r="AB130" s="34"/>
      <c r="AC130" s="34"/>
      <c r="AD130" s="34"/>
      <c r="AE130" s="34"/>
      <c r="AF130" s="34"/>
      <c r="AG130" s="34"/>
      <c r="AH130" s="34"/>
      <c r="AI130" s="34"/>
      <c r="AJ130" s="34"/>
      <c r="AK130" s="34"/>
      <c r="AL130" s="34"/>
      <c r="AM130" s="34"/>
      <c r="AN130" s="34"/>
      <c r="AO130" s="34"/>
      <c r="AP130" s="50"/>
    </row>
    <row r="131" spans="1:42" s="25" customFormat="1">
      <c r="A131" s="39" t="s">
        <v>1320</v>
      </c>
      <c r="B131" s="660"/>
      <c r="C131" s="130">
        <v>6.5222315490245805E-2</v>
      </c>
      <c r="D131" s="36">
        <v>0.12784400000000001</v>
      </c>
      <c r="E131" s="36">
        <v>0.11465599999999999</v>
      </c>
      <c r="F131" s="36">
        <v>9.7959000000000004E-2</v>
      </c>
      <c r="G131" s="36">
        <v>8.3530999999999994E-2</v>
      </c>
      <c r="H131" s="36">
        <v>7.1593000000000004E-2</v>
      </c>
      <c r="I131" s="36">
        <v>6.1940000000000002E-2</v>
      </c>
      <c r="J131" s="36">
        <v>5.2770999999999998E-2</v>
      </c>
      <c r="K131" s="660"/>
      <c r="L131" s="662"/>
      <c r="M131" s="662"/>
      <c r="N131" s="662"/>
      <c r="O131" s="662"/>
      <c r="P131" s="662"/>
      <c r="Q131" s="662"/>
      <c r="R131" s="662"/>
      <c r="S131" s="662"/>
      <c r="T131" s="34"/>
      <c r="U131" s="34"/>
      <c r="V131" s="34"/>
      <c r="W131" s="34"/>
      <c r="X131" s="34"/>
      <c r="Y131" s="34"/>
      <c r="Z131" s="34"/>
      <c r="AA131" s="34"/>
      <c r="AB131" s="34"/>
      <c r="AC131" s="34"/>
      <c r="AD131" s="34"/>
      <c r="AE131" s="34"/>
      <c r="AF131" s="34"/>
      <c r="AG131" s="34"/>
      <c r="AH131" s="34"/>
      <c r="AI131" s="34"/>
      <c r="AJ131" s="34"/>
      <c r="AK131" s="34"/>
      <c r="AL131" s="34"/>
      <c r="AM131" s="34"/>
      <c r="AN131" s="34"/>
      <c r="AO131" s="34"/>
      <c r="AP131" s="50"/>
    </row>
    <row r="132" spans="1:42" s="25" customFormat="1">
      <c r="A132" s="39" t="s">
        <v>1322</v>
      </c>
      <c r="B132" s="660"/>
      <c r="C132" s="130">
        <v>5.9013724327087402E-2</v>
      </c>
      <c r="D132" s="36">
        <v>0.11804000000000001</v>
      </c>
      <c r="E132" s="36">
        <v>0.113596</v>
      </c>
      <c r="F132" s="36">
        <v>0.115033</v>
      </c>
      <c r="G132" s="36">
        <v>0.116506</v>
      </c>
      <c r="H132" s="36">
        <v>0.117882</v>
      </c>
      <c r="I132" s="36">
        <v>0.118399</v>
      </c>
      <c r="J132" s="36">
        <v>0.118285</v>
      </c>
      <c r="K132" s="660"/>
      <c r="L132" s="662"/>
      <c r="M132" s="662"/>
      <c r="N132" s="662"/>
      <c r="O132" s="662"/>
      <c r="P132" s="662"/>
      <c r="Q132" s="662"/>
      <c r="R132" s="662"/>
      <c r="S132" s="662"/>
      <c r="T132" s="34"/>
      <c r="U132" s="34"/>
      <c r="V132" s="34"/>
      <c r="W132" s="34"/>
      <c r="X132" s="34"/>
      <c r="Y132" s="34"/>
      <c r="Z132" s="34"/>
      <c r="AA132" s="34"/>
      <c r="AB132" s="34"/>
      <c r="AC132" s="34"/>
      <c r="AD132" s="34"/>
      <c r="AE132" s="34"/>
      <c r="AF132" s="34"/>
      <c r="AG132" s="34"/>
      <c r="AH132" s="34"/>
      <c r="AI132" s="34"/>
      <c r="AJ132" s="34"/>
      <c r="AK132" s="34"/>
      <c r="AL132" s="34"/>
      <c r="AM132" s="34"/>
      <c r="AN132" s="34"/>
      <c r="AO132" s="34"/>
      <c r="AP132" s="50"/>
    </row>
    <row r="133" spans="1:42" s="25" customFormat="1">
      <c r="A133" s="39" t="s">
        <v>1324</v>
      </c>
      <c r="B133" s="660"/>
      <c r="C133" s="130">
        <v>1.01017153263092</v>
      </c>
      <c r="D133" s="36">
        <v>1.1051420000000001</v>
      </c>
      <c r="E133" s="36">
        <v>1.1481209999999999</v>
      </c>
      <c r="F133" s="36">
        <v>1.242232</v>
      </c>
      <c r="G133" s="36">
        <v>1.3448169999999999</v>
      </c>
      <c r="H133" s="36">
        <v>1.4596690000000001</v>
      </c>
      <c r="I133" s="36">
        <v>1.575928</v>
      </c>
      <c r="J133" s="36">
        <v>1.70329</v>
      </c>
      <c r="K133" s="660"/>
      <c r="L133" s="662"/>
      <c r="M133" s="662"/>
      <c r="N133" s="662"/>
      <c r="O133" s="662"/>
      <c r="P133" s="662"/>
      <c r="Q133" s="662"/>
      <c r="R133" s="662"/>
      <c r="S133" s="662"/>
      <c r="T133" s="34"/>
      <c r="U133" s="34"/>
      <c r="V133" s="34"/>
      <c r="W133" s="34"/>
      <c r="X133" s="34"/>
      <c r="Y133" s="34"/>
      <c r="Z133" s="34"/>
      <c r="AA133" s="34"/>
      <c r="AB133" s="34"/>
      <c r="AC133" s="34"/>
      <c r="AD133" s="34"/>
      <c r="AE133" s="34"/>
      <c r="AF133" s="34"/>
      <c r="AG133" s="34"/>
      <c r="AH133" s="34"/>
      <c r="AI133" s="34"/>
      <c r="AJ133" s="34"/>
      <c r="AK133" s="34"/>
      <c r="AL133" s="34"/>
      <c r="AM133" s="34"/>
      <c r="AN133" s="34"/>
      <c r="AO133" s="34"/>
      <c r="AP133" s="50"/>
    </row>
    <row r="134" spans="1:42" s="25" customFormat="1" ht="13">
      <c r="A134" s="39" t="s">
        <v>1325</v>
      </c>
      <c r="B134" s="660"/>
      <c r="C134" s="130">
        <v>4.6375794410705602</v>
      </c>
      <c r="D134" s="38">
        <v>4.85459</v>
      </c>
      <c r="E134" s="38">
        <v>4.7443549999999997</v>
      </c>
      <c r="F134" s="38">
        <v>4.8387510000000002</v>
      </c>
      <c r="G134" s="38">
        <v>5.0039009999999999</v>
      </c>
      <c r="H134" s="38">
        <v>5.2068430000000001</v>
      </c>
      <c r="I134" s="38">
        <v>5.4092019999999996</v>
      </c>
      <c r="J134" s="38">
        <v>5.6523029999999999</v>
      </c>
      <c r="K134" s="660"/>
      <c r="L134" s="37"/>
      <c r="M134" s="37"/>
      <c r="N134" s="37"/>
      <c r="O134" s="37"/>
      <c r="P134" s="37"/>
      <c r="Q134" s="37"/>
      <c r="R134" s="37"/>
      <c r="S134" s="37"/>
      <c r="T134" s="59"/>
      <c r="U134" s="59"/>
      <c r="V134" s="59"/>
      <c r="W134" s="59"/>
      <c r="X134" s="59"/>
      <c r="Y134" s="59"/>
      <c r="Z134" s="59"/>
      <c r="AA134" s="59"/>
      <c r="AB134" s="59"/>
      <c r="AC134" s="59"/>
      <c r="AD134" s="59"/>
      <c r="AE134" s="59"/>
      <c r="AF134" s="59"/>
      <c r="AG134" s="59"/>
      <c r="AH134" s="59"/>
      <c r="AI134" s="59"/>
      <c r="AJ134" s="59"/>
      <c r="AK134" s="59"/>
      <c r="AL134" s="59"/>
      <c r="AM134" s="59"/>
      <c r="AN134" s="59"/>
      <c r="AO134" s="59"/>
      <c r="AP134" s="131"/>
    </row>
    <row r="135" spans="1:42" s="25" customFormat="1">
      <c r="A135" s="660"/>
      <c r="B135" s="660"/>
      <c r="C135" s="660"/>
      <c r="D135" s="34"/>
      <c r="E135" s="34"/>
      <c r="F135" s="34"/>
      <c r="G135" s="34"/>
      <c r="H135" s="34"/>
      <c r="I135" s="34"/>
      <c r="J135" s="34"/>
      <c r="K135" s="660"/>
      <c r="L135" s="662"/>
      <c r="M135" s="662"/>
      <c r="N135" s="660"/>
      <c r="O135" s="660"/>
      <c r="P135" s="660"/>
      <c r="Q135" s="660"/>
      <c r="R135" s="660"/>
      <c r="S135" s="660"/>
      <c r="T135" s="660"/>
      <c r="U135" s="660"/>
      <c r="V135" s="660"/>
      <c r="W135" s="660"/>
      <c r="X135" s="660"/>
      <c r="Y135" s="660"/>
      <c r="Z135" s="660"/>
      <c r="AA135" s="660"/>
      <c r="AB135" s="660"/>
      <c r="AC135" s="660"/>
      <c r="AD135" s="660"/>
      <c r="AE135" s="660"/>
      <c r="AF135" s="660"/>
      <c r="AG135" s="660"/>
      <c r="AH135" s="660"/>
      <c r="AI135" s="660"/>
      <c r="AJ135" s="660"/>
      <c r="AK135" s="660"/>
      <c r="AL135" s="660"/>
      <c r="AM135" s="660"/>
      <c r="AN135" s="660"/>
      <c r="AO135" s="660"/>
      <c r="AP135" s="660"/>
    </row>
    <row r="136" spans="1:42" s="25" customFormat="1" ht="13">
      <c r="A136" s="39" t="s">
        <v>1326</v>
      </c>
      <c r="B136" s="660"/>
      <c r="C136" s="660"/>
      <c r="D136" s="34"/>
      <c r="E136" s="34"/>
      <c r="F136" s="34"/>
      <c r="G136" s="34"/>
      <c r="H136" s="34"/>
      <c r="I136" s="34"/>
      <c r="J136" s="34"/>
      <c r="K136" s="660"/>
      <c r="L136" s="37"/>
      <c r="M136" s="37"/>
      <c r="N136" s="660"/>
      <c r="O136" s="660"/>
      <c r="P136" s="660"/>
      <c r="Q136" s="660"/>
      <c r="R136" s="660"/>
      <c r="S136" s="660"/>
      <c r="T136" s="660"/>
      <c r="U136" s="660"/>
      <c r="V136" s="660"/>
      <c r="W136" s="660"/>
      <c r="X136" s="660"/>
      <c r="Y136" s="660"/>
      <c r="Z136" s="660"/>
      <c r="AA136" s="660"/>
      <c r="AB136" s="660"/>
      <c r="AC136" s="660"/>
      <c r="AD136" s="660"/>
      <c r="AE136" s="660"/>
      <c r="AF136" s="660"/>
      <c r="AG136" s="660"/>
      <c r="AH136" s="660"/>
      <c r="AI136" s="660"/>
      <c r="AJ136" s="660"/>
      <c r="AK136" s="660"/>
      <c r="AL136" s="660"/>
      <c r="AM136" s="660"/>
      <c r="AN136" s="660"/>
      <c r="AO136" s="660"/>
      <c r="AP136" s="660"/>
    </row>
    <row r="137" spans="1:42" s="25" customFormat="1">
      <c r="A137" s="39" t="s">
        <v>1300</v>
      </c>
      <c r="B137" s="660"/>
      <c r="C137" s="130">
        <f>C143-SUM(C138:C142)</f>
        <v>3.3343359846145226</v>
      </c>
      <c r="D137" s="36">
        <v>3.0893359999999999</v>
      </c>
      <c r="E137" s="36">
        <v>2.870689</v>
      </c>
      <c r="F137" s="36">
        <v>2.8237290000000002</v>
      </c>
      <c r="G137" s="36">
        <v>2.7605819999999999</v>
      </c>
      <c r="H137" s="36">
        <v>2.69312</v>
      </c>
      <c r="I137" s="36">
        <v>2.6173099999999998</v>
      </c>
      <c r="J137" s="36">
        <v>2.53756</v>
      </c>
      <c r="K137" s="660"/>
      <c r="L137" s="662"/>
      <c r="M137" s="662"/>
      <c r="N137" s="662"/>
      <c r="O137" s="662"/>
      <c r="P137" s="662"/>
      <c r="Q137" s="662"/>
      <c r="R137" s="662"/>
      <c r="S137" s="662"/>
      <c r="T137" s="34"/>
      <c r="U137" s="34"/>
      <c r="V137" s="34"/>
      <c r="W137" s="34"/>
      <c r="X137" s="34"/>
      <c r="Y137" s="34"/>
      <c r="Z137" s="34"/>
      <c r="AA137" s="34"/>
      <c r="AB137" s="34"/>
      <c r="AC137" s="34"/>
      <c r="AD137" s="34"/>
      <c r="AE137" s="34"/>
      <c r="AF137" s="34"/>
      <c r="AG137" s="34"/>
      <c r="AH137" s="34"/>
      <c r="AI137" s="34"/>
      <c r="AJ137" s="34"/>
      <c r="AK137" s="34"/>
      <c r="AL137" s="34"/>
      <c r="AM137" s="34"/>
      <c r="AN137" s="34"/>
      <c r="AO137" s="34"/>
      <c r="AP137" s="50"/>
    </row>
    <row r="138" spans="1:42" s="25" customFormat="1">
      <c r="A138" s="39" t="s">
        <v>1302</v>
      </c>
      <c r="B138" s="660"/>
      <c r="C138" s="130">
        <v>1.1000000021965699E-8</v>
      </c>
      <c r="D138" s="36">
        <v>2.2401999999999998E-2</v>
      </c>
      <c r="E138" s="36">
        <v>2.2030999999999999E-2</v>
      </c>
      <c r="F138" s="36">
        <v>2.2488999999999999E-2</v>
      </c>
      <c r="G138" s="36">
        <v>2.1885000000000002E-2</v>
      </c>
      <c r="H138" s="36">
        <v>2.1101999999999999E-2</v>
      </c>
      <c r="I138" s="36">
        <v>2.0320000000000001E-2</v>
      </c>
      <c r="J138" s="36">
        <v>1.9793000000000002E-2</v>
      </c>
      <c r="K138" s="660"/>
      <c r="L138" s="662"/>
      <c r="M138" s="662"/>
      <c r="N138" s="662"/>
      <c r="O138" s="662"/>
      <c r="P138" s="662"/>
      <c r="Q138" s="662"/>
      <c r="R138" s="662"/>
      <c r="S138" s="662"/>
      <c r="T138" s="34"/>
      <c r="U138" s="34"/>
      <c r="V138" s="34"/>
      <c r="W138" s="34"/>
      <c r="X138" s="34"/>
      <c r="Y138" s="34"/>
      <c r="Z138" s="34"/>
      <c r="AA138" s="34"/>
      <c r="AB138" s="34"/>
      <c r="AC138" s="34"/>
      <c r="AD138" s="34"/>
      <c r="AE138" s="34"/>
      <c r="AF138" s="34"/>
      <c r="AG138" s="34"/>
      <c r="AH138" s="34"/>
      <c r="AI138" s="34"/>
      <c r="AJ138" s="34"/>
      <c r="AK138" s="34"/>
      <c r="AL138" s="34"/>
      <c r="AM138" s="34"/>
      <c r="AN138" s="34"/>
      <c r="AO138" s="34"/>
      <c r="AP138" s="135"/>
    </row>
    <row r="139" spans="1:42" s="25" customFormat="1">
      <c r="A139" s="39" t="s">
        <v>1303</v>
      </c>
      <c r="B139" s="660"/>
      <c r="C139" s="130">
        <v>1.0887750387191799</v>
      </c>
      <c r="D139" s="36">
        <v>1.1998230000000001</v>
      </c>
      <c r="E139" s="36">
        <v>1.2050989999999999</v>
      </c>
      <c r="F139" s="36">
        <v>1.208537</v>
      </c>
      <c r="G139" s="36">
        <v>1.2195640000000001</v>
      </c>
      <c r="H139" s="36">
        <v>1.217849</v>
      </c>
      <c r="I139" s="36">
        <v>1.1885269999999999</v>
      </c>
      <c r="J139" s="36">
        <v>1.156533</v>
      </c>
      <c r="K139" s="660"/>
      <c r="L139" s="662"/>
      <c r="M139" s="662"/>
      <c r="N139" s="662"/>
      <c r="O139" s="662"/>
      <c r="P139" s="662"/>
      <c r="Q139" s="662"/>
      <c r="R139" s="662"/>
      <c r="S139" s="662"/>
      <c r="T139" s="34"/>
      <c r="U139" s="34"/>
      <c r="V139" s="34"/>
      <c r="W139" s="34"/>
      <c r="X139" s="34"/>
      <c r="Y139" s="34"/>
      <c r="Z139" s="34"/>
      <c r="AA139" s="34"/>
      <c r="AB139" s="34"/>
      <c r="AC139" s="34"/>
      <c r="AD139" s="34"/>
      <c r="AE139" s="34"/>
      <c r="AF139" s="34"/>
      <c r="AG139" s="34"/>
      <c r="AH139" s="34"/>
      <c r="AI139" s="34"/>
      <c r="AJ139" s="34"/>
      <c r="AK139" s="34"/>
      <c r="AL139" s="34"/>
      <c r="AM139" s="34"/>
      <c r="AN139" s="34"/>
      <c r="AO139" s="34"/>
      <c r="AP139" s="50"/>
    </row>
    <row r="140" spans="1:42" s="25" customFormat="1">
      <c r="A140" s="39" t="s">
        <v>1308</v>
      </c>
      <c r="B140" s="660"/>
      <c r="C140" s="130">
        <v>0.216470271348953</v>
      </c>
      <c r="D140" s="36">
        <v>0.20971300000000001</v>
      </c>
      <c r="E140" s="36">
        <v>0.208651</v>
      </c>
      <c r="F140" s="36">
        <v>0.209926</v>
      </c>
      <c r="G140" s="36">
        <v>0.210762</v>
      </c>
      <c r="H140" s="36">
        <v>0.21285899999999999</v>
      </c>
      <c r="I140" s="36">
        <v>0.21637700000000001</v>
      </c>
      <c r="J140" s="36">
        <v>0.21986</v>
      </c>
      <c r="K140" s="660"/>
      <c r="L140" s="662"/>
      <c r="M140" s="662"/>
      <c r="N140" s="662"/>
      <c r="O140" s="662"/>
      <c r="P140" s="662"/>
      <c r="Q140" s="662"/>
      <c r="R140" s="662"/>
      <c r="S140" s="662"/>
      <c r="T140" s="34"/>
      <c r="U140" s="34"/>
      <c r="V140" s="34"/>
      <c r="W140" s="34"/>
      <c r="X140" s="34"/>
      <c r="Y140" s="34"/>
      <c r="Z140" s="34"/>
      <c r="AA140" s="34"/>
      <c r="AB140" s="34"/>
      <c r="AC140" s="34"/>
      <c r="AD140" s="34"/>
      <c r="AE140" s="34"/>
      <c r="AF140" s="34"/>
      <c r="AG140" s="34"/>
      <c r="AH140" s="34"/>
      <c r="AI140" s="34"/>
      <c r="AJ140" s="34"/>
      <c r="AK140" s="34"/>
      <c r="AL140" s="34"/>
      <c r="AM140" s="34"/>
      <c r="AN140" s="34"/>
      <c r="AO140" s="34"/>
      <c r="AP140" s="50"/>
    </row>
    <row r="141" spans="1:42" s="25" customFormat="1" ht="13">
      <c r="A141" s="39" t="s">
        <v>1309</v>
      </c>
      <c r="B141" s="660"/>
      <c r="C141" s="130">
        <v>7.1999199688434601E-2</v>
      </c>
      <c r="D141" s="36">
        <v>4.9576000000000002E-2</v>
      </c>
      <c r="E141" s="36">
        <v>5.1721999999999997E-2</v>
      </c>
      <c r="F141" s="36">
        <v>5.4331999999999998E-2</v>
      </c>
      <c r="G141" s="36">
        <v>5.6467999999999997E-2</v>
      </c>
      <c r="H141" s="36">
        <v>5.8194999999999997E-2</v>
      </c>
      <c r="I141" s="36">
        <v>5.9565E-2</v>
      </c>
      <c r="J141" s="36">
        <v>6.1062999999999999E-2</v>
      </c>
      <c r="K141" s="660"/>
      <c r="L141" s="662"/>
      <c r="M141" s="662"/>
      <c r="N141" s="662"/>
      <c r="O141" s="662"/>
      <c r="P141" s="662"/>
      <c r="Q141" s="662"/>
      <c r="R141" s="662"/>
      <c r="S141" s="662"/>
      <c r="T141" s="59"/>
      <c r="U141" s="59"/>
      <c r="V141" s="59"/>
      <c r="W141" s="59"/>
      <c r="X141" s="59"/>
      <c r="Y141" s="59"/>
      <c r="Z141" s="59"/>
      <c r="AA141" s="59"/>
      <c r="AB141" s="59"/>
      <c r="AC141" s="59"/>
      <c r="AD141" s="59"/>
      <c r="AE141" s="59"/>
      <c r="AF141" s="59"/>
      <c r="AG141" s="59"/>
      <c r="AH141" s="59"/>
      <c r="AI141" s="59"/>
      <c r="AJ141" s="59"/>
      <c r="AK141" s="59"/>
      <c r="AL141" s="59"/>
      <c r="AM141" s="59"/>
      <c r="AN141" s="59"/>
      <c r="AO141" s="59"/>
      <c r="AP141" s="131"/>
    </row>
    <row r="142" spans="1:42" s="25" customFormat="1" ht="13">
      <c r="A142" s="39" t="s">
        <v>1327</v>
      </c>
      <c r="B142" s="660"/>
      <c r="C142" s="130">
        <v>0.26</v>
      </c>
      <c r="D142" s="36">
        <v>0.24676100000000001</v>
      </c>
      <c r="E142" s="36">
        <v>0.24453900000000001</v>
      </c>
      <c r="F142" s="36">
        <v>0.23808099999999999</v>
      </c>
      <c r="G142" s="36">
        <v>0.231403</v>
      </c>
      <c r="H142" s="36">
        <v>0.22462799999999999</v>
      </c>
      <c r="I142" s="36">
        <v>0.21806</v>
      </c>
      <c r="J142" s="36">
        <v>0.21132000000000001</v>
      </c>
      <c r="K142" s="660"/>
      <c r="L142" s="37"/>
      <c r="M142" s="37"/>
      <c r="N142" s="37"/>
      <c r="O142" s="37"/>
      <c r="P142" s="37"/>
      <c r="Q142" s="37"/>
      <c r="R142" s="37"/>
      <c r="S142" s="37"/>
      <c r="T142" s="660"/>
      <c r="U142" s="660"/>
      <c r="V142" s="660"/>
      <c r="W142" s="660"/>
      <c r="X142" s="660"/>
      <c r="Y142" s="660"/>
      <c r="Z142" s="660"/>
      <c r="AA142" s="660"/>
      <c r="AB142" s="660"/>
      <c r="AC142" s="660"/>
      <c r="AD142" s="660"/>
      <c r="AE142" s="660"/>
      <c r="AF142" s="660"/>
      <c r="AG142" s="660"/>
      <c r="AH142" s="660"/>
      <c r="AI142" s="660"/>
      <c r="AJ142" s="660"/>
      <c r="AK142" s="660"/>
      <c r="AL142" s="660"/>
      <c r="AM142" s="660"/>
      <c r="AN142" s="660"/>
      <c r="AO142" s="660"/>
      <c r="AP142" s="660"/>
    </row>
    <row r="143" spans="1:42" s="25" customFormat="1" ht="13">
      <c r="A143" s="39" t="s">
        <v>1325</v>
      </c>
      <c r="B143" s="660"/>
      <c r="C143" s="130">
        <v>4.9715805053710902</v>
      </c>
      <c r="D143" s="38">
        <v>4.8176100000000002</v>
      </c>
      <c r="E143" s="38">
        <v>4.6027329999999997</v>
      </c>
      <c r="F143" s="38">
        <v>4.5570950000000003</v>
      </c>
      <c r="G143" s="38">
        <v>4.5006640000000004</v>
      </c>
      <c r="H143" s="38">
        <v>4.4277519999999999</v>
      </c>
      <c r="I143" s="38">
        <v>4.3201590000000003</v>
      </c>
      <c r="J143" s="38">
        <v>4.2061289999999998</v>
      </c>
      <c r="K143" s="660"/>
      <c r="L143" s="662"/>
      <c r="M143" s="662"/>
      <c r="N143" s="660"/>
      <c r="O143" s="660"/>
      <c r="P143" s="660"/>
      <c r="Q143" s="660"/>
      <c r="R143" s="660"/>
      <c r="S143" s="660"/>
      <c r="T143" s="660"/>
      <c r="U143" s="660"/>
      <c r="V143" s="660"/>
      <c r="W143" s="660"/>
      <c r="X143" s="660"/>
      <c r="Y143" s="660"/>
      <c r="Z143" s="660"/>
      <c r="AA143" s="660"/>
      <c r="AB143" s="660"/>
      <c r="AC143" s="660"/>
      <c r="AD143" s="660"/>
      <c r="AE143" s="660"/>
      <c r="AF143" s="660"/>
      <c r="AG143" s="660"/>
      <c r="AH143" s="660"/>
      <c r="AI143" s="660"/>
      <c r="AJ143" s="660"/>
      <c r="AK143" s="660"/>
      <c r="AL143" s="660"/>
      <c r="AM143" s="660"/>
      <c r="AN143" s="660"/>
      <c r="AO143" s="660"/>
      <c r="AP143" s="660"/>
    </row>
    <row r="144" spans="1:42" s="25" customFormat="1" ht="13">
      <c r="A144" s="660"/>
      <c r="B144" s="660"/>
      <c r="C144" s="660"/>
      <c r="D144" s="34"/>
      <c r="E144" s="34"/>
      <c r="F144" s="34"/>
      <c r="G144" s="34"/>
      <c r="H144" s="34"/>
      <c r="I144" s="34"/>
      <c r="J144" s="34"/>
      <c r="K144" s="660"/>
      <c r="L144" s="37"/>
      <c r="M144" s="37"/>
      <c r="N144" s="660"/>
      <c r="O144" s="660"/>
      <c r="P144" s="660"/>
      <c r="Q144" s="660"/>
      <c r="R144" s="660"/>
      <c r="S144" s="660"/>
      <c r="T144" s="34"/>
      <c r="U144" s="34"/>
      <c r="V144" s="34"/>
      <c r="W144" s="34"/>
      <c r="X144" s="34"/>
      <c r="Y144" s="34"/>
      <c r="Z144" s="34"/>
      <c r="AA144" s="34"/>
      <c r="AB144" s="34"/>
      <c r="AC144" s="34"/>
      <c r="AD144" s="34"/>
      <c r="AE144" s="34"/>
      <c r="AF144" s="34"/>
      <c r="AG144" s="34"/>
      <c r="AH144" s="34"/>
      <c r="AI144" s="34"/>
      <c r="AJ144" s="34"/>
      <c r="AK144" s="34"/>
      <c r="AL144" s="34"/>
      <c r="AM144" s="34"/>
      <c r="AN144" s="34"/>
      <c r="AO144" s="34"/>
      <c r="AP144" s="50"/>
    </row>
    <row r="145" spans="1:42" s="25" customFormat="1">
      <c r="A145" s="39" t="s">
        <v>1328</v>
      </c>
      <c r="B145" s="660"/>
      <c r="C145" s="660"/>
      <c r="D145" s="34"/>
      <c r="E145" s="34"/>
      <c r="F145" s="34"/>
      <c r="G145" s="34"/>
      <c r="H145" s="34"/>
      <c r="I145" s="34"/>
      <c r="J145" s="34"/>
      <c r="K145" s="660"/>
      <c r="L145" s="662"/>
      <c r="M145" s="662"/>
      <c r="N145" s="662"/>
      <c r="O145" s="662"/>
      <c r="P145" s="662"/>
      <c r="Q145" s="662"/>
      <c r="R145" s="662"/>
      <c r="S145" s="662"/>
      <c r="T145" s="34"/>
      <c r="U145" s="34"/>
      <c r="V145" s="34"/>
      <c r="W145" s="34"/>
      <c r="X145" s="34"/>
      <c r="Y145" s="34"/>
      <c r="Z145" s="34"/>
      <c r="AA145" s="34"/>
      <c r="AB145" s="34"/>
      <c r="AC145" s="34"/>
      <c r="AD145" s="34"/>
      <c r="AE145" s="34"/>
      <c r="AF145" s="34"/>
      <c r="AG145" s="34"/>
      <c r="AH145" s="34"/>
      <c r="AI145" s="34"/>
      <c r="AJ145" s="34"/>
      <c r="AK145" s="34"/>
      <c r="AL145" s="34"/>
      <c r="AM145" s="34"/>
      <c r="AN145" s="34"/>
      <c r="AO145" s="34"/>
      <c r="AP145" s="50"/>
    </row>
    <row r="146" spans="1:42" s="25" customFormat="1" ht="13">
      <c r="A146" s="39" t="s">
        <v>1300</v>
      </c>
      <c r="B146" s="660"/>
      <c r="C146" s="130">
        <v>0.65</v>
      </c>
      <c r="D146" s="36">
        <v>0.45935300000000001</v>
      </c>
      <c r="E146" s="36">
        <v>0.45097500000000001</v>
      </c>
      <c r="F146" s="36">
        <v>0.41804999999999998</v>
      </c>
      <c r="G146" s="36">
        <v>0.37840299999999999</v>
      </c>
      <c r="H146" s="36">
        <v>0.34350999999999998</v>
      </c>
      <c r="I146" s="36">
        <v>0.31369399999999997</v>
      </c>
      <c r="J146" s="36">
        <v>0.289358</v>
      </c>
      <c r="K146" s="660"/>
      <c r="L146" s="662"/>
      <c r="M146" s="662"/>
      <c r="N146" s="662"/>
      <c r="O146" s="662"/>
      <c r="P146" s="662"/>
      <c r="Q146" s="662"/>
      <c r="R146" s="662"/>
      <c r="S146" s="662"/>
      <c r="T146" s="59"/>
      <c r="U146" s="59"/>
      <c r="V146" s="59"/>
      <c r="W146" s="59"/>
      <c r="X146" s="59"/>
      <c r="Y146" s="59"/>
      <c r="Z146" s="59"/>
      <c r="AA146" s="59"/>
      <c r="AB146" s="59"/>
      <c r="AC146" s="59"/>
      <c r="AD146" s="59"/>
      <c r="AE146" s="59"/>
      <c r="AF146" s="59"/>
      <c r="AG146" s="59"/>
      <c r="AH146" s="59"/>
      <c r="AI146" s="59"/>
      <c r="AJ146" s="59"/>
      <c r="AK146" s="59"/>
      <c r="AL146" s="59"/>
      <c r="AM146" s="59"/>
      <c r="AN146" s="59"/>
      <c r="AO146" s="59"/>
      <c r="AP146" s="131"/>
    </row>
    <row r="147" spans="1:42" s="25" customFormat="1" ht="13">
      <c r="A147" s="39" t="s">
        <v>1303</v>
      </c>
      <c r="B147" s="660"/>
      <c r="C147" s="130">
        <v>0.10857270658016201</v>
      </c>
      <c r="D147" s="36">
        <v>5.9193999999999997E-2</v>
      </c>
      <c r="E147" s="36">
        <v>4.6296999999999998E-2</v>
      </c>
      <c r="F147" s="36">
        <v>3.4250999999999997E-2</v>
      </c>
      <c r="G147" s="36">
        <v>2.7161000000000001E-2</v>
      </c>
      <c r="H147" s="36">
        <v>2.2196E-2</v>
      </c>
      <c r="I147" s="36">
        <v>1.8357999999999999E-2</v>
      </c>
      <c r="J147" s="36">
        <v>1.5649E-2</v>
      </c>
      <c r="K147" s="660"/>
      <c r="L147" s="37"/>
      <c r="M147" s="37"/>
      <c r="N147" s="37"/>
      <c r="O147" s="37"/>
      <c r="P147" s="37"/>
      <c r="Q147" s="37"/>
      <c r="R147" s="37"/>
      <c r="S147" s="37"/>
      <c r="T147" s="660"/>
      <c r="U147" s="660"/>
      <c r="V147" s="660"/>
      <c r="W147" s="660"/>
      <c r="X147" s="660"/>
      <c r="Y147" s="660"/>
      <c r="Z147" s="660"/>
      <c r="AA147" s="660"/>
      <c r="AB147" s="660"/>
      <c r="AC147" s="660"/>
      <c r="AD147" s="660"/>
      <c r="AE147" s="660"/>
      <c r="AF147" s="660"/>
      <c r="AG147" s="660"/>
      <c r="AH147" s="660"/>
      <c r="AI147" s="660"/>
      <c r="AJ147" s="660"/>
      <c r="AK147" s="660"/>
      <c r="AL147" s="660"/>
      <c r="AM147" s="660"/>
      <c r="AN147" s="660"/>
      <c r="AO147" s="660"/>
      <c r="AP147" s="660"/>
    </row>
    <row r="148" spans="1:42" s="25" customFormat="1">
      <c r="A148" s="39" t="s">
        <v>1327</v>
      </c>
      <c r="B148" s="660"/>
      <c r="C148" s="130"/>
      <c r="D148" s="36">
        <v>7.1130000000000004E-3</v>
      </c>
      <c r="E148" s="36">
        <v>6.9259999999999999E-3</v>
      </c>
      <c r="F148" s="36">
        <v>6.8060000000000004E-3</v>
      </c>
      <c r="G148" s="36">
        <v>6.5630000000000003E-3</v>
      </c>
      <c r="H148" s="36">
        <v>6.3610000000000003E-3</v>
      </c>
      <c r="I148" s="36">
        <v>6.169E-3</v>
      </c>
      <c r="J148" s="36">
        <v>5.9890000000000004E-3</v>
      </c>
      <c r="K148" s="660"/>
      <c r="L148" s="662"/>
      <c r="M148" s="662"/>
      <c r="N148" s="660"/>
      <c r="O148" s="660"/>
      <c r="P148" s="660"/>
      <c r="Q148" s="660"/>
      <c r="R148" s="660"/>
      <c r="S148" s="660"/>
      <c r="T148" s="660"/>
      <c r="U148" s="660"/>
      <c r="V148" s="660"/>
      <c r="W148" s="660"/>
      <c r="X148" s="660"/>
      <c r="Y148" s="660"/>
      <c r="Z148" s="660"/>
      <c r="AA148" s="660"/>
      <c r="AB148" s="660"/>
      <c r="AC148" s="660"/>
      <c r="AD148" s="660"/>
      <c r="AE148" s="660"/>
      <c r="AF148" s="660"/>
      <c r="AG148" s="660"/>
      <c r="AH148" s="660"/>
      <c r="AI148" s="660"/>
      <c r="AJ148" s="660"/>
      <c r="AK148" s="660"/>
      <c r="AL148" s="660"/>
      <c r="AM148" s="660"/>
      <c r="AN148" s="660"/>
      <c r="AO148" s="660"/>
      <c r="AP148" s="660"/>
    </row>
    <row r="149" spans="1:42" s="25" customFormat="1" ht="13">
      <c r="A149" s="39" t="s">
        <v>1325</v>
      </c>
      <c r="B149" s="660"/>
      <c r="C149" s="130">
        <v>0.85418474674224898</v>
      </c>
      <c r="D149" s="38">
        <v>0.52566000000000002</v>
      </c>
      <c r="E149" s="38">
        <v>0.50419800000000004</v>
      </c>
      <c r="F149" s="38">
        <v>0.45910800000000002</v>
      </c>
      <c r="G149" s="38">
        <v>0.41212700000000002</v>
      </c>
      <c r="H149" s="38">
        <v>0.37206699999999998</v>
      </c>
      <c r="I149" s="38">
        <v>0.33822200000000002</v>
      </c>
      <c r="J149" s="38">
        <v>0.31099599999999999</v>
      </c>
      <c r="K149" s="660"/>
      <c r="L149" s="37"/>
      <c r="M149" s="37"/>
      <c r="N149" s="660"/>
      <c r="O149" s="660"/>
      <c r="P149" s="660"/>
      <c r="Q149" s="660"/>
      <c r="R149" s="660"/>
      <c r="S149" s="660"/>
      <c r="T149" s="34"/>
      <c r="U149" s="34"/>
      <c r="V149" s="34"/>
      <c r="W149" s="34"/>
      <c r="X149" s="34"/>
      <c r="Y149" s="34"/>
      <c r="Z149" s="34"/>
      <c r="AA149" s="34"/>
      <c r="AB149" s="34"/>
      <c r="AC149" s="34"/>
      <c r="AD149" s="34"/>
      <c r="AE149" s="34"/>
      <c r="AF149" s="34"/>
      <c r="AG149" s="34"/>
      <c r="AH149" s="34"/>
      <c r="AI149" s="34"/>
      <c r="AJ149" s="34"/>
      <c r="AK149" s="34"/>
      <c r="AL149" s="34"/>
      <c r="AM149" s="34"/>
      <c r="AN149" s="34"/>
      <c r="AO149" s="34"/>
      <c r="AP149" s="50"/>
    </row>
    <row r="150" spans="1:42" s="25" customFormat="1">
      <c r="A150" s="660"/>
      <c r="B150" s="660"/>
      <c r="C150" s="660"/>
      <c r="D150" s="34"/>
      <c r="E150" s="34"/>
      <c r="F150" s="34"/>
      <c r="G150" s="34"/>
      <c r="H150" s="34"/>
      <c r="I150" s="34"/>
      <c r="J150" s="34"/>
      <c r="K150" s="660"/>
      <c r="L150" s="662"/>
      <c r="M150" s="662"/>
      <c r="N150" s="662"/>
      <c r="O150" s="662"/>
      <c r="P150" s="662"/>
      <c r="Q150" s="662"/>
      <c r="R150" s="662"/>
      <c r="S150" s="662"/>
      <c r="T150" s="34"/>
      <c r="U150" s="34"/>
      <c r="V150" s="34"/>
      <c r="W150" s="34"/>
      <c r="X150" s="34"/>
      <c r="Y150" s="34"/>
      <c r="Z150" s="34"/>
      <c r="AA150" s="34"/>
      <c r="AB150" s="34"/>
      <c r="AC150" s="34"/>
      <c r="AD150" s="34"/>
      <c r="AE150" s="34"/>
      <c r="AF150" s="34"/>
      <c r="AG150" s="34"/>
      <c r="AH150" s="34"/>
      <c r="AI150" s="34"/>
      <c r="AJ150" s="34"/>
      <c r="AK150" s="34"/>
      <c r="AL150" s="34"/>
      <c r="AM150" s="34"/>
      <c r="AN150" s="34"/>
      <c r="AO150" s="34"/>
      <c r="AP150" s="50"/>
    </row>
    <row r="151" spans="1:42" s="25" customFormat="1">
      <c r="A151" s="39" t="s">
        <v>1329</v>
      </c>
      <c r="B151" s="660"/>
      <c r="C151" s="660"/>
      <c r="D151" s="34"/>
      <c r="E151" s="34"/>
      <c r="F151" s="34"/>
      <c r="G151" s="34"/>
      <c r="H151" s="34"/>
      <c r="I151" s="34"/>
      <c r="J151" s="34"/>
      <c r="K151" s="660"/>
      <c r="L151" s="662"/>
      <c r="M151" s="662"/>
      <c r="N151" s="662"/>
      <c r="O151" s="662"/>
      <c r="P151" s="662"/>
      <c r="Q151" s="662"/>
      <c r="R151" s="662"/>
      <c r="S151" s="662"/>
      <c r="T151" s="34"/>
      <c r="U151" s="34"/>
      <c r="V151" s="34"/>
      <c r="W151" s="34"/>
      <c r="X151" s="34"/>
      <c r="Y151" s="34"/>
      <c r="Z151" s="34"/>
      <c r="AA151" s="34"/>
      <c r="AB151" s="34"/>
      <c r="AC151" s="34"/>
      <c r="AD151" s="34"/>
      <c r="AE151" s="34"/>
      <c r="AF151" s="34"/>
      <c r="AG151" s="34"/>
      <c r="AH151" s="34"/>
      <c r="AI151" s="34"/>
      <c r="AJ151" s="34"/>
      <c r="AK151" s="34"/>
      <c r="AL151" s="34"/>
      <c r="AM151" s="34"/>
      <c r="AN151" s="34"/>
      <c r="AO151" s="34"/>
      <c r="AP151" s="50"/>
    </row>
    <row r="152" spans="1:42" s="25" customFormat="1">
      <c r="A152" s="39" t="s">
        <v>1300</v>
      </c>
      <c r="B152" s="660"/>
      <c r="C152" s="130">
        <v>0.37</v>
      </c>
      <c r="D152" s="36">
        <v>0.36563099999999998</v>
      </c>
      <c r="E152" s="36">
        <v>0.32539800000000002</v>
      </c>
      <c r="F152" s="36">
        <v>0.30252699999999999</v>
      </c>
      <c r="G152" s="36">
        <v>0.28169100000000002</v>
      </c>
      <c r="H152" s="36">
        <v>0.26451799999999998</v>
      </c>
      <c r="I152" s="36">
        <v>0.24950600000000001</v>
      </c>
      <c r="J152" s="36">
        <v>0.23649000000000001</v>
      </c>
      <c r="K152" s="660"/>
      <c r="L152" s="662"/>
      <c r="M152" s="662"/>
      <c r="N152" s="662"/>
      <c r="O152" s="662"/>
      <c r="P152" s="662"/>
      <c r="Q152" s="662"/>
      <c r="R152" s="662"/>
      <c r="S152" s="662"/>
      <c r="T152" s="34"/>
      <c r="U152" s="34"/>
      <c r="V152" s="34"/>
      <c r="W152" s="34"/>
      <c r="X152" s="34"/>
      <c r="Y152" s="34"/>
      <c r="Z152" s="34"/>
      <c r="AA152" s="34"/>
      <c r="AB152" s="34"/>
      <c r="AC152" s="34"/>
      <c r="AD152" s="34"/>
      <c r="AE152" s="34"/>
      <c r="AF152" s="34"/>
      <c r="AG152" s="34"/>
      <c r="AH152" s="34"/>
      <c r="AI152" s="34"/>
      <c r="AJ152" s="34"/>
      <c r="AK152" s="34"/>
      <c r="AL152" s="34"/>
      <c r="AM152" s="34"/>
      <c r="AN152" s="34"/>
      <c r="AO152" s="34"/>
      <c r="AP152" s="50"/>
    </row>
    <row r="153" spans="1:42" s="25" customFormat="1" ht="13">
      <c r="A153" s="39" t="s">
        <v>1303</v>
      </c>
      <c r="B153" s="660"/>
      <c r="C153" s="130">
        <v>5.7690113782882697E-2</v>
      </c>
      <c r="D153" s="36">
        <v>7.1582000000000007E-2</v>
      </c>
      <c r="E153" s="36">
        <v>5.9757999999999999E-2</v>
      </c>
      <c r="F153" s="36">
        <v>4.9132000000000002E-2</v>
      </c>
      <c r="G153" s="36">
        <v>4.2442000000000001E-2</v>
      </c>
      <c r="H153" s="36">
        <v>3.6324000000000002E-2</v>
      </c>
      <c r="I153" s="36">
        <v>3.0988000000000002E-2</v>
      </c>
      <c r="J153" s="36">
        <v>2.7212E-2</v>
      </c>
      <c r="K153" s="660"/>
      <c r="L153" s="662"/>
      <c r="M153" s="662"/>
      <c r="N153" s="662"/>
      <c r="O153" s="662"/>
      <c r="P153" s="662"/>
      <c r="Q153" s="662"/>
      <c r="R153" s="662"/>
      <c r="S153" s="662"/>
      <c r="T153" s="59"/>
      <c r="U153" s="59"/>
      <c r="V153" s="59"/>
      <c r="W153" s="59"/>
      <c r="X153" s="59"/>
      <c r="Y153" s="59"/>
      <c r="Z153" s="59"/>
      <c r="AA153" s="59"/>
      <c r="AB153" s="59"/>
      <c r="AC153" s="59"/>
      <c r="AD153" s="59"/>
      <c r="AE153" s="59"/>
      <c r="AF153" s="59"/>
      <c r="AG153" s="59"/>
      <c r="AH153" s="59"/>
      <c r="AI153" s="59"/>
      <c r="AJ153" s="59"/>
      <c r="AK153" s="59"/>
      <c r="AL153" s="59"/>
      <c r="AM153" s="59"/>
      <c r="AN153" s="59"/>
      <c r="AO153" s="59"/>
      <c r="AP153" s="131"/>
    </row>
    <row r="154" spans="1:42" s="25" customFormat="1" ht="13">
      <c r="A154" s="39" t="s">
        <v>1308</v>
      </c>
      <c r="B154" s="660"/>
      <c r="C154" s="130">
        <v>3.14760431647301E-2</v>
      </c>
      <c r="D154" s="36">
        <v>2.9448999999999999E-2</v>
      </c>
      <c r="E154" s="36">
        <v>2.8034E-2</v>
      </c>
      <c r="F154" s="36">
        <v>2.6533000000000001E-2</v>
      </c>
      <c r="G154" s="36">
        <v>2.5009E-2</v>
      </c>
      <c r="H154" s="36">
        <v>2.3845999999999999E-2</v>
      </c>
      <c r="I154" s="36">
        <v>2.3174E-2</v>
      </c>
      <c r="J154" s="36">
        <v>2.2473E-2</v>
      </c>
      <c r="K154" s="660"/>
      <c r="L154" s="37"/>
      <c r="M154" s="37"/>
      <c r="N154" s="37"/>
      <c r="O154" s="37"/>
      <c r="P154" s="37"/>
      <c r="Q154" s="37"/>
      <c r="R154" s="37"/>
      <c r="S154" s="37"/>
      <c r="T154" s="660"/>
      <c r="U154" s="660"/>
      <c r="V154" s="660"/>
      <c r="W154" s="660"/>
      <c r="X154" s="660"/>
      <c r="Y154" s="660"/>
      <c r="Z154" s="660"/>
      <c r="AA154" s="660"/>
      <c r="AB154" s="660"/>
      <c r="AC154" s="660"/>
      <c r="AD154" s="660"/>
      <c r="AE154" s="660"/>
      <c r="AF154" s="660"/>
      <c r="AG154" s="660"/>
      <c r="AH154" s="660"/>
      <c r="AI154" s="660"/>
      <c r="AJ154" s="660"/>
      <c r="AK154" s="660"/>
      <c r="AL154" s="660"/>
      <c r="AM154" s="660"/>
      <c r="AN154" s="660"/>
      <c r="AO154" s="660"/>
      <c r="AP154" s="660"/>
    </row>
    <row r="155" spans="1:42" s="25" customFormat="1">
      <c r="A155" s="39" t="s">
        <v>1330</v>
      </c>
      <c r="B155" s="660"/>
      <c r="C155" s="130">
        <v>0.04</v>
      </c>
      <c r="D155" s="36">
        <v>3.9688000000000001E-2</v>
      </c>
      <c r="E155" s="36">
        <v>4.2804000000000002E-2</v>
      </c>
      <c r="F155" s="36">
        <v>4.6605000000000001E-2</v>
      </c>
      <c r="G155" s="36">
        <v>5.0316E-2</v>
      </c>
      <c r="H155" s="36">
        <v>5.4139E-2</v>
      </c>
      <c r="I155" s="36">
        <v>5.7860000000000002E-2</v>
      </c>
      <c r="J155" s="36">
        <v>6.1749999999999999E-2</v>
      </c>
      <c r="K155" s="660"/>
      <c r="L155" s="662"/>
      <c r="M155" s="662"/>
      <c r="N155" s="660"/>
      <c r="O155" s="660"/>
      <c r="P155" s="660"/>
      <c r="Q155" s="660"/>
      <c r="R155" s="660"/>
      <c r="S155" s="660"/>
      <c r="T155" s="34"/>
      <c r="U155" s="34"/>
      <c r="V155" s="34"/>
      <c r="W155" s="34"/>
      <c r="X155" s="34"/>
      <c r="Y155" s="34"/>
      <c r="Z155" s="34"/>
      <c r="AA155" s="34"/>
      <c r="AB155" s="34"/>
      <c r="AC155" s="34"/>
      <c r="AD155" s="34"/>
      <c r="AE155" s="34"/>
      <c r="AF155" s="34"/>
      <c r="AG155" s="34"/>
      <c r="AH155" s="34"/>
      <c r="AI155" s="34"/>
      <c r="AJ155" s="34"/>
      <c r="AK155" s="34"/>
      <c r="AL155" s="34"/>
      <c r="AM155" s="34"/>
      <c r="AN155" s="34"/>
      <c r="AO155" s="34"/>
      <c r="AP155" s="50"/>
    </row>
    <row r="156" spans="1:42" s="25" customFormat="1" ht="13">
      <c r="A156" s="39" t="s">
        <v>1325</v>
      </c>
      <c r="B156" s="660"/>
      <c r="C156" s="130">
        <v>0.50418597459793102</v>
      </c>
      <c r="D156" s="38">
        <v>0.50634999999999997</v>
      </c>
      <c r="E156" s="38">
        <v>0.45599299999999998</v>
      </c>
      <c r="F156" s="38">
        <v>0.42479699999999998</v>
      </c>
      <c r="G156" s="38">
        <v>0.39945700000000001</v>
      </c>
      <c r="H156" s="38">
        <v>0.378826</v>
      </c>
      <c r="I156" s="38">
        <v>0.36152800000000002</v>
      </c>
      <c r="J156" s="38">
        <v>0.34792499999999998</v>
      </c>
      <c r="K156" s="660"/>
      <c r="L156" s="114"/>
      <c r="M156" s="662"/>
      <c r="N156" s="662"/>
      <c r="O156" s="662"/>
      <c r="P156" s="662"/>
      <c r="Q156" s="662"/>
      <c r="R156" s="662"/>
      <c r="S156" s="662"/>
      <c r="T156" s="34"/>
      <c r="U156" s="34"/>
      <c r="V156" s="34"/>
      <c r="W156" s="34"/>
      <c r="X156" s="34"/>
      <c r="Y156" s="34"/>
      <c r="Z156" s="34"/>
      <c r="AA156" s="34"/>
      <c r="AB156" s="34"/>
      <c r="AC156" s="34"/>
      <c r="AD156" s="34"/>
      <c r="AE156" s="34"/>
      <c r="AF156" s="34"/>
      <c r="AG156" s="34"/>
      <c r="AH156" s="34"/>
      <c r="AI156" s="34"/>
      <c r="AJ156" s="34"/>
      <c r="AK156" s="34"/>
      <c r="AL156" s="34"/>
      <c r="AM156" s="34"/>
      <c r="AN156" s="34"/>
      <c r="AO156" s="34"/>
      <c r="AP156" s="50"/>
    </row>
    <row r="157" spans="1:42" s="25" customFormat="1">
      <c r="A157" s="660"/>
      <c r="B157" s="660"/>
      <c r="C157" s="130"/>
      <c r="D157" s="34"/>
      <c r="E157" s="34"/>
      <c r="F157" s="34"/>
      <c r="G157" s="34"/>
      <c r="H157" s="34"/>
      <c r="I157" s="34"/>
      <c r="J157" s="34"/>
      <c r="K157" s="660"/>
      <c r="L157" s="662"/>
      <c r="M157" s="662"/>
      <c r="N157" s="662"/>
      <c r="O157" s="662"/>
      <c r="P157" s="662"/>
      <c r="Q157" s="662"/>
      <c r="R157" s="662"/>
      <c r="S157" s="662"/>
      <c r="T157" s="660"/>
      <c r="U157" s="660"/>
      <c r="V157" s="660"/>
      <c r="W157" s="660"/>
      <c r="X157" s="660"/>
      <c r="Y157" s="660"/>
      <c r="Z157" s="660"/>
      <c r="AA157" s="660"/>
      <c r="AB157" s="660"/>
      <c r="AC157" s="660"/>
      <c r="AD157" s="660"/>
      <c r="AE157" s="660"/>
      <c r="AF157" s="660"/>
      <c r="AG157" s="660"/>
      <c r="AH157" s="660"/>
      <c r="AI157" s="660"/>
      <c r="AJ157" s="660"/>
      <c r="AK157" s="660"/>
      <c r="AL157" s="660"/>
      <c r="AM157" s="660"/>
      <c r="AN157" s="660"/>
      <c r="AO157" s="660"/>
      <c r="AP157" s="660"/>
    </row>
    <row r="158" spans="1:42" s="25" customFormat="1">
      <c r="A158" s="39" t="s">
        <v>1331</v>
      </c>
      <c r="B158" s="660"/>
      <c r="C158" s="130">
        <v>0.44818162918090798</v>
      </c>
      <c r="D158" s="36">
        <v>0.53766800000000003</v>
      </c>
      <c r="E158" s="36">
        <v>0.49865300000000001</v>
      </c>
      <c r="F158" s="36">
        <v>0.45812399999999998</v>
      </c>
      <c r="G158" s="36">
        <v>0.45334400000000002</v>
      </c>
      <c r="H158" s="36">
        <v>0.44167400000000001</v>
      </c>
      <c r="I158" s="36">
        <v>0.429761</v>
      </c>
      <c r="J158" s="36">
        <v>0.41664600000000002</v>
      </c>
      <c r="K158" s="660"/>
      <c r="L158" s="662"/>
      <c r="M158" s="662"/>
      <c r="N158" s="660"/>
      <c r="O158" s="660"/>
      <c r="P158" s="660"/>
      <c r="Q158" s="660"/>
      <c r="R158" s="660"/>
      <c r="S158" s="660"/>
      <c r="T158" s="660"/>
      <c r="U158" s="660"/>
      <c r="V158" s="660"/>
      <c r="W158" s="660"/>
      <c r="X158" s="660"/>
      <c r="Y158" s="660"/>
      <c r="Z158" s="660"/>
      <c r="AA158" s="660"/>
      <c r="AB158" s="660"/>
      <c r="AC158" s="660"/>
      <c r="AD158" s="660"/>
      <c r="AE158" s="660"/>
      <c r="AF158" s="660"/>
      <c r="AG158" s="660"/>
      <c r="AH158" s="660"/>
      <c r="AI158" s="660"/>
      <c r="AJ158" s="660"/>
      <c r="AK158" s="660"/>
      <c r="AL158" s="660"/>
      <c r="AM158" s="660"/>
      <c r="AN158" s="660"/>
      <c r="AO158" s="660"/>
      <c r="AP158" s="660"/>
    </row>
    <row r="159" spans="1:42" s="25" customFormat="1" ht="13">
      <c r="A159" s="39" t="s">
        <v>1332</v>
      </c>
      <c r="B159" s="660"/>
      <c r="C159" s="130">
        <v>0.10066375136375399</v>
      </c>
      <c r="D159" s="36">
        <v>1.8530000000000001E-2</v>
      </c>
      <c r="E159" s="36">
        <v>4.731E-3</v>
      </c>
      <c r="F159" s="36">
        <v>4.1539999999999997E-3</v>
      </c>
      <c r="G159" s="36">
        <v>3.7490000000000002E-3</v>
      </c>
      <c r="H159" s="36">
        <v>3.4259999999999998E-3</v>
      </c>
      <c r="I159" s="36">
        <v>3.124E-3</v>
      </c>
      <c r="J159" s="36">
        <v>2.8519999999999999E-3</v>
      </c>
      <c r="K159" s="660"/>
      <c r="L159" s="37"/>
      <c r="M159" s="37"/>
      <c r="N159" s="660"/>
      <c r="O159" s="660"/>
      <c r="P159" s="660"/>
      <c r="Q159" s="660"/>
      <c r="R159" s="660"/>
      <c r="S159" s="660"/>
      <c r="T159" s="34"/>
      <c r="U159" s="34"/>
      <c r="V159" s="34"/>
      <c r="W159" s="34"/>
      <c r="X159" s="34"/>
      <c r="Y159" s="34"/>
      <c r="Z159" s="34"/>
      <c r="AA159" s="34"/>
      <c r="AB159" s="34"/>
      <c r="AC159" s="34"/>
      <c r="AD159" s="34"/>
      <c r="AE159" s="34"/>
      <c r="AF159" s="34"/>
      <c r="AG159" s="34"/>
      <c r="AH159" s="34"/>
      <c r="AI159" s="34"/>
      <c r="AJ159" s="34"/>
      <c r="AK159" s="34"/>
      <c r="AL159" s="34"/>
      <c r="AM159" s="34"/>
      <c r="AN159" s="34"/>
      <c r="AO159" s="34"/>
      <c r="AP159" s="50"/>
    </row>
    <row r="160" spans="1:42" s="25" customFormat="1">
      <c r="A160" s="660"/>
      <c r="B160" s="660"/>
      <c r="C160" s="660"/>
      <c r="D160" s="34"/>
      <c r="E160" s="34"/>
      <c r="F160" s="34"/>
      <c r="G160" s="34"/>
      <c r="H160" s="34"/>
      <c r="I160" s="34"/>
      <c r="J160" s="34"/>
      <c r="K160" s="660"/>
      <c r="L160" s="662"/>
      <c r="M160" s="662"/>
      <c r="N160" s="662"/>
      <c r="O160" s="662"/>
      <c r="P160" s="662"/>
      <c r="Q160" s="662"/>
      <c r="R160" s="662"/>
      <c r="S160" s="662"/>
      <c r="T160" s="34"/>
      <c r="U160" s="34"/>
      <c r="V160" s="34"/>
      <c r="W160" s="34"/>
      <c r="X160" s="34"/>
      <c r="Y160" s="34"/>
      <c r="Z160" s="34"/>
      <c r="AA160" s="34"/>
      <c r="AB160" s="34"/>
      <c r="AC160" s="34"/>
      <c r="AD160" s="34"/>
      <c r="AE160" s="34"/>
      <c r="AF160" s="34"/>
      <c r="AG160" s="34"/>
      <c r="AH160" s="34"/>
      <c r="AI160" s="34"/>
      <c r="AJ160" s="34"/>
      <c r="AK160" s="34"/>
      <c r="AL160" s="34"/>
      <c r="AM160" s="34"/>
      <c r="AN160" s="34"/>
      <c r="AO160" s="34"/>
      <c r="AP160" s="50"/>
    </row>
    <row r="161" spans="1:42" s="25" customFormat="1">
      <c r="A161" s="39" t="s">
        <v>1333</v>
      </c>
      <c r="B161" s="660"/>
      <c r="C161" s="660"/>
      <c r="D161" s="34"/>
      <c r="E161" s="34"/>
      <c r="F161" s="34"/>
      <c r="G161" s="34"/>
      <c r="H161" s="34"/>
      <c r="I161" s="34"/>
      <c r="J161" s="34"/>
      <c r="K161" s="660"/>
      <c r="L161" s="662"/>
      <c r="M161" s="662"/>
      <c r="N161" s="662"/>
      <c r="O161" s="662"/>
      <c r="P161" s="662"/>
      <c r="Q161" s="662"/>
      <c r="R161" s="662"/>
      <c r="S161" s="662"/>
      <c r="T161" s="34"/>
      <c r="U161" s="34"/>
      <c r="V161" s="34"/>
      <c r="W161" s="34"/>
      <c r="X161" s="34"/>
      <c r="Y161" s="34"/>
      <c r="Z161" s="34"/>
      <c r="AA161" s="34"/>
      <c r="AB161" s="34"/>
      <c r="AC161" s="34"/>
      <c r="AD161" s="34"/>
      <c r="AE161" s="34"/>
      <c r="AF161" s="34"/>
      <c r="AG161" s="34"/>
      <c r="AH161" s="34"/>
      <c r="AI161" s="34"/>
      <c r="AJ161" s="34"/>
      <c r="AK161" s="34"/>
      <c r="AL161" s="34"/>
      <c r="AM161" s="34"/>
      <c r="AN161" s="34"/>
      <c r="AO161" s="34"/>
      <c r="AP161" s="50"/>
    </row>
    <row r="162" spans="1:42" s="25" customFormat="1">
      <c r="A162" s="39" t="s">
        <v>1334</v>
      </c>
      <c r="B162" s="660"/>
      <c r="C162" s="130">
        <f>C120+C137+C146+C152+C158</f>
        <v>5.1129582435161192</v>
      </c>
      <c r="D162" s="36">
        <v>4.8448330000000004</v>
      </c>
      <c r="E162" s="36">
        <v>4.5063139999999997</v>
      </c>
      <c r="F162" s="36">
        <v>4.3566019999999996</v>
      </c>
      <c r="G162" s="36">
        <v>4.2245980000000003</v>
      </c>
      <c r="H162" s="36">
        <v>4.0867969999999998</v>
      </c>
      <c r="I162" s="36">
        <v>3.9454449999999999</v>
      </c>
      <c r="J162" s="36">
        <v>3.8057799999999999</v>
      </c>
      <c r="K162" s="660"/>
      <c r="L162" s="36"/>
      <c r="M162" s="662"/>
      <c r="N162" s="662"/>
      <c r="O162" s="662"/>
      <c r="P162" s="662"/>
      <c r="Q162" s="662"/>
      <c r="R162" s="662"/>
      <c r="S162" s="662"/>
      <c r="T162" s="34"/>
      <c r="U162" s="34"/>
      <c r="V162" s="34"/>
      <c r="W162" s="34"/>
      <c r="X162" s="34"/>
      <c r="Y162" s="34"/>
      <c r="Z162" s="34"/>
      <c r="AA162" s="34"/>
      <c r="AB162" s="34"/>
      <c r="AC162" s="34"/>
      <c r="AD162" s="34"/>
      <c r="AE162" s="34"/>
      <c r="AF162" s="34"/>
      <c r="AG162" s="34"/>
      <c r="AH162" s="34"/>
      <c r="AI162" s="34"/>
      <c r="AJ162" s="34"/>
      <c r="AK162" s="34"/>
      <c r="AL162" s="34"/>
      <c r="AM162" s="34"/>
      <c r="AN162" s="34"/>
      <c r="AO162" s="34"/>
      <c r="AP162" s="50"/>
    </row>
    <row r="163" spans="1:42" s="25" customFormat="1">
      <c r="A163" s="39" t="s">
        <v>1335</v>
      </c>
      <c r="B163" s="660"/>
      <c r="C163" s="130">
        <v>0.821350157260895</v>
      </c>
      <c r="D163" s="36">
        <v>0.84948800000000002</v>
      </c>
      <c r="E163" s="36">
        <v>0.84499599999999997</v>
      </c>
      <c r="F163" s="36">
        <v>0.91059400000000001</v>
      </c>
      <c r="G163" s="36">
        <v>0.99750899999999998</v>
      </c>
      <c r="H163" s="36">
        <v>1.088076</v>
      </c>
      <c r="I163" s="36">
        <v>1.17994</v>
      </c>
      <c r="J163" s="36">
        <v>1.2720849999999999</v>
      </c>
      <c r="K163" s="660"/>
      <c r="L163" s="115"/>
      <c r="M163" s="662"/>
      <c r="N163" s="662"/>
      <c r="O163" s="662"/>
      <c r="P163" s="662"/>
      <c r="Q163" s="662"/>
      <c r="R163" s="662"/>
      <c r="S163" s="662"/>
      <c r="T163" s="34"/>
      <c r="U163" s="34"/>
      <c r="V163" s="34"/>
      <c r="W163" s="34"/>
      <c r="X163" s="34"/>
      <c r="Y163" s="34"/>
      <c r="Z163" s="34"/>
      <c r="AA163" s="34"/>
      <c r="AB163" s="34"/>
      <c r="AC163" s="34"/>
      <c r="AD163" s="34"/>
      <c r="AE163" s="34"/>
      <c r="AF163" s="34"/>
      <c r="AG163" s="34"/>
      <c r="AH163" s="34"/>
      <c r="AI163" s="34"/>
      <c r="AJ163" s="34"/>
      <c r="AK163" s="34"/>
      <c r="AL163" s="34"/>
      <c r="AM163" s="34"/>
      <c r="AN163" s="34"/>
      <c r="AO163" s="34"/>
      <c r="AP163" s="50"/>
    </row>
    <row r="164" spans="1:42" s="25" customFormat="1">
      <c r="A164" s="39" t="s">
        <v>1336</v>
      </c>
      <c r="B164" s="660"/>
      <c r="C164" s="130">
        <v>1.6372220516204801</v>
      </c>
      <c r="D164" s="36">
        <v>1.7677210000000001</v>
      </c>
      <c r="E164" s="36">
        <v>1.771803</v>
      </c>
      <c r="F164" s="36">
        <v>1.7663850000000001</v>
      </c>
      <c r="G164" s="36">
        <v>1.7802089999999999</v>
      </c>
      <c r="H164" s="36">
        <v>1.777379</v>
      </c>
      <c r="I164" s="36">
        <v>1.74109</v>
      </c>
      <c r="J164" s="36">
        <v>1.70512</v>
      </c>
      <c r="K164" s="660"/>
      <c r="L164" s="36"/>
      <c r="M164" s="662"/>
      <c r="N164" s="662"/>
      <c r="O164" s="662"/>
      <c r="P164" s="662"/>
      <c r="Q164" s="662"/>
      <c r="R164" s="662"/>
      <c r="S164" s="662"/>
      <c r="T164" s="34"/>
      <c r="U164" s="34"/>
      <c r="V164" s="34"/>
      <c r="W164" s="34"/>
      <c r="X164" s="34"/>
      <c r="Y164" s="34"/>
      <c r="Z164" s="34"/>
      <c r="AA164" s="34"/>
      <c r="AB164" s="34"/>
      <c r="AC164" s="34"/>
      <c r="AD164" s="34"/>
      <c r="AE164" s="34"/>
      <c r="AF164" s="34"/>
      <c r="AG164" s="34"/>
      <c r="AH164" s="34"/>
      <c r="AI164" s="34"/>
      <c r="AJ164" s="34"/>
      <c r="AK164" s="34"/>
      <c r="AL164" s="34"/>
      <c r="AM164" s="34"/>
      <c r="AN164" s="34"/>
      <c r="AO164" s="34"/>
      <c r="AP164" s="50"/>
    </row>
    <row r="165" spans="1:42" s="25" customFormat="1">
      <c r="A165" s="39" t="s">
        <v>1337</v>
      </c>
      <c r="B165" s="660"/>
      <c r="C165" s="130">
        <v>0.39436101913452098</v>
      </c>
      <c r="D165" s="36">
        <v>0.37790699999999999</v>
      </c>
      <c r="E165" s="36">
        <v>0.37693700000000002</v>
      </c>
      <c r="F165" s="36">
        <v>0.37551299999999999</v>
      </c>
      <c r="G165" s="36">
        <v>0.37684800000000002</v>
      </c>
      <c r="H165" s="36">
        <v>0.38406200000000001</v>
      </c>
      <c r="I165" s="36">
        <v>0.39679799999999998</v>
      </c>
      <c r="J165" s="36">
        <v>0.41375600000000001</v>
      </c>
      <c r="K165" s="660"/>
      <c r="L165" s="662"/>
      <c r="M165" s="662"/>
      <c r="N165" s="662"/>
      <c r="O165" s="662"/>
      <c r="P165" s="662"/>
      <c r="Q165" s="662"/>
      <c r="R165" s="662"/>
      <c r="S165" s="662"/>
      <c r="T165" s="34"/>
      <c r="U165" s="34"/>
      <c r="V165" s="34"/>
      <c r="W165" s="34"/>
      <c r="X165" s="34"/>
      <c r="Y165" s="34"/>
      <c r="Z165" s="34"/>
      <c r="AA165" s="34"/>
      <c r="AB165" s="34"/>
      <c r="AC165" s="34"/>
      <c r="AD165" s="34"/>
      <c r="AE165" s="34"/>
      <c r="AF165" s="34"/>
      <c r="AG165" s="34"/>
      <c r="AH165" s="34"/>
      <c r="AI165" s="34"/>
      <c r="AJ165" s="34"/>
      <c r="AK165" s="34"/>
      <c r="AL165" s="34"/>
      <c r="AM165" s="34"/>
      <c r="AN165" s="34"/>
      <c r="AO165" s="34"/>
      <c r="AP165" s="50"/>
    </row>
    <row r="166" spans="1:42" s="25" customFormat="1">
      <c r="A166" s="39" t="s">
        <v>1338</v>
      </c>
      <c r="B166" s="660"/>
      <c r="C166" s="130">
        <v>0.34996357560157798</v>
      </c>
      <c r="D166" s="36">
        <v>0.344443</v>
      </c>
      <c r="E166" s="36">
        <v>0.34578399999999998</v>
      </c>
      <c r="F166" s="36">
        <v>0.353574</v>
      </c>
      <c r="G166" s="36">
        <v>0.36034899999999997</v>
      </c>
      <c r="H166" s="36">
        <v>0.36871300000000001</v>
      </c>
      <c r="I166" s="36">
        <v>0.37854300000000002</v>
      </c>
      <c r="J166" s="36">
        <v>0.388235</v>
      </c>
      <c r="K166" s="660"/>
      <c r="L166" s="662"/>
      <c r="M166" s="662"/>
      <c r="N166" s="662"/>
      <c r="O166" s="662"/>
      <c r="P166" s="662"/>
      <c r="Q166" s="662"/>
      <c r="R166" s="662"/>
      <c r="S166" s="662"/>
      <c r="T166" s="34"/>
      <c r="U166" s="34"/>
      <c r="V166" s="34"/>
      <c r="W166" s="34"/>
      <c r="X166" s="34"/>
      <c r="Y166" s="34"/>
      <c r="Z166" s="34"/>
      <c r="AA166" s="34"/>
      <c r="AB166" s="34"/>
      <c r="AC166" s="34"/>
      <c r="AD166" s="34"/>
      <c r="AE166" s="34"/>
      <c r="AF166" s="34"/>
      <c r="AG166" s="34"/>
      <c r="AH166" s="34"/>
      <c r="AI166" s="34"/>
      <c r="AJ166" s="34"/>
      <c r="AK166" s="34"/>
      <c r="AL166" s="34"/>
      <c r="AM166" s="34"/>
      <c r="AN166" s="34"/>
      <c r="AO166" s="34"/>
      <c r="AP166" s="50"/>
    </row>
    <row r="167" spans="1:42" s="25" customFormat="1">
      <c r="A167" s="39" t="s">
        <v>1339</v>
      </c>
      <c r="B167" s="660"/>
      <c r="C167" s="130">
        <v>0.32461026310920699</v>
      </c>
      <c r="D167" s="36">
        <v>0.24814700000000001</v>
      </c>
      <c r="E167" s="36">
        <v>0.25657999999999997</v>
      </c>
      <c r="F167" s="36">
        <v>0.265652</v>
      </c>
      <c r="G167" s="36">
        <v>0.27655200000000002</v>
      </c>
      <c r="H167" s="36">
        <v>0.28820899999999999</v>
      </c>
      <c r="I167" s="36">
        <v>0.30056300000000002</v>
      </c>
      <c r="J167" s="36">
        <v>0.313023</v>
      </c>
      <c r="K167" s="660"/>
      <c r="L167" s="662"/>
      <c r="M167" s="662"/>
      <c r="N167" s="662"/>
      <c r="O167" s="662"/>
      <c r="P167" s="662"/>
      <c r="Q167" s="662"/>
      <c r="R167" s="662"/>
      <c r="S167" s="662"/>
      <c r="T167" s="34"/>
      <c r="U167" s="34"/>
      <c r="V167" s="34"/>
      <c r="W167" s="34"/>
      <c r="X167" s="34"/>
      <c r="Y167" s="34"/>
      <c r="Z167" s="34"/>
      <c r="AA167" s="34"/>
      <c r="AB167" s="34"/>
      <c r="AC167" s="34"/>
      <c r="AD167" s="34"/>
      <c r="AE167" s="34"/>
      <c r="AF167" s="34"/>
      <c r="AG167" s="34"/>
      <c r="AH167" s="34"/>
      <c r="AI167" s="34"/>
      <c r="AJ167" s="34"/>
      <c r="AK167" s="34"/>
      <c r="AL167" s="34"/>
      <c r="AM167" s="34"/>
      <c r="AN167" s="34"/>
      <c r="AO167" s="34"/>
      <c r="AP167" s="50"/>
    </row>
    <row r="168" spans="1:42" s="25" customFormat="1">
      <c r="A168" s="39" t="s">
        <v>1340</v>
      </c>
      <c r="B168" s="660"/>
      <c r="C168" s="130">
        <v>8.3529256284236894E-2</v>
      </c>
      <c r="D168" s="36">
        <v>7.9626000000000002E-2</v>
      </c>
      <c r="E168" s="36">
        <v>8.0264000000000002E-2</v>
      </c>
      <c r="F168" s="36">
        <v>7.9727999999999993E-2</v>
      </c>
      <c r="G168" s="36">
        <v>7.8634999999999997E-2</v>
      </c>
      <c r="H168" s="36">
        <v>7.7917E-2</v>
      </c>
      <c r="I168" s="36">
        <v>7.7727000000000004E-2</v>
      </c>
      <c r="J168" s="36">
        <v>7.8753000000000004E-2</v>
      </c>
      <c r="K168" s="660"/>
      <c r="L168" s="662"/>
      <c r="M168" s="662"/>
      <c r="N168" s="662"/>
      <c r="O168" s="662"/>
      <c r="P168" s="662"/>
      <c r="Q168" s="662"/>
      <c r="R168" s="662"/>
      <c r="S168" s="662"/>
      <c r="T168" s="34"/>
      <c r="U168" s="34"/>
      <c r="V168" s="34"/>
      <c r="W168" s="34"/>
      <c r="X168" s="34"/>
      <c r="Y168" s="34"/>
      <c r="Z168" s="34"/>
      <c r="AA168" s="34"/>
      <c r="AB168" s="34"/>
      <c r="AC168" s="34"/>
      <c r="AD168" s="34"/>
      <c r="AE168" s="34"/>
      <c r="AF168" s="34"/>
      <c r="AG168" s="34"/>
      <c r="AH168" s="34"/>
      <c r="AI168" s="34"/>
      <c r="AJ168" s="34"/>
      <c r="AK168" s="34"/>
      <c r="AL168" s="34"/>
      <c r="AM168" s="34"/>
      <c r="AN168" s="34"/>
      <c r="AO168" s="34"/>
      <c r="AP168" s="50"/>
    </row>
    <row r="169" spans="1:42" s="25" customFormat="1">
      <c r="A169" s="39" t="s">
        <v>1341</v>
      </c>
      <c r="B169" s="660"/>
      <c r="C169" s="130">
        <v>0.72674226760864302</v>
      </c>
      <c r="D169" s="36">
        <v>0.63835299999999995</v>
      </c>
      <c r="E169" s="36">
        <v>0.498996</v>
      </c>
      <c r="F169" s="36">
        <v>0.43620599999999998</v>
      </c>
      <c r="G169" s="36">
        <v>0.39062000000000002</v>
      </c>
      <c r="H169" s="36">
        <v>0.34983500000000001</v>
      </c>
      <c r="I169" s="36">
        <v>0.29919800000000002</v>
      </c>
      <c r="J169" s="36">
        <v>0.27627400000000002</v>
      </c>
      <c r="K169" s="660"/>
      <c r="L169" s="662"/>
      <c r="M169" s="662"/>
      <c r="N169" s="662"/>
      <c r="O169" s="662"/>
      <c r="P169" s="662"/>
      <c r="Q169" s="662"/>
      <c r="R169" s="662"/>
      <c r="S169" s="662"/>
      <c r="T169" s="34"/>
      <c r="U169" s="34"/>
      <c r="V169" s="34"/>
      <c r="W169" s="34"/>
      <c r="X169" s="34"/>
      <c r="Y169" s="34"/>
      <c r="Z169" s="34"/>
      <c r="AA169" s="34"/>
      <c r="AB169" s="34"/>
      <c r="AC169" s="34"/>
      <c r="AD169" s="34"/>
      <c r="AE169" s="34"/>
      <c r="AF169" s="34"/>
      <c r="AG169" s="34"/>
      <c r="AH169" s="34"/>
      <c r="AI169" s="34"/>
      <c r="AJ169" s="34"/>
      <c r="AK169" s="34"/>
      <c r="AL169" s="34"/>
      <c r="AM169" s="34"/>
      <c r="AN169" s="34"/>
      <c r="AO169" s="34"/>
      <c r="AP169" s="50"/>
    </row>
    <row r="170" spans="1:42" s="25" customFormat="1">
      <c r="A170" s="39" t="s">
        <v>1342</v>
      </c>
      <c r="B170" s="660"/>
      <c r="C170" s="130">
        <v>3.4679807722568498E-2</v>
      </c>
      <c r="D170" s="36">
        <v>3.1628999999999997E-2</v>
      </c>
      <c r="E170" s="36">
        <v>3.0263000000000002E-2</v>
      </c>
      <c r="F170" s="36">
        <v>2.5973E-2</v>
      </c>
      <c r="G170" s="36">
        <v>2.2155999999999999E-2</v>
      </c>
      <c r="H170" s="36">
        <v>2.0947E-2</v>
      </c>
      <c r="I170" s="36">
        <v>2.147E-2</v>
      </c>
      <c r="J170" s="36">
        <v>2.2419999999999999E-2</v>
      </c>
      <c r="K170" s="660"/>
      <c r="L170" s="662"/>
      <c r="M170" s="662"/>
      <c r="N170" s="662"/>
      <c r="O170" s="662"/>
      <c r="P170" s="662"/>
      <c r="Q170" s="662"/>
      <c r="R170" s="662"/>
      <c r="S170" s="662"/>
      <c r="T170" s="34"/>
      <c r="U170" s="34"/>
      <c r="V170" s="34"/>
      <c r="W170" s="34"/>
      <c r="X170" s="34"/>
      <c r="Y170" s="34"/>
      <c r="Z170" s="34"/>
      <c r="AA170" s="34"/>
      <c r="AB170" s="34"/>
      <c r="AC170" s="34"/>
      <c r="AD170" s="34"/>
      <c r="AE170" s="34"/>
      <c r="AF170" s="34"/>
      <c r="AG170" s="34"/>
      <c r="AH170" s="34"/>
      <c r="AI170" s="34"/>
      <c r="AJ170" s="34"/>
      <c r="AK170" s="34"/>
      <c r="AL170" s="34"/>
      <c r="AM170" s="34"/>
      <c r="AN170" s="34"/>
      <c r="AO170" s="34"/>
      <c r="AP170" s="50"/>
    </row>
    <row r="171" spans="1:42" s="25" customFormat="1">
      <c r="A171" s="39" t="s">
        <v>1343</v>
      </c>
      <c r="B171" s="660"/>
      <c r="C171" s="130">
        <v>9.5851413905620603E-2</v>
      </c>
      <c r="D171" s="36">
        <v>9.9588999999999997E-2</v>
      </c>
      <c r="E171" s="36">
        <v>9.8664000000000002E-2</v>
      </c>
      <c r="F171" s="36">
        <v>9.7799999999999998E-2</v>
      </c>
      <c r="G171" s="36">
        <v>9.7684999999999994E-2</v>
      </c>
      <c r="H171" s="36">
        <v>0.104022</v>
      </c>
      <c r="I171" s="36">
        <v>0.111884</v>
      </c>
      <c r="J171" s="36">
        <v>0.1197</v>
      </c>
      <c r="K171" s="660"/>
      <c r="L171" s="662"/>
      <c r="M171" s="662"/>
      <c r="N171" s="662"/>
      <c r="O171" s="662"/>
      <c r="P171" s="662"/>
      <c r="Q171" s="662"/>
      <c r="R171" s="662"/>
      <c r="S171" s="662"/>
      <c r="T171" s="34"/>
      <c r="U171" s="34"/>
      <c r="V171" s="34"/>
      <c r="W171" s="34"/>
      <c r="X171" s="34"/>
      <c r="Y171" s="34"/>
      <c r="Z171" s="34"/>
      <c r="AA171" s="34"/>
      <c r="AB171" s="34"/>
      <c r="AC171" s="34"/>
      <c r="AD171" s="34"/>
      <c r="AE171" s="34"/>
      <c r="AF171" s="34"/>
      <c r="AG171" s="34"/>
      <c r="AH171" s="34"/>
      <c r="AI171" s="34"/>
      <c r="AJ171" s="34"/>
      <c r="AK171" s="34"/>
      <c r="AL171" s="34"/>
      <c r="AM171" s="34"/>
      <c r="AN171" s="34"/>
      <c r="AO171" s="34"/>
      <c r="AP171" s="50"/>
    </row>
    <row r="172" spans="1:42" s="25" customFormat="1">
      <c r="A172" s="39" t="s">
        <v>1344</v>
      </c>
      <c r="B172" s="660"/>
      <c r="C172" s="130">
        <v>0.29940426349639898</v>
      </c>
      <c r="D172" s="36">
        <v>0.33408399999999999</v>
      </c>
      <c r="E172" s="36">
        <v>0.32941999999999999</v>
      </c>
      <c r="F172" s="36">
        <v>0.32728299999999999</v>
      </c>
      <c r="G172" s="36">
        <v>0.33494699999999999</v>
      </c>
      <c r="H172" s="36">
        <v>0.35036</v>
      </c>
      <c r="I172" s="36">
        <v>0.37098100000000001</v>
      </c>
      <c r="J172" s="36">
        <v>0.38829999999999998</v>
      </c>
      <c r="K172" s="660"/>
      <c r="L172" s="662"/>
      <c r="M172" s="662"/>
      <c r="N172" s="662"/>
      <c r="O172" s="662"/>
      <c r="P172" s="662"/>
      <c r="Q172" s="662"/>
      <c r="R172" s="662"/>
      <c r="S172" s="662"/>
      <c r="T172" s="34"/>
      <c r="U172" s="34"/>
      <c r="V172" s="34"/>
      <c r="W172" s="34"/>
      <c r="X172" s="34"/>
      <c r="Y172" s="34"/>
      <c r="Z172" s="34"/>
      <c r="AA172" s="34"/>
      <c r="AB172" s="34"/>
      <c r="AC172" s="34"/>
      <c r="AD172" s="34"/>
      <c r="AE172" s="34"/>
      <c r="AF172" s="34"/>
      <c r="AG172" s="34"/>
      <c r="AH172" s="34"/>
      <c r="AI172" s="34"/>
      <c r="AJ172" s="34"/>
      <c r="AK172" s="34"/>
      <c r="AL172" s="34"/>
      <c r="AM172" s="34"/>
      <c r="AN172" s="34"/>
      <c r="AO172" s="34"/>
      <c r="AP172" s="50"/>
    </row>
    <row r="173" spans="1:42" s="25" customFormat="1" ht="13">
      <c r="A173" s="39" t="s">
        <v>1345</v>
      </c>
      <c r="B173" s="660"/>
      <c r="C173" s="130">
        <v>6.5222315490245805E-2</v>
      </c>
      <c r="D173" s="36">
        <v>0.12784400000000001</v>
      </c>
      <c r="E173" s="36">
        <v>0.11465599999999999</v>
      </c>
      <c r="F173" s="36">
        <v>9.7959000000000004E-2</v>
      </c>
      <c r="G173" s="36">
        <v>8.3530999999999994E-2</v>
      </c>
      <c r="H173" s="36">
        <v>7.1593000000000004E-2</v>
      </c>
      <c r="I173" s="36">
        <v>6.1940000000000002E-2</v>
      </c>
      <c r="J173" s="36">
        <v>5.2770999999999998E-2</v>
      </c>
      <c r="K173" s="660"/>
      <c r="L173" s="662"/>
      <c r="M173" s="662"/>
      <c r="N173" s="662"/>
      <c r="O173" s="662"/>
      <c r="P173" s="662"/>
      <c r="Q173" s="662"/>
      <c r="R173" s="662"/>
      <c r="S173" s="662"/>
      <c r="T173" s="59"/>
      <c r="U173" s="59"/>
      <c r="V173" s="59"/>
      <c r="W173" s="59"/>
      <c r="X173" s="59"/>
      <c r="Y173" s="59"/>
      <c r="Z173" s="59"/>
      <c r="AA173" s="59"/>
      <c r="AB173" s="59"/>
      <c r="AC173" s="59"/>
      <c r="AD173" s="59"/>
      <c r="AE173" s="59"/>
      <c r="AF173" s="59"/>
      <c r="AG173" s="59"/>
      <c r="AH173" s="59"/>
      <c r="AI173" s="59"/>
      <c r="AJ173" s="59"/>
      <c r="AK173" s="59"/>
      <c r="AL173" s="59"/>
      <c r="AM173" s="59"/>
      <c r="AN173" s="59"/>
      <c r="AO173" s="59"/>
      <c r="AP173" s="131"/>
    </row>
    <row r="174" spans="1:42" s="25" customFormat="1" ht="13">
      <c r="A174" s="39" t="s">
        <v>1346</v>
      </c>
      <c r="B174" s="660"/>
      <c r="C174" s="130">
        <v>5.9013724327087402E-2</v>
      </c>
      <c r="D174" s="36">
        <v>0.11804000000000001</v>
      </c>
      <c r="E174" s="36">
        <v>0.113596</v>
      </c>
      <c r="F174" s="36">
        <v>0.115033</v>
      </c>
      <c r="G174" s="36">
        <v>0.116506</v>
      </c>
      <c r="H174" s="36">
        <v>0.117882</v>
      </c>
      <c r="I174" s="36">
        <v>0.118399</v>
      </c>
      <c r="J174" s="36">
        <v>0.118285</v>
      </c>
      <c r="K174" s="660"/>
      <c r="L174" s="37"/>
      <c r="M174" s="37"/>
      <c r="N174" s="37"/>
      <c r="O174" s="37"/>
      <c r="P174" s="37"/>
      <c r="Q174" s="37"/>
      <c r="R174" s="37"/>
      <c r="S174" s="37"/>
      <c r="T174" s="660"/>
      <c r="U174" s="660"/>
      <c r="V174" s="660"/>
      <c r="W174" s="660"/>
      <c r="X174" s="660"/>
      <c r="Y174" s="660"/>
      <c r="Z174" s="660"/>
      <c r="AA174" s="660"/>
      <c r="AB174" s="660"/>
      <c r="AC174" s="660"/>
      <c r="AD174" s="660"/>
      <c r="AE174" s="660"/>
      <c r="AF174" s="660"/>
      <c r="AG174" s="660"/>
      <c r="AH174" s="660"/>
      <c r="AI174" s="660"/>
      <c r="AJ174" s="660"/>
      <c r="AK174" s="660"/>
      <c r="AL174" s="660"/>
      <c r="AM174" s="660"/>
      <c r="AN174" s="660"/>
      <c r="AO174" s="660"/>
      <c r="AP174" s="660"/>
    </row>
    <row r="175" spans="1:42" s="25" customFormat="1" ht="13">
      <c r="A175" s="39" t="s">
        <v>1347</v>
      </c>
      <c r="B175" s="660"/>
      <c r="C175" s="130">
        <v>1.1602649688720701</v>
      </c>
      <c r="D175" s="36">
        <v>1.398703</v>
      </c>
      <c r="E175" s="36">
        <v>1.4423900000000001</v>
      </c>
      <c r="F175" s="36">
        <v>1.5337240000000001</v>
      </c>
      <c r="G175" s="36">
        <v>1.6330979999999999</v>
      </c>
      <c r="H175" s="36">
        <v>1.744796</v>
      </c>
      <c r="I175" s="36">
        <v>1.858017</v>
      </c>
      <c r="J175" s="36">
        <v>1.9823489999999999</v>
      </c>
      <c r="K175" s="660"/>
      <c r="L175" s="662"/>
      <c r="M175" s="662"/>
      <c r="N175" s="660"/>
      <c r="O175" s="660"/>
      <c r="P175" s="660"/>
      <c r="Q175" s="660"/>
      <c r="R175" s="660"/>
      <c r="S175" s="660"/>
      <c r="T175" s="59"/>
      <c r="U175" s="59"/>
      <c r="V175" s="59"/>
      <c r="W175" s="59"/>
      <c r="X175" s="59"/>
      <c r="Y175" s="59"/>
      <c r="Z175" s="59"/>
      <c r="AA175" s="59"/>
      <c r="AB175" s="59"/>
      <c r="AC175" s="59"/>
      <c r="AD175" s="59"/>
      <c r="AE175" s="59"/>
      <c r="AF175" s="59"/>
      <c r="AG175" s="59"/>
      <c r="AH175" s="59"/>
      <c r="AI175" s="59"/>
      <c r="AJ175" s="59"/>
      <c r="AK175" s="59"/>
      <c r="AL175" s="59"/>
      <c r="AM175" s="59"/>
      <c r="AN175" s="59"/>
      <c r="AO175" s="59"/>
      <c r="AP175" s="131"/>
    </row>
    <row r="176" spans="1:42" s="25" customFormat="1" ht="13">
      <c r="A176" s="39" t="s">
        <v>1348</v>
      </c>
      <c r="B176" s="660"/>
      <c r="C176" s="130">
        <v>11.516374588012701</v>
      </c>
      <c r="D176" s="38">
        <v>11.260408999999999</v>
      </c>
      <c r="E176" s="38">
        <v>10.810661</v>
      </c>
      <c r="F176" s="38">
        <v>10.742025999999999</v>
      </c>
      <c r="G176" s="38">
        <v>10.773243000000001</v>
      </c>
      <c r="H176" s="38">
        <v>10.830589</v>
      </c>
      <c r="I176" s="38">
        <v>10.861997000000001</v>
      </c>
      <c r="J176" s="38">
        <v>10.936849</v>
      </c>
      <c r="K176" s="660"/>
      <c r="L176" s="37"/>
      <c r="M176" s="37"/>
      <c r="N176" s="37"/>
      <c r="O176" s="37"/>
      <c r="P176" s="37"/>
      <c r="Q176" s="37"/>
      <c r="R176" s="37"/>
      <c r="S176" s="37"/>
      <c r="T176" s="660"/>
      <c r="U176" s="660"/>
      <c r="V176" s="660"/>
      <c r="W176" s="660"/>
      <c r="X176" s="660"/>
      <c r="Y176" s="660"/>
      <c r="Z176" s="660"/>
      <c r="AA176" s="660"/>
      <c r="AB176" s="660"/>
      <c r="AC176" s="660"/>
      <c r="AD176" s="660"/>
      <c r="AE176" s="660"/>
      <c r="AF176" s="660"/>
      <c r="AG176" s="660"/>
      <c r="AH176" s="660"/>
      <c r="AI176" s="660"/>
      <c r="AJ176" s="660"/>
      <c r="AK176" s="660"/>
      <c r="AL176" s="660"/>
      <c r="AM176" s="660"/>
      <c r="AN176" s="660"/>
      <c r="AO176" s="660"/>
      <c r="AP176" s="660"/>
    </row>
    <row r="177" spans="1:42" s="25" customFormat="1">
      <c r="A177" s="660"/>
      <c r="B177" s="660"/>
      <c r="C177" s="660"/>
      <c r="D177" s="34"/>
      <c r="E177" s="34"/>
      <c r="F177" s="34"/>
      <c r="G177" s="34"/>
      <c r="H177" s="34"/>
      <c r="I177" s="34"/>
      <c r="J177" s="34"/>
      <c r="K177" s="660"/>
      <c r="L177" s="662"/>
      <c r="M177" s="662"/>
      <c r="N177" s="660"/>
      <c r="O177" s="660"/>
      <c r="P177" s="660"/>
      <c r="Q177" s="660"/>
      <c r="R177" s="660"/>
      <c r="S177" s="660"/>
      <c r="T177" s="660"/>
      <c r="U177" s="660"/>
      <c r="V177" s="660"/>
      <c r="W177" s="660"/>
      <c r="X177" s="660"/>
      <c r="Y177" s="660"/>
      <c r="Z177" s="660"/>
      <c r="AA177" s="660"/>
      <c r="AB177" s="660"/>
      <c r="AC177" s="660"/>
      <c r="AD177" s="660"/>
      <c r="AE177" s="660"/>
      <c r="AF177" s="660"/>
      <c r="AG177" s="660"/>
      <c r="AH177" s="660"/>
      <c r="AI177" s="660"/>
      <c r="AJ177" s="660"/>
      <c r="AK177" s="660"/>
      <c r="AL177" s="660"/>
      <c r="AM177" s="660"/>
      <c r="AN177" s="660"/>
      <c r="AO177" s="660"/>
      <c r="AP177" s="660"/>
    </row>
    <row r="178" spans="1:42" s="25" customFormat="1" ht="13">
      <c r="A178" s="39" t="s">
        <v>1349</v>
      </c>
      <c r="B178" s="660"/>
      <c r="C178" s="130">
        <v>10.1245260238647</v>
      </c>
      <c r="D178" s="38">
        <v>10.131798</v>
      </c>
      <c r="E178" s="38">
        <v>9.7391939999999995</v>
      </c>
      <c r="F178" s="38">
        <v>9.6412230000000001</v>
      </c>
      <c r="G178" s="38">
        <v>9.8094280000000005</v>
      </c>
      <c r="H178" s="38">
        <v>10.000724999999999</v>
      </c>
      <c r="I178" s="38">
        <v>10.224086</v>
      </c>
      <c r="J178" s="38">
        <v>10.546246999999999</v>
      </c>
      <c r="K178" s="660"/>
      <c r="L178" s="37"/>
      <c r="M178" s="37"/>
      <c r="N178" s="660"/>
      <c r="O178" s="660"/>
      <c r="P178" s="660"/>
      <c r="Q178" s="660"/>
      <c r="R178" s="660"/>
      <c r="S178" s="660"/>
      <c r="T178" s="34"/>
      <c r="U178" s="34"/>
      <c r="V178" s="34"/>
      <c r="W178" s="34"/>
      <c r="X178" s="34"/>
      <c r="Y178" s="34"/>
      <c r="Z178" s="34"/>
      <c r="AA178" s="34"/>
      <c r="AB178" s="34"/>
      <c r="AC178" s="34"/>
      <c r="AD178" s="34"/>
      <c r="AE178" s="34"/>
      <c r="AF178" s="34"/>
      <c r="AG178" s="34"/>
      <c r="AH178" s="34"/>
      <c r="AI178" s="34"/>
      <c r="AJ178" s="34"/>
      <c r="AK178" s="34"/>
      <c r="AL178" s="34"/>
      <c r="AM178" s="34"/>
      <c r="AN178" s="34"/>
      <c r="AO178" s="34"/>
      <c r="AP178" s="50"/>
    </row>
    <row r="179" spans="1:42" s="25" customFormat="1">
      <c r="A179" s="660"/>
      <c r="B179" s="660"/>
      <c r="C179" s="660"/>
      <c r="D179" s="34"/>
      <c r="E179" s="34"/>
      <c r="F179" s="34"/>
      <c r="G179" s="34"/>
      <c r="H179" s="34"/>
      <c r="I179" s="34"/>
      <c r="J179" s="34"/>
      <c r="K179" s="660"/>
      <c r="L179" s="662"/>
      <c r="M179" s="662"/>
      <c r="N179" s="662"/>
      <c r="O179" s="662"/>
      <c r="P179" s="662"/>
      <c r="Q179" s="662"/>
      <c r="R179" s="662"/>
      <c r="S179" s="662"/>
      <c r="T179" s="34"/>
      <c r="U179" s="34"/>
      <c r="V179" s="34"/>
      <c r="W179" s="34"/>
      <c r="X179" s="34"/>
      <c r="Y179" s="34"/>
      <c r="Z179" s="34"/>
      <c r="AA179" s="34"/>
      <c r="AB179" s="34"/>
      <c r="AC179" s="34"/>
      <c r="AD179" s="34"/>
      <c r="AE179" s="34"/>
      <c r="AF179" s="34"/>
      <c r="AG179" s="34"/>
      <c r="AH179" s="34"/>
      <c r="AI179" s="34"/>
      <c r="AJ179" s="34"/>
      <c r="AK179" s="34"/>
      <c r="AL179" s="34"/>
      <c r="AM179" s="34"/>
      <c r="AN179" s="34"/>
      <c r="AO179" s="34"/>
      <c r="AP179" s="50"/>
    </row>
    <row r="180" spans="1:42" s="25" customFormat="1">
      <c r="A180" s="39" t="s">
        <v>1350</v>
      </c>
      <c r="B180" s="660"/>
      <c r="C180" s="660"/>
      <c r="D180" s="34"/>
      <c r="E180" s="34"/>
      <c r="F180" s="34"/>
      <c r="G180" s="34"/>
      <c r="H180" s="34"/>
      <c r="I180" s="34"/>
      <c r="J180" s="34"/>
      <c r="K180" s="660"/>
      <c r="L180" s="662"/>
      <c r="M180" s="662"/>
      <c r="N180" s="662"/>
      <c r="O180" s="662"/>
      <c r="P180" s="662"/>
      <c r="Q180" s="662"/>
      <c r="R180" s="662"/>
      <c r="S180" s="662"/>
      <c r="T180" s="34"/>
      <c r="U180" s="34"/>
      <c r="V180" s="34"/>
      <c r="W180" s="34"/>
      <c r="X180" s="34"/>
      <c r="Y180" s="34"/>
      <c r="Z180" s="34"/>
      <c r="AA180" s="34"/>
      <c r="AB180" s="34"/>
      <c r="AC180" s="34"/>
      <c r="AD180" s="34"/>
      <c r="AE180" s="34"/>
      <c r="AF180" s="34"/>
      <c r="AG180" s="34"/>
      <c r="AH180" s="34"/>
      <c r="AI180" s="34"/>
      <c r="AJ180" s="34"/>
      <c r="AK180" s="34"/>
      <c r="AL180" s="34"/>
      <c r="AM180" s="34"/>
      <c r="AN180" s="34"/>
      <c r="AO180" s="34"/>
      <c r="AP180" s="50"/>
    </row>
    <row r="181" spans="1:42" s="25" customFormat="1">
      <c r="A181" s="39" t="s">
        <v>1334</v>
      </c>
      <c r="B181" s="660"/>
      <c r="C181" s="130">
        <v>6.1418976783752397</v>
      </c>
      <c r="D181" s="36">
        <v>5.6260519999999996</v>
      </c>
      <c r="E181" s="36">
        <v>5.2368370000000004</v>
      </c>
      <c r="F181" s="36">
        <v>5.0540130000000003</v>
      </c>
      <c r="G181" s="36">
        <v>4.9045069999999997</v>
      </c>
      <c r="H181" s="36">
        <v>4.740888</v>
      </c>
      <c r="I181" s="36">
        <v>4.5730620000000002</v>
      </c>
      <c r="J181" s="36">
        <v>4.4082090000000003</v>
      </c>
      <c r="K181" s="660"/>
      <c r="L181" s="662"/>
      <c r="M181" s="662"/>
      <c r="N181" s="662"/>
      <c r="O181" s="662"/>
      <c r="P181" s="662"/>
      <c r="Q181" s="662"/>
      <c r="R181" s="662"/>
      <c r="S181" s="662"/>
      <c r="T181" s="34"/>
      <c r="U181" s="34"/>
      <c r="V181" s="34"/>
      <c r="W181" s="34"/>
      <c r="X181" s="34"/>
      <c r="Y181" s="34"/>
      <c r="Z181" s="34"/>
      <c r="AA181" s="34"/>
      <c r="AB181" s="34"/>
      <c r="AC181" s="34"/>
      <c r="AD181" s="34"/>
      <c r="AE181" s="34"/>
      <c r="AF181" s="34"/>
      <c r="AG181" s="34"/>
      <c r="AH181" s="34"/>
      <c r="AI181" s="34"/>
      <c r="AJ181" s="34"/>
      <c r="AK181" s="34"/>
      <c r="AL181" s="34"/>
      <c r="AM181" s="34"/>
      <c r="AN181" s="34"/>
      <c r="AO181" s="34"/>
      <c r="AP181" s="50"/>
    </row>
    <row r="182" spans="1:42" s="25" customFormat="1">
      <c r="A182" s="39" t="s">
        <v>1335</v>
      </c>
      <c r="B182" s="660"/>
      <c r="C182" s="130">
        <v>2.61447978019714</v>
      </c>
      <c r="D182" s="36">
        <v>2.575663</v>
      </c>
      <c r="E182" s="36">
        <v>2.5343770000000001</v>
      </c>
      <c r="F182" s="36">
        <v>2.680145</v>
      </c>
      <c r="G182" s="36">
        <v>2.9100769999999998</v>
      </c>
      <c r="H182" s="36">
        <v>3.1374019999999998</v>
      </c>
      <c r="I182" s="36">
        <v>3.3717700000000002</v>
      </c>
      <c r="J182" s="36">
        <v>3.6086529999999999</v>
      </c>
      <c r="K182" s="660"/>
      <c r="L182" s="662"/>
      <c r="M182" s="662"/>
      <c r="N182" s="662"/>
      <c r="O182" s="662"/>
      <c r="P182" s="662"/>
      <c r="Q182" s="662"/>
      <c r="R182" s="662"/>
      <c r="S182" s="662"/>
      <c r="T182" s="34"/>
      <c r="U182" s="34"/>
      <c r="V182" s="34"/>
      <c r="W182" s="34"/>
      <c r="X182" s="34"/>
      <c r="Y182" s="34"/>
      <c r="Z182" s="34"/>
      <c r="AA182" s="34"/>
      <c r="AB182" s="34"/>
      <c r="AC182" s="34"/>
      <c r="AD182" s="34"/>
      <c r="AE182" s="34"/>
      <c r="AF182" s="34"/>
      <c r="AG182" s="34"/>
      <c r="AH182" s="34"/>
      <c r="AI182" s="34"/>
      <c r="AJ182" s="34"/>
      <c r="AK182" s="34"/>
      <c r="AL182" s="34"/>
      <c r="AM182" s="34"/>
      <c r="AN182" s="34"/>
      <c r="AO182" s="34"/>
      <c r="AP182" s="50"/>
    </row>
    <row r="183" spans="1:42" s="25" customFormat="1">
      <c r="A183" s="39" t="s">
        <v>1336</v>
      </c>
      <c r="B183" s="660"/>
      <c r="C183" s="130">
        <v>2.4715871810913099</v>
      </c>
      <c r="D183" s="36">
        <v>2.680018</v>
      </c>
      <c r="E183" s="36">
        <v>2.7174230000000001</v>
      </c>
      <c r="F183" s="36">
        <v>2.7117589999999998</v>
      </c>
      <c r="G183" s="36">
        <v>2.7428270000000001</v>
      </c>
      <c r="H183" s="36">
        <v>2.7396630000000002</v>
      </c>
      <c r="I183" s="36">
        <v>2.6922350000000002</v>
      </c>
      <c r="J183" s="36">
        <v>2.64872</v>
      </c>
      <c r="K183" s="660"/>
      <c r="L183" s="662"/>
      <c r="M183" s="662"/>
      <c r="N183" s="662"/>
      <c r="O183" s="662"/>
      <c r="P183" s="662"/>
      <c r="Q183" s="662"/>
      <c r="R183" s="662"/>
      <c r="S183" s="662"/>
      <c r="T183" s="34"/>
      <c r="U183" s="34"/>
      <c r="V183" s="34"/>
      <c r="W183" s="34"/>
      <c r="X183" s="34"/>
      <c r="Y183" s="34"/>
      <c r="Z183" s="34"/>
      <c r="AA183" s="34"/>
      <c r="AB183" s="34"/>
      <c r="AC183" s="34"/>
      <c r="AD183" s="34"/>
      <c r="AE183" s="34"/>
      <c r="AF183" s="34"/>
      <c r="AG183" s="34"/>
      <c r="AH183" s="34"/>
      <c r="AI183" s="34"/>
      <c r="AJ183" s="34"/>
      <c r="AK183" s="34"/>
      <c r="AL183" s="34"/>
      <c r="AM183" s="34"/>
      <c r="AN183" s="34"/>
      <c r="AO183" s="34"/>
      <c r="AP183" s="50"/>
    </row>
    <row r="184" spans="1:42" s="25" customFormat="1">
      <c r="A184" s="39" t="s">
        <v>1337</v>
      </c>
      <c r="B184" s="660"/>
      <c r="C184" s="130">
        <v>1.25530982017517</v>
      </c>
      <c r="D184" s="36">
        <v>1.16662</v>
      </c>
      <c r="E184" s="36">
        <v>1.150711</v>
      </c>
      <c r="F184" s="36">
        <v>1.123723</v>
      </c>
      <c r="G184" s="36">
        <v>1.115604</v>
      </c>
      <c r="H184" s="36">
        <v>1.121726</v>
      </c>
      <c r="I184" s="36">
        <v>1.1467970000000001</v>
      </c>
      <c r="J184" s="36">
        <v>1.185754</v>
      </c>
      <c r="K184" s="660"/>
      <c r="L184" s="662"/>
      <c r="M184" s="662"/>
      <c r="N184" s="662"/>
      <c r="O184" s="662"/>
      <c r="P184" s="662"/>
      <c r="Q184" s="662"/>
      <c r="R184" s="662"/>
      <c r="S184" s="662"/>
      <c r="T184" s="34"/>
      <c r="U184" s="34"/>
      <c r="V184" s="34"/>
      <c r="W184" s="34"/>
      <c r="X184" s="34"/>
      <c r="Y184" s="34"/>
      <c r="Z184" s="34"/>
      <c r="AA184" s="34"/>
      <c r="AB184" s="34"/>
      <c r="AC184" s="34"/>
      <c r="AD184" s="34"/>
      <c r="AE184" s="34"/>
      <c r="AF184" s="34"/>
      <c r="AG184" s="34"/>
      <c r="AH184" s="34"/>
      <c r="AI184" s="34"/>
      <c r="AJ184" s="34"/>
      <c r="AK184" s="34"/>
      <c r="AL184" s="34"/>
      <c r="AM184" s="34"/>
      <c r="AN184" s="34"/>
      <c r="AO184" s="34"/>
      <c r="AP184" s="50"/>
    </row>
    <row r="185" spans="1:42" s="25" customFormat="1">
      <c r="A185" s="39" t="s">
        <v>1351</v>
      </c>
      <c r="B185" s="660"/>
      <c r="C185" s="130">
        <v>0.57268238067626998</v>
      </c>
      <c r="D185" s="36">
        <v>0.56416900000000003</v>
      </c>
      <c r="E185" s="36">
        <v>0.56974199999999997</v>
      </c>
      <c r="F185" s="36">
        <v>0.58692800000000001</v>
      </c>
      <c r="G185" s="36">
        <v>0.60456600000000005</v>
      </c>
      <c r="H185" s="36">
        <v>0.62226000000000004</v>
      </c>
      <c r="I185" s="36">
        <v>0.64125500000000002</v>
      </c>
      <c r="J185" s="36">
        <v>0.66046499999999997</v>
      </c>
      <c r="K185" s="660"/>
      <c r="L185" s="662"/>
      <c r="M185" s="662"/>
      <c r="N185" s="662"/>
      <c r="O185" s="662"/>
      <c r="P185" s="662"/>
      <c r="Q185" s="662"/>
      <c r="R185" s="662"/>
      <c r="S185" s="662"/>
      <c r="T185" s="34"/>
      <c r="U185" s="34"/>
      <c r="V185" s="34"/>
      <c r="W185" s="34"/>
      <c r="X185" s="34"/>
      <c r="Y185" s="34"/>
      <c r="Z185" s="34"/>
      <c r="AA185" s="34"/>
      <c r="AB185" s="34"/>
      <c r="AC185" s="34"/>
      <c r="AD185" s="34"/>
      <c r="AE185" s="34"/>
      <c r="AF185" s="34"/>
      <c r="AG185" s="34"/>
      <c r="AH185" s="34"/>
      <c r="AI185" s="34"/>
      <c r="AJ185" s="34"/>
      <c r="AK185" s="34"/>
      <c r="AL185" s="34"/>
      <c r="AM185" s="34"/>
      <c r="AN185" s="34"/>
      <c r="AO185" s="34"/>
      <c r="AP185" s="50"/>
    </row>
    <row r="186" spans="1:42" s="25" customFormat="1">
      <c r="A186" s="39" t="s">
        <v>1352</v>
      </c>
      <c r="B186" s="660"/>
      <c r="C186" s="130">
        <v>0.87609779834747303</v>
      </c>
      <c r="D186" s="36">
        <v>0.66257600000000005</v>
      </c>
      <c r="E186" s="36">
        <v>0.67711200000000005</v>
      </c>
      <c r="F186" s="36">
        <v>0.68670699999999996</v>
      </c>
      <c r="G186" s="36">
        <v>0.70799500000000004</v>
      </c>
      <c r="H186" s="36">
        <v>0.729993</v>
      </c>
      <c r="I186" s="36">
        <v>0.756081</v>
      </c>
      <c r="J186" s="36">
        <v>0.78313600000000005</v>
      </c>
      <c r="K186" s="660"/>
      <c r="L186" s="662"/>
      <c r="M186" s="662"/>
      <c r="N186" s="662"/>
      <c r="O186" s="662"/>
      <c r="P186" s="662"/>
      <c r="Q186" s="662"/>
      <c r="R186" s="662"/>
      <c r="S186" s="662"/>
      <c r="T186" s="34"/>
      <c r="U186" s="34"/>
      <c r="V186" s="34"/>
      <c r="W186" s="34"/>
      <c r="X186" s="34"/>
      <c r="Y186" s="34"/>
      <c r="Z186" s="34"/>
      <c r="AA186" s="34"/>
      <c r="AB186" s="34"/>
      <c r="AC186" s="34"/>
      <c r="AD186" s="34"/>
      <c r="AE186" s="34"/>
      <c r="AF186" s="34"/>
      <c r="AG186" s="34"/>
      <c r="AH186" s="34"/>
      <c r="AI186" s="34"/>
      <c r="AJ186" s="34"/>
      <c r="AK186" s="34"/>
      <c r="AL186" s="34"/>
      <c r="AM186" s="34"/>
      <c r="AN186" s="34"/>
      <c r="AO186" s="34"/>
      <c r="AP186" s="50"/>
    </row>
    <row r="187" spans="1:42" s="25" customFormat="1">
      <c r="A187" s="39" t="s">
        <v>1340</v>
      </c>
      <c r="B187" s="660"/>
      <c r="C187" s="130">
        <v>0.26588606834411599</v>
      </c>
      <c r="D187" s="36">
        <v>0.245808</v>
      </c>
      <c r="E187" s="36">
        <v>0.245028</v>
      </c>
      <c r="F187" s="36">
        <v>0.23858699999999999</v>
      </c>
      <c r="G187" s="36">
        <v>0.23278699999999999</v>
      </c>
      <c r="H187" s="36">
        <v>0.22756999999999999</v>
      </c>
      <c r="I187" s="36">
        <v>0.22464100000000001</v>
      </c>
      <c r="J187" s="36">
        <v>0.225691</v>
      </c>
      <c r="K187" s="660"/>
      <c r="L187" s="662"/>
      <c r="M187" s="662"/>
      <c r="N187" s="662"/>
      <c r="O187" s="662"/>
      <c r="P187" s="662"/>
      <c r="Q187" s="662"/>
      <c r="R187" s="662"/>
      <c r="S187" s="662"/>
      <c r="T187" s="34"/>
      <c r="U187" s="34"/>
      <c r="V187" s="34"/>
      <c r="W187" s="34"/>
      <c r="X187" s="34"/>
      <c r="Y187" s="34"/>
      <c r="Z187" s="34"/>
      <c r="AA187" s="34"/>
      <c r="AB187" s="34"/>
      <c r="AC187" s="34"/>
      <c r="AD187" s="34"/>
      <c r="AE187" s="34"/>
      <c r="AF187" s="34"/>
      <c r="AG187" s="34"/>
      <c r="AH187" s="34"/>
      <c r="AI187" s="34"/>
      <c r="AJ187" s="34"/>
      <c r="AK187" s="34"/>
      <c r="AL187" s="34"/>
      <c r="AM187" s="34"/>
      <c r="AN187" s="34"/>
      <c r="AO187" s="34"/>
      <c r="AP187" s="50"/>
    </row>
    <row r="188" spans="1:42" s="25" customFormat="1">
      <c r="A188" s="39" t="s">
        <v>1341</v>
      </c>
      <c r="B188" s="660"/>
      <c r="C188" s="130">
        <v>2.3133287429809601</v>
      </c>
      <c r="D188" s="36">
        <v>1.970631</v>
      </c>
      <c r="E188" s="36">
        <v>1.5233319999999999</v>
      </c>
      <c r="F188" s="36">
        <v>1.305347</v>
      </c>
      <c r="G188" s="36">
        <v>1.156374</v>
      </c>
      <c r="H188" s="36">
        <v>1.0217590000000001</v>
      </c>
      <c r="I188" s="36">
        <v>0.86472099999999996</v>
      </c>
      <c r="J188" s="36">
        <v>0.79175399999999996</v>
      </c>
      <c r="K188" s="660"/>
      <c r="L188" s="662"/>
      <c r="M188" s="662"/>
      <c r="N188" s="662"/>
      <c r="O188" s="662"/>
      <c r="P188" s="662"/>
      <c r="Q188" s="662"/>
      <c r="R188" s="662"/>
      <c r="S188" s="662"/>
      <c r="T188" s="34"/>
      <c r="U188" s="34"/>
      <c r="V188" s="34"/>
      <c r="W188" s="34"/>
      <c r="X188" s="34"/>
      <c r="Y188" s="34"/>
      <c r="Z188" s="34"/>
      <c r="AA188" s="34"/>
      <c r="AB188" s="34"/>
      <c r="AC188" s="34"/>
      <c r="AD188" s="34"/>
      <c r="AE188" s="34"/>
      <c r="AF188" s="34"/>
      <c r="AG188" s="34"/>
      <c r="AH188" s="34"/>
      <c r="AI188" s="34"/>
      <c r="AJ188" s="34"/>
      <c r="AK188" s="34"/>
      <c r="AL188" s="34"/>
      <c r="AM188" s="34"/>
      <c r="AN188" s="34"/>
      <c r="AO188" s="34"/>
      <c r="AP188" s="50"/>
    </row>
    <row r="189" spans="1:42" s="25" customFormat="1">
      <c r="A189" s="39" t="s">
        <v>1342</v>
      </c>
      <c r="B189" s="660"/>
      <c r="C189" s="130">
        <v>0.110390990972519</v>
      </c>
      <c r="D189" s="36">
        <v>9.7642000000000007E-2</v>
      </c>
      <c r="E189" s="36">
        <v>9.2385999999999996E-2</v>
      </c>
      <c r="F189" s="36">
        <v>7.7723E-2</v>
      </c>
      <c r="G189" s="36">
        <v>6.5588999999999995E-2</v>
      </c>
      <c r="H189" s="36">
        <v>6.1179999999999998E-2</v>
      </c>
      <c r="I189" s="36">
        <v>6.2051000000000002E-2</v>
      </c>
      <c r="J189" s="36">
        <v>6.4252000000000004E-2</v>
      </c>
      <c r="K189" s="660"/>
      <c r="L189" s="662"/>
      <c r="M189" s="662"/>
      <c r="N189" s="662"/>
      <c r="O189" s="662"/>
      <c r="P189" s="662"/>
      <c r="Q189" s="662"/>
      <c r="R189" s="662"/>
      <c r="S189" s="662"/>
      <c r="T189" s="34"/>
      <c r="U189" s="34"/>
      <c r="V189" s="34"/>
      <c r="W189" s="34"/>
      <c r="X189" s="34"/>
      <c r="Y189" s="34"/>
      <c r="Z189" s="34"/>
      <c r="AA189" s="34"/>
      <c r="AB189" s="34"/>
      <c r="AC189" s="34"/>
      <c r="AD189" s="34"/>
      <c r="AE189" s="34"/>
      <c r="AF189" s="34"/>
      <c r="AG189" s="34"/>
      <c r="AH189" s="34"/>
      <c r="AI189" s="34"/>
      <c r="AJ189" s="34"/>
      <c r="AK189" s="34"/>
      <c r="AL189" s="34"/>
      <c r="AM189" s="34"/>
      <c r="AN189" s="34"/>
      <c r="AO189" s="34"/>
      <c r="AP189" s="50"/>
    </row>
    <row r="190" spans="1:42" s="25" customFormat="1">
      <c r="A190" s="39" t="s">
        <v>1343</v>
      </c>
      <c r="B190" s="660"/>
      <c r="C190" s="130">
        <v>0.305109322071075</v>
      </c>
      <c r="D190" s="36">
        <v>0.30743700000000002</v>
      </c>
      <c r="E190" s="36">
        <v>0.30120000000000002</v>
      </c>
      <c r="F190" s="36">
        <v>0.29266599999999998</v>
      </c>
      <c r="G190" s="36">
        <v>0.28918199999999999</v>
      </c>
      <c r="H190" s="36">
        <v>0.303815</v>
      </c>
      <c r="I190" s="36">
        <v>0.32335799999999998</v>
      </c>
      <c r="J190" s="36">
        <v>0.34304099999999998</v>
      </c>
      <c r="K190" s="660"/>
      <c r="L190" s="662"/>
      <c r="M190" s="662"/>
      <c r="N190" s="662"/>
      <c r="O190" s="662"/>
      <c r="P190" s="662"/>
      <c r="Q190" s="662"/>
      <c r="R190" s="662"/>
      <c r="S190" s="662"/>
      <c r="T190" s="34"/>
      <c r="U190" s="34"/>
      <c r="V190" s="34"/>
      <c r="W190" s="34"/>
      <c r="X190" s="34"/>
      <c r="Y190" s="34"/>
      <c r="Z190" s="34"/>
      <c r="AA190" s="34"/>
      <c r="AB190" s="34"/>
      <c r="AC190" s="34"/>
      <c r="AD190" s="34"/>
      <c r="AE190" s="34"/>
      <c r="AF190" s="34"/>
      <c r="AG190" s="34"/>
      <c r="AH190" s="34"/>
      <c r="AI190" s="34"/>
      <c r="AJ190" s="34"/>
      <c r="AK190" s="34"/>
      <c r="AL190" s="34"/>
      <c r="AM190" s="34"/>
      <c r="AN190" s="34"/>
      <c r="AO190" s="34"/>
      <c r="AP190" s="50"/>
    </row>
    <row r="191" spans="1:42" s="25" customFormat="1">
      <c r="A191" s="39" t="s">
        <v>1344</v>
      </c>
      <c r="B191" s="660"/>
      <c r="C191" s="130">
        <v>0.95304834842681896</v>
      </c>
      <c r="D191" s="36">
        <v>1.031336</v>
      </c>
      <c r="E191" s="36">
        <v>1.005652</v>
      </c>
      <c r="F191" s="36">
        <v>0.97939600000000004</v>
      </c>
      <c r="G191" s="36">
        <v>0.99156299999999997</v>
      </c>
      <c r="H191" s="36">
        <v>1.0232920000000001</v>
      </c>
      <c r="I191" s="36">
        <v>1.072184</v>
      </c>
      <c r="J191" s="36">
        <v>1.1128020000000001</v>
      </c>
      <c r="K191" s="660"/>
      <c r="L191" s="662"/>
      <c r="M191" s="662"/>
      <c r="N191" s="662"/>
      <c r="O191" s="662"/>
      <c r="P191" s="662"/>
      <c r="Q191" s="662"/>
      <c r="R191" s="662"/>
      <c r="S191" s="662"/>
      <c r="T191" s="34"/>
      <c r="U191" s="34"/>
      <c r="V191" s="34"/>
      <c r="W191" s="34"/>
      <c r="X191" s="34"/>
      <c r="Y191" s="34"/>
      <c r="Z191" s="34"/>
      <c r="AA191" s="34"/>
      <c r="AB191" s="34"/>
      <c r="AC191" s="34"/>
      <c r="AD191" s="34"/>
      <c r="AE191" s="34"/>
      <c r="AF191" s="34"/>
      <c r="AG191" s="34"/>
      <c r="AH191" s="34"/>
      <c r="AI191" s="34"/>
      <c r="AJ191" s="34"/>
      <c r="AK191" s="34"/>
      <c r="AL191" s="34"/>
      <c r="AM191" s="34"/>
      <c r="AN191" s="34"/>
      <c r="AO191" s="34"/>
      <c r="AP191" s="50"/>
    </row>
    <row r="192" spans="1:42" s="25" customFormat="1" ht="13">
      <c r="A192" s="39" t="s">
        <v>1345</v>
      </c>
      <c r="B192" s="660"/>
      <c r="C192" s="130">
        <v>0.20761233568191501</v>
      </c>
      <c r="D192" s="36">
        <v>0.39466099999999998</v>
      </c>
      <c r="E192" s="36">
        <v>0.35002100000000003</v>
      </c>
      <c r="F192" s="36">
        <v>0.29314400000000002</v>
      </c>
      <c r="G192" s="36">
        <v>0.247283</v>
      </c>
      <c r="H192" s="36">
        <v>0.20910100000000001</v>
      </c>
      <c r="I192" s="36">
        <v>0.17901500000000001</v>
      </c>
      <c r="J192" s="36">
        <v>0.15123200000000001</v>
      </c>
      <c r="K192" s="660"/>
      <c r="L192" s="662"/>
      <c r="M192" s="662"/>
      <c r="N192" s="662"/>
      <c r="O192" s="662"/>
      <c r="P192" s="662"/>
      <c r="Q192" s="662"/>
      <c r="R192" s="662"/>
      <c r="S192" s="662"/>
      <c r="T192" s="59"/>
      <c r="U192" s="59"/>
      <c r="V192" s="59"/>
      <c r="W192" s="59"/>
      <c r="X192" s="59"/>
      <c r="Y192" s="59"/>
      <c r="Z192" s="59"/>
      <c r="AA192" s="59"/>
      <c r="AB192" s="59"/>
      <c r="AC192" s="59"/>
      <c r="AD192" s="59"/>
      <c r="AE192" s="59"/>
      <c r="AF192" s="59"/>
      <c r="AG192" s="59"/>
      <c r="AH192" s="59"/>
      <c r="AI192" s="59"/>
      <c r="AJ192" s="59"/>
      <c r="AK192" s="59"/>
      <c r="AL192" s="59"/>
      <c r="AM192" s="59"/>
      <c r="AN192" s="59"/>
      <c r="AO192" s="59"/>
      <c r="AP192" s="131"/>
    </row>
    <row r="193" spans="1:42" s="25" customFormat="1" ht="13">
      <c r="A193" s="39" t="s">
        <v>1353</v>
      </c>
      <c r="B193" s="660"/>
      <c r="C193" s="130">
        <v>0.187849476933479</v>
      </c>
      <c r="D193" s="36">
        <v>0.36439500000000002</v>
      </c>
      <c r="E193" s="36">
        <v>0.34678599999999998</v>
      </c>
      <c r="F193" s="36">
        <v>0.34423599999999999</v>
      </c>
      <c r="G193" s="36">
        <v>0.34489900000000001</v>
      </c>
      <c r="H193" s="36">
        <v>0.34429799999999999</v>
      </c>
      <c r="I193" s="36">
        <v>0.34218900000000002</v>
      </c>
      <c r="J193" s="36">
        <v>0.33898400000000001</v>
      </c>
      <c r="K193" s="660"/>
      <c r="L193" s="37"/>
      <c r="M193" s="37"/>
      <c r="N193" s="37"/>
      <c r="O193" s="37"/>
      <c r="P193" s="37"/>
      <c r="Q193" s="37"/>
      <c r="R193" s="37"/>
      <c r="S193" s="37"/>
      <c r="T193" s="660"/>
      <c r="U193" s="660"/>
      <c r="V193" s="660"/>
      <c r="W193" s="660"/>
      <c r="X193" s="660"/>
      <c r="Y193" s="660"/>
      <c r="Z193" s="660"/>
      <c r="AA193" s="660"/>
      <c r="AB193" s="660"/>
      <c r="AC193" s="660"/>
      <c r="AD193" s="660"/>
      <c r="AE193" s="660"/>
      <c r="AF193" s="660"/>
      <c r="AG193" s="660"/>
      <c r="AH193" s="660"/>
      <c r="AI193" s="660"/>
      <c r="AJ193" s="660"/>
      <c r="AK193" s="660"/>
      <c r="AL193" s="660"/>
      <c r="AM193" s="660"/>
      <c r="AN193" s="660"/>
      <c r="AO193" s="660"/>
      <c r="AP193" s="660"/>
    </row>
    <row r="194" spans="1:42" s="25" customFormat="1">
      <c r="A194" s="39" t="s">
        <v>1354</v>
      </c>
      <c r="B194" s="660"/>
      <c r="C194" s="130">
        <v>3.3656198978424099</v>
      </c>
      <c r="D194" s="36">
        <v>3.7051949999999998</v>
      </c>
      <c r="E194" s="36">
        <v>3.7992490000000001</v>
      </c>
      <c r="F194" s="36">
        <v>4.0088739999999996</v>
      </c>
      <c r="G194" s="36">
        <v>4.2694169999999998</v>
      </c>
      <c r="H194" s="36">
        <v>4.5483659999999997</v>
      </c>
      <c r="I194" s="36">
        <v>4.8367230000000001</v>
      </c>
      <c r="J194" s="36">
        <v>5.1604020000000004</v>
      </c>
      <c r="K194" s="660"/>
      <c r="L194" s="662"/>
      <c r="M194" s="662"/>
      <c r="N194" s="660"/>
      <c r="O194" s="660"/>
      <c r="P194" s="660"/>
      <c r="Q194" s="660"/>
      <c r="R194" s="660"/>
      <c r="S194" s="660"/>
      <c r="T194" s="660"/>
      <c r="U194" s="660"/>
      <c r="V194" s="660"/>
      <c r="W194" s="660"/>
      <c r="X194" s="660"/>
      <c r="Y194" s="660"/>
      <c r="Z194" s="660"/>
      <c r="AA194" s="660"/>
      <c r="AB194" s="660"/>
      <c r="AC194" s="660"/>
      <c r="AD194" s="660"/>
      <c r="AE194" s="660"/>
      <c r="AF194" s="660"/>
      <c r="AG194" s="660"/>
      <c r="AH194" s="660"/>
      <c r="AI194" s="660"/>
      <c r="AJ194" s="660"/>
      <c r="AK194" s="660"/>
      <c r="AL194" s="660"/>
      <c r="AM194" s="660"/>
      <c r="AN194" s="660"/>
      <c r="AO194" s="660"/>
      <c r="AP194" s="660"/>
    </row>
    <row r="195" spans="1:42" s="25" customFormat="1" ht="13">
      <c r="A195" s="39" t="s">
        <v>1355</v>
      </c>
      <c r="B195" s="660"/>
      <c r="C195" s="130">
        <v>21.6409015655518</v>
      </c>
      <c r="D195" s="38">
        <v>21.392208</v>
      </c>
      <c r="E195" s="38">
        <v>20.549854</v>
      </c>
      <c r="F195" s="38">
        <v>20.383248999999999</v>
      </c>
      <c r="G195" s="38">
        <v>20.582671999999999</v>
      </c>
      <c r="H195" s="38">
        <v>20.831313999999999</v>
      </c>
      <c r="I195" s="38">
        <v>21.086082000000001</v>
      </c>
      <c r="J195" s="38">
        <v>21.483097000000001</v>
      </c>
      <c r="K195" s="660"/>
      <c r="L195" s="37"/>
      <c r="M195" s="37"/>
      <c r="N195" s="660"/>
      <c r="O195" s="660"/>
      <c r="P195" s="660"/>
      <c r="Q195" s="660"/>
      <c r="R195" s="660"/>
      <c r="S195" s="660"/>
      <c r="T195" s="34"/>
      <c r="U195" s="34"/>
      <c r="V195" s="34"/>
      <c r="W195" s="34"/>
      <c r="X195" s="34"/>
      <c r="Y195" s="34"/>
      <c r="Z195" s="34"/>
      <c r="AA195" s="34"/>
      <c r="AB195" s="34"/>
      <c r="AC195" s="34"/>
      <c r="AD195" s="34"/>
      <c r="AE195" s="34"/>
      <c r="AF195" s="34"/>
      <c r="AG195" s="34"/>
      <c r="AH195" s="34"/>
      <c r="AI195" s="34"/>
      <c r="AJ195" s="34"/>
      <c r="AK195" s="34"/>
      <c r="AL195" s="34"/>
      <c r="AM195" s="34"/>
      <c r="AN195" s="34"/>
      <c r="AO195" s="34"/>
      <c r="AP195" s="50"/>
    </row>
    <row r="196" spans="1:42" s="25" customFormat="1">
      <c r="A196" s="660"/>
      <c r="B196" s="660"/>
      <c r="C196" s="660"/>
      <c r="D196" s="34"/>
      <c r="E196" s="34"/>
      <c r="F196" s="34"/>
      <c r="G196" s="34"/>
      <c r="H196" s="34"/>
      <c r="I196" s="34"/>
      <c r="J196" s="34"/>
      <c r="K196" s="660"/>
      <c r="L196" s="662"/>
      <c r="M196" s="662"/>
      <c r="N196" s="662"/>
      <c r="O196" s="662"/>
      <c r="P196" s="662"/>
      <c r="Q196" s="662"/>
      <c r="R196" s="662"/>
      <c r="S196" s="662"/>
      <c r="T196" s="34"/>
      <c r="U196" s="34"/>
      <c r="V196" s="34"/>
      <c r="W196" s="34"/>
      <c r="X196" s="34"/>
      <c r="Y196" s="34"/>
      <c r="Z196" s="34"/>
      <c r="AA196" s="34"/>
      <c r="AB196" s="34"/>
      <c r="AC196" s="34"/>
      <c r="AD196" s="34"/>
      <c r="AE196" s="34"/>
      <c r="AF196" s="34"/>
      <c r="AG196" s="34"/>
      <c r="AH196" s="34"/>
      <c r="AI196" s="34"/>
      <c r="AJ196" s="34"/>
      <c r="AK196" s="34"/>
      <c r="AL196" s="34"/>
      <c r="AM196" s="34"/>
      <c r="AN196" s="34"/>
      <c r="AO196" s="34"/>
      <c r="AP196" s="50"/>
    </row>
    <row r="197" spans="1:42" s="25" customFormat="1">
      <c r="A197" s="39" t="s">
        <v>1356</v>
      </c>
      <c r="B197" s="660"/>
      <c r="C197" s="660"/>
      <c r="D197" s="34"/>
      <c r="E197" s="34"/>
      <c r="F197" s="34"/>
      <c r="G197" s="34"/>
      <c r="H197" s="34"/>
      <c r="I197" s="34"/>
      <c r="J197" s="34"/>
      <c r="K197" s="660"/>
      <c r="L197" s="662"/>
      <c r="M197" s="662"/>
      <c r="N197" s="662"/>
      <c r="O197" s="662"/>
      <c r="P197" s="662"/>
      <c r="Q197" s="662"/>
      <c r="R197" s="662"/>
      <c r="S197" s="662"/>
      <c r="T197" s="34"/>
      <c r="U197" s="34"/>
      <c r="V197" s="34"/>
      <c r="W197" s="34"/>
      <c r="X197" s="34"/>
      <c r="Y197" s="34"/>
      <c r="Z197" s="34"/>
      <c r="AA197" s="34"/>
      <c r="AB197" s="34"/>
      <c r="AC197" s="34"/>
      <c r="AD197" s="34"/>
      <c r="AE197" s="34"/>
      <c r="AF197" s="34"/>
      <c r="AG197" s="34"/>
      <c r="AH197" s="34"/>
      <c r="AI197" s="34"/>
      <c r="AJ197" s="34"/>
      <c r="AK197" s="34"/>
      <c r="AL197" s="34"/>
      <c r="AM197" s="34"/>
      <c r="AN197" s="34"/>
      <c r="AO197" s="34"/>
      <c r="AP197" s="50"/>
    </row>
    <row r="198" spans="1:42" s="25" customFormat="1">
      <c r="A198" s="660" t="s">
        <v>1357</v>
      </c>
      <c r="B198" s="660"/>
      <c r="C198" s="130">
        <v>3.2191900536418E-3</v>
      </c>
      <c r="D198" s="36">
        <v>1.0892000000000001E-2</v>
      </c>
      <c r="E198" s="36">
        <v>1.4688E-2</v>
      </c>
      <c r="F198" s="36">
        <v>1.9826E-2</v>
      </c>
      <c r="G198" s="36">
        <v>2.1811000000000001E-2</v>
      </c>
      <c r="H198" s="36">
        <v>2.2950000000000002E-2</v>
      </c>
      <c r="I198" s="36">
        <v>2.3990000000000001E-2</v>
      </c>
      <c r="J198" s="36">
        <v>2.5647E-2</v>
      </c>
      <c r="K198" s="660"/>
      <c r="L198" s="662"/>
      <c r="M198" s="662"/>
      <c r="N198" s="662"/>
      <c r="O198" s="662"/>
      <c r="P198" s="662"/>
      <c r="Q198" s="662"/>
      <c r="R198" s="662"/>
      <c r="S198" s="662"/>
      <c r="T198" s="34"/>
      <c r="U198" s="34"/>
      <c r="V198" s="34"/>
      <c r="W198" s="34"/>
      <c r="X198" s="34"/>
      <c r="Y198" s="34"/>
      <c r="Z198" s="34"/>
      <c r="AA198" s="34"/>
      <c r="AB198" s="34"/>
      <c r="AC198" s="34"/>
      <c r="AD198" s="34"/>
      <c r="AE198" s="34"/>
      <c r="AF198" s="34"/>
      <c r="AG198" s="34"/>
      <c r="AH198" s="34"/>
      <c r="AI198" s="34"/>
      <c r="AJ198" s="34"/>
      <c r="AK198" s="34"/>
      <c r="AL198" s="34"/>
      <c r="AM198" s="34"/>
      <c r="AN198" s="34"/>
      <c r="AO198" s="34"/>
      <c r="AP198" s="50"/>
    </row>
    <row r="199" spans="1:42" s="25" customFormat="1" ht="13">
      <c r="A199" s="660" t="s">
        <v>1358</v>
      </c>
      <c r="B199" s="660"/>
      <c r="C199" s="130">
        <v>9.8772877827286703E-3</v>
      </c>
      <c r="D199" s="36">
        <v>4.7939999999999997E-3</v>
      </c>
      <c r="E199" s="36">
        <v>9.8549999999999992E-3</v>
      </c>
      <c r="F199" s="36">
        <v>1.111E-2</v>
      </c>
      <c r="G199" s="36">
        <v>1.1153E-2</v>
      </c>
      <c r="H199" s="36">
        <v>1.1258000000000001E-2</v>
      </c>
      <c r="I199" s="36">
        <v>1.1545E-2</v>
      </c>
      <c r="J199" s="36">
        <v>1.1861E-2</v>
      </c>
      <c r="K199" s="660"/>
      <c r="L199" s="662"/>
      <c r="M199" s="662"/>
      <c r="N199" s="662"/>
      <c r="O199" s="662"/>
      <c r="P199" s="662"/>
      <c r="Q199" s="662"/>
      <c r="R199" s="662"/>
      <c r="S199" s="662"/>
      <c r="T199" s="59"/>
      <c r="U199" s="59"/>
      <c r="V199" s="59"/>
      <c r="W199" s="59"/>
      <c r="X199" s="59"/>
      <c r="Y199" s="59"/>
      <c r="Z199" s="59"/>
      <c r="AA199" s="59"/>
      <c r="AB199" s="59"/>
      <c r="AC199" s="59"/>
      <c r="AD199" s="59"/>
      <c r="AE199" s="59"/>
      <c r="AF199" s="59"/>
      <c r="AG199" s="59"/>
      <c r="AH199" s="59"/>
      <c r="AI199" s="59"/>
      <c r="AJ199" s="59"/>
      <c r="AK199" s="59"/>
      <c r="AL199" s="59"/>
      <c r="AM199" s="59"/>
      <c r="AN199" s="59"/>
      <c r="AO199" s="59"/>
      <c r="AP199" s="136"/>
    </row>
    <row r="200" spans="1:42" s="25" customFormat="1" ht="13">
      <c r="A200" s="660" t="s">
        <v>1359</v>
      </c>
      <c r="B200" s="660"/>
      <c r="C200" s="130">
        <v>1.0117285273736299E-4</v>
      </c>
      <c r="D200" s="36">
        <v>1.5768000000000001E-2</v>
      </c>
      <c r="E200" s="36">
        <v>6.6061999999999996E-2</v>
      </c>
      <c r="F200" s="36">
        <v>9.6735000000000002E-2</v>
      </c>
      <c r="G200" s="36">
        <v>0.115691</v>
      </c>
      <c r="H200" s="36">
        <v>0.14494299999999999</v>
      </c>
      <c r="I200" s="36">
        <v>0.18159900000000001</v>
      </c>
      <c r="J200" s="36">
        <v>0.22465099999999999</v>
      </c>
      <c r="K200" s="660"/>
      <c r="L200" s="37"/>
      <c r="M200" s="37"/>
      <c r="N200" s="37"/>
      <c r="O200" s="37"/>
      <c r="P200" s="37"/>
      <c r="Q200" s="37"/>
      <c r="R200" s="37"/>
      <c r="S200" s="37"/>
      <c r="T200" s="660"/>
      <c r="U200" s="660"/>
      <c r="V200" s="660"/>
      <c r="W200" s="660"/>
      <c r="X200" s="660"/>
      <c r="Y200" s="660"/>
      <c r="Z200" s="660"/>
      <c r="AA200" s="660"/>
      <c r="AB200" s="660"/>
      <c r="AC200" s="660"/>
      <c r="AD200" s="660"/>
      <c r="AE200" s="660"/>
      <c r="AF200" s="660"/>
      <c r="AG200" s="660"/>
      <c r="AH200" s="660"/>
      <c r="AI200" s="660"/>
      <c r="AJ200" s="660"/>
      <c r="AK200" s="660"/>
      <c r="AL200" s="660"/>
      <c r="AM200" s="660"/>
      <c r="AN200" s="660"/>
      <c r="AO200" s="660"/>
      <c r="AP200" s="660"/>
    </row>
    <row r="201" spans="1:42" s="25" customFormat="1">
      <c r="A201" s="660" t="s">
        <v>1360</v>
      </c>
      <c r="B201" s="660"/>
      <c r="C201" s="130"/>
      <c r="D201" s="36">
        <v>5.7700000000000004E-4</v>
      </c>
      <c r="E201" s="36">
        <v>5.6470000000000001E-3</v>
      </c>
      <c r="F201" s="36">
        <v>7.9830000000000005E-3</v>
      </c>
      <c r="G201" s="36">
        <v>7.9830000000000005E-3</v>
      </c>
      <c r="H201" s="36">
        <v>7.9830000000000005E-3</v>
      </c>
      <c r="I201" s="36">
        <v>8.0180000000000008E-3</v>
      </c>
      <c r="J201" s="36">
        <v>8.2620000000000002E-3</v>
      </c>
      <c r="K201" s="660"/>
      <c r="L201" s="662"/>
      <c r="M201" s="662"/>
      <c r="N201" s="660"/>
      <c r="O201" s="660"/>
      <c r="P201" s="660"/>
      <c r="Q201" s="660"/>
      <c r="R201" s="660"/>
      <c r="S201" s="660"/>
      <c r="T201" s="660"/>
      <c r="U201" s="660"/>
      <c r="V201" s="660"/>
      <c r="W201" s="660"/>
      <c r="X201" s="660"/>
      <c r="Y201" s="660"/>
      <c r="Z201" s="660"/>
      <c r="AA201" s="660"/>
      <c r="AB201" s="660"/>
      <c r="AC201" s="660"/>
      <c r="AD201" s="660"/>
      <c r="AE201" s="660"/>
      <c r="AF201" s="660"/>
      <c r="AG201" s="660"/>
      <c r="AH201" s="660"/>
      <c r="AI201" s="660"/>
      <c r="AJ201" s="660"/>
      <c r="AK201" s="660"/>
      <c r="AL201" s="660"/>
      <c r="AM201" s="660"/>
      <c r="AN201" s="660"/>
      <c r="AO201" s="660"/>
      <c r="AP201" s="660"/>
    </row>
    <row r="202" spans="1:42" s="25" customFormat="1" ht="13">
      <c r="A202" s="39" t="s">
        <v>1355</v>
      </c>
      <c r="B202" s="660"/>
      <c r="C202" s="130">
        <v>1.3197651132941199E-2</v>
      </c>
      <c r="D202" s="38">
        <v>3.2031999999999998E-2</v>
      </c>
      <c r="E202" s="38">
        <v>9.6252000000000004E-2</v>
      </c>
      <c r="F202" s="38">
        <v>0.135653</v>
      </c>
      <c r="G202" s="38">
        <v>0.156638</v>
      </c>
      <c r="H202" s="38">
        <v>0.18713299999999999</v>
      </c>
      <c r="I202" s="38">
        <v>0.22515099999999999</v>
      </c>
      <c r="J202" s="38">
        <v>0.27041999999999999</v>
      </c>
      <c r="K202" s="660"/>
      <c r="L202" s="37"/>
      <c r="M202" s="37"/>
      <c r="N202" s="660"/>
      <c r="O202" s="660"/>
      <c r="P202" s="660"/>
      <c r="Q202" s="660"/>
      <c r="R202" s="660"/>
      <c r="S202" s="660"/>
      <c r="T202" s="660"/>
      <c r="U202" s="660"/>
      <c r="V202" s="660"/>
      <c r="W202" s="660"/>
      <c r="X202" s="660"/>
      <c r="Y202" s="660"/>
      <c r="Z202" s="660"/>
      <c r="AA202" s="660"/>
      <c r="AB202" s="660"/>
      <c r="AC202" s="660"/>
      <c r="AD202" s="660"/>
      <c r="AE202" s="660"/>
      <c r="AF202" s="660"/>
      <c r="AG202" s="660"/>
      <c r="AH202" s="660"/>
      <c r="AI202" s="660"/>
      <c r="AJ202" s="660"/>
      <c r="AK202" s="660"/>
      <c r="AL202" s="660"/>
      <c r="AM202" s="660"/>
      <c r="AN202" s="660"/>
      <c r="AO202" s="660"/>
      <c r="AP202" s="660"/>
    </row>
    <row r="203" spans="1:42">
      <c r="A203" s="660"/>
      <c r="B203" s="660"/>
      <c r="C203" s="660"/>
      <c r="D203" s="660"/>
      <c r="E203" s="660"/>
      <c r="F203" s="660"/>
      <c r="G203" s="660"/>
      <c r="H203" s="660"/>
      <c r="I203" s="660"/>
      <c r="J203" s="660"/>
      <c r="K203" s="660"/>
      <c r="L203" s="662"/>
      <c r="M203" s="662"/>
      <c r="N203" s="662"/>
      <c r="O203" s="662"/>
      <c r="P203" s="662"/>
      <c r="Q203" s="662"/>
      <c r="R203" s="662"/>
      <c r="S203" s="662"/>
    </row>
    <row r="204" spans="1:42">
      <c r="A204" s="660"/>
      <c r="B204" s="660"/>
      <c r="C204" s="660"/>
      <c r="D204" s="660"/>
      <c r="L204" s="662"/>
      <c r="M204" s="662"/>
      <c r="N204" s="662"/>
      <c r="O204" s="662"/>
      <c r="P204" s="662"/>
      <c r="Q204" s="662"/>
      <c r="R204" s="662"/>
      <c r="S204" s="662"/>
    </row>
    <row r="205" spans="1:42" ht="13">
      <c r="A205" s="693" t="s">
        <v>1361</v>
      </c>
      <c r="B205" s="693"/>
      <c r="C205" s="654">
        <v>2005</v>
      </c>
      <c r="D205" s="654">
        <v>2010</v>
      </c>
      <c r="E205" s="654">
        <v>2015</v>
      </c>
      <c r="F205" s="654">
        <v>2020</v>
      </c>
      <c r="G205" s="654">
        <v>2025</v>
      </c>
      <c r="H205" s="654">
        <v>2030</v>
      </c>
      <c r="I205" s="654">
        <v>2035</v>
      </c>
      <c r="J205" s="654">
        <v>2040</v>
      </c>
      <c r="L205" s="662"/>
      <c r="M205" s="662"/>
      <c r="N205" s="662"/>
      <c r="O205" s="662"/>
      <c r="P205" s="662"/>
      <c r="Q205" s="662"/>
      <c r="R205" s="662"/>
      <c r="S205" s="662"/>
    </row>
    <row r="206" spans="1:42">
      <c r="B206" s="39" t="s">
        <v>1351</v>
      </c>
      <c r="C206" s="137">
        <f>C124/(C124+C140)</f>
        <v>0.32031787925660898</v>
      </c>
      <c r="D206" s="137">
        <f>D124/(D124+D140)</f>
        <v>0.33423176314469483</v>
      </c>
      <c r="E206" s="137">
        <f t="shared" ref="E206:I207" si="90">E124/(E124+E140)</f>
        <v>0.34334854445318652</v>
      </c>
      <c r="F206" s="137">
        <f t="shared" si="90"/>
        <v>0.35810690981586463</v>
      </c>
      <c r="G206" s="137">
        <f t="shared" si="90"/>
        <v>0.3714975845410628</v>
      </c>
      <c r="H206" s="137">
        <f t="shared" si="90"/>
        <v>0.38277944830905825</v>
      </c>
      <c r="I206" s="137">
        <f t="shared" si="90"/>
        <v>0.39112021588827384</v>
      </c>
      <c r="J206" s="137">
        <f>J124/(J124+J140)</f>
        <v>0.3989003808477074</v>
      </c>
      <c r="L206" s="662"/>
      <c r="M206" s="662"/>
      <c r="N206" s="662"/>
      <c r="O206" s="662"/>
      <c r="P206" s="662"/>
      <c r="Q206" s="662"/>
      <c r="R206" s="662"/>
      <c r="S206" s="662"/>
    </row>
    <row r="207" spans="1:42">
      <c r="B207" s="39" t="s">
        <v>1352</v>
      </c>
      <c r="C207" s="137">
        <f>C125/(C125+C141)</f>
        <v>0.77819802323483911</v>
      </c>
      <c r="D207" s="137">
        <f>D125/(D125+D141)</f>
        <v>0.80021519502552918</v>
      </c>
      <c r="E207" s="137">
        <f t="shared" si="90"/>
        <v>0.79841764751734345</v>
      </c>
      <c r="F207" s="137">
        <f t="shared" si="90"/>
        <v>0.7954767891828407</v>
      </c>
      <c r="G207" s="137">
        <f t="shared" si="90"/>
        <v>0.79581416876392141</v>
      </c>
      <c r="H207" s="137">
        <f t="shared" si="90"/>
        <v>0.79807985899072886</v>
      </c>
      <c r="I207" s="137">
        <f t="shared" si="90"/>
        <v>0.80182191420767035</v>
      </c>
      <c r="J207" s="137">
        <f t="shared" ref="J207" si="91">J125/(J125+J141)</f>
        <v>0.80492425452524108</v>
      </c>
      <c r="L207" s="662"/>
      <c r="M207" s="662"/>
      <c r="N207" s="662"/>
      <c r="O207" s="662"/>
      <c r="P207" s="662"/>
      <c r="Q207" s="662"/>
      <c r="R207" s="662"/>
      <c r="S207" s="662"/>
    </row>
    <row r="208" spans="1:42">
      <c r="B208" s="39" t="s">
        <v>1362</v>
      </c>
      <c r="C208" s="137">
        <f>C133/(C133+C142+C148+C155)</f>
        <v>0.77102234896099586</v>
      </c>
      <c r="D208" s="137">
        <f t="shared" ref="D208:J208" si="92">D133/(D133+D142+D148+D155)</f>
        <v>0.79011856690193216</v>
      </c>
      <c r="E208" s="137">
        <f t="shared" si="92"/>
        <v>0.7959851357815847</v>
      </c>
      <c r="F208" s="137">
        <f t="shared" si="92"/>
        <v>0.80994494446197618</v>
      </c>
      <c r="G208" s="137">
        <f t="shared" si="92"/>
        <v>0.82347549046322355</v>
      </c>
      <c r="H208" s="137">
        <f t="shared" si="92"/>
        <v>0.83658385474069474</v>
      </c>
      <c r="I208" s="137">
        <f t="shared" si="92"/>
        <v>0.84817738481402483</v>
      </c>
      <c r="J208" s="137">
        <f t="shared" si="92"/>
        <v>0.85922811775323116</v>
      </c>
      <c r="L208" s="662"/>
      <c r="M208" s="662"/>
      <c r="N208" s="662"/>
      <c r="O208" s="662"/>
      <c r="P208" s="662"/>
      <c r="Q208" s="662"/>
      <c r="R208" s="662"/>
      <c r="S208" s="662"/>
      <c r="AJ208" s="656" t="s">
        <v>1291</v>
      </c>
    </row>
    <row r="209" spans="1:36">
      <c r="L209" s="662"/>
      <c r="M209" s="662"/>
      <c r="N209" s="662"/>
      <c r="O209" s="662"/>
      <c r="P209" s="662"/>
      <c r="Q209" s="662"/>
      <c r="R209" s="662"/>
      <c r="S209" s="662"/>
      <c r="AJ209" s="656" t="s">
        <v>1363</v>
      </c>
    </row>
    <row r="210" spans="1:36" ht="13">
      <c r="L210" s="662"/>
      <c r="M210" s="662"/>
      <c r="N210" s="662"/>
      <c r="O210" s="662"/>
      <c r="P210" s="662"/>
      <c r="Q210" s="662"/>
      <c r="R210" s="662"/>
      <c r="S210" s="662"/>
      <c r="T210" s="660"/>
      <c r="U210" s="113"/>
    </row>
    <row r="211" spans="1:36" ht="12.75" customHeight="1">
      <c r="A211" s="655" t="s">
        <v>1364</v>
      </c>
      <c r="B211" s="655"/>
      <c r="C211" s="655"/>
      <c r="D211" s="655"/>
      <c r="E211" s="655"/>
      <c r="F211" s="655"/>
      <c r="G211" s="655"/>
      <c r="H211" s="655"/>
      <c r="I211" s="655"/>
      <c r="J211" s="655"/>
      <c r="L211" s="662"/>
      <c r="M211" s="662"/>
      <c r="N211" s="662"/>
      <c r="O211" s="662"/>
      <c r="P211" s="662"/>
      <c r="Q211" s="662"/>
      <c r="R211" s="662"/>
      <c r="S211" s="662"/>
      <c r="T211" s="652"/>
      <c r="U211" s="652"/>
    </row>
    <row r="212" spans="1:36" ht="15" customHeight="1">
      <c r="A212" s="655"/>
      <c r="B212" s="655"/>
      <c r="C212" s="655">
        <v>2005</v>
      </c>
      <c r="D212" s="655">
        <v>2010</v>
      </c>
      <c r="E212" s="655">
        <v>2015</v>
      </c>
      <c r="F212" s="655">
        <v>2020</v>
      </c>
      <c r="G212" s="655">
        <v>2025</v>
      </c>
      <c r="H212" s="655">
        <v>2030</v>
      </c>
      <c r="I212" s="655">
        <v>2035</v>
      </c>
      <c r="J212" s="655">
        <v>2040</v>
      </c>
      <c r="L212" s="37"/>
      <c r="M212" s="37"/>
      <c r="N212" s="37"/>
      <c r="O212" s="37"/>
      <c r="P212" s="37"/>
      <c r="Q212" s="37"/>
      <c r="R212" s="37"/>
      <c r="S212" s="37"/>
      <c r="T212" s="660"/>
      <c r="U212" s="660"/>
    </row>
    <row r="213" spans="1:36" ht="13">
      <c r="A213" s="652" t="s">
        <v>1365</v>
      </c>
      <c r="C213" s="660"/>
      <c r="D213" s="660"/>
      <c r="E213" s="660"/>
      <c r="F213" s="660"/>
      <c r="G213" s="660"/>
      <c r="L213" s="662"/>
      <c r="M213" s="662"/>
      <c r="N213" s="660"/>
      <c r="O213" s="660"/>
      <c r="P213" s="660"/>
      <c r="Q213" s="660"/>
      <c r="R213" s="660"/>
      <c r="S213" s="660"/>
      <c r="T213" s="34"/>
      <c r="U213" s="660"/>
    </row>
    <row r="214" spans="1:36" ht="13">
      <c r="A214" s="652" t="s">
        <v>1366</v>
      </c>
      <c r="C214" s="660"/>
      <c r="D214" s="660"/>
      <c r="E214" s="660"/>
      <c r="F214" s="660"/>
      <c r="G214" s="660"/>
      <c r="L214" s="37"/>
      <c r="M214" s="37"/>
      <c r="N214" s="660"/>
      <c r="O214" s="660"/>
      <c r="P214" s="660"/>
      <c r="Q214" s="660"/>
      <c r="R214" s="660"/>
      <c r="S214" s="660"/>
      <c r="T214" s="34"/>
      <c r="U214" s="50"/>
    </row>
    <row r="215" spans="1:36">
      <c r="A215" s="39" t="s">
        <v>1367</v>
      </c>
      <c r="C215" s="130">
        <v>9.0129785537719709</v>
      </c>
      <c r="D215" s="36">
        <v>9.4284479999999995</v>
      </c>
      <c r="E215" s="36">
        <v>10.782083999999999</v>
      </c>
      <c r="F215" s="36">
        <v>13.210682</v>
      </c>
      <c r="G215" s="36">
        <v>15.564698999999999</v>
      </c>
      <c r="H215" s="36">
        <v>17.948681000000001</v>
      </c>
      <c r="I215" s="36">
        <v>20.221375999999999</v>
      </c>
      <c r="J215" s="36">
        <v>22.454535</v>
      </c>
      <c r="L215" s="662"/>
      <c r="M215" s="662"/>
      <c r="N215" s="662"/>
      <c r="O215" s="662"/>
      <c r="P215" s="662"/>
      <c r="Q215" s="662"/>
      <c r="R215" s="662"/>
      <c r="S215" s="662"/>
      <c r="T215" s="50"/>
    </row>
    <row r="216" spans="1:36">
      <c r="A216" s="39" t="s">
        <v>1368</v>
      </c>
      <c r="C216" s="130">
        <v>24.643083572387699</v>
      </c>
      <c r="D216" s="36">
        <v>29.383524000000001</v>
      </c>
      <c r="E216" s="36">
        <v>29.266096000000001</v>
      </c>
      <c r="F216" s="36">
        <v>29.599385999999999</v>
      </c>
      <c r="G216" s="36">
        <v>29.984966</v>
      </c>
      <c r="H216" s="36">
        <v>30.457101999999999</v>
      </c>
      <c r="I216" s="36">
        <v>30.938476999999999</v>
      </c>
      <c r="J216" s="36">
        <v>31.437695999999999</v>
      </c>
      <c r="L216" s="662"/>
      <c r="M216" s="662"/>
      <c r="N216" s="662"/>
      <c r="O216" s="662"/>
      <c r="P216" s="662"/>
      <c r="Q216" s="662"/>
      <c r="R216" s="662"/>
      <c r="S216" s="662"/>
      <c r="T216" s="135"/>
    </row>
    <row r="217" spans="1:36">
      <c r="A217" s="39" t="s">
        <v>1369</v>
      </c>
      <c r="C217" s="130">
        <v>0</v>
      </c>
      <c r="D217" s="36">
        <v>0.40661399999999998</v>
      </c>
      <c r="E217" s="36">
        <v>0.40098899999999998</v>
      </c>
      <c r="F217" s="36">
        <v>0.39396999999999999</v>
      </c>
      <c r="G217" s="36">
        <v>0.38708300000000001</v>
      </c>
      <c r="H217" s="36">
        <v>0.38032700000000003</v>
      </c>
      <c r="I217" s="36">
        <v>0.373695</v>
      </c>
      <c r="J217" s="36">
        <v>0.36718699999999999</v>
      </c>
      <c r="L217" s="662"/>
      <c r="M217" s="662"/>
      <c r="N217" s="662"/>
      <c r="O217" s="662"/>
      <c r="P217" s="662"/>
      <c r="Q217" s="662"/>
      <c r="R217" s="662"/>
      <c r="S217" s="662"/>
      <c r="T217" s="50"/>
    </row>
    <row r="218" spans="1:36">
      <c r="A218" s="39" t="s">
        <v>1370</v>
      </c>
      <c r="C218" s="130">
        <v>58.612491607666001</v>
      </c>
      <c r="D218" s="36">
        <v>56.362037999999998</v>
      </c>
      <c r="E218" s="36">
        <v>57.758724000000001</v>
      </c>
      <c r="F218" s="36">
        <v>60.771011000000001</v>
      </c>
      <c r="G218" s="36">
        <v>63.648304000000003</v>
      </c>
      <c r="H218" s="36">
        <v>66.507378000000003</v>
      </c>
      <c r="I218" s="36">
        <v>69.147659000000004</v>
      </c>
      <c r="J218" s="36">
        <v>71.724120999999997</v>
      </c>
      <c r="L218" s="662"/>
      <c r="M218" s="662"/>
      <c r="N218" s="662"/>
      <c r="O218" s="662"/>
      <c r="P218" s="662"/>
      <c r="Q218" s="662"/>
      <c r="R218" s="662"/>
      <c r="S218" s="662"/>
      <c r="T218" s="50"/>
    </row>
    <row r="219" spans="1:36">
      <c r="A219" s="39" t="s">
        <v>1371</v>
      </c>
      <c r="C219" s="130">
        <v>7.76714992523193</v>
      </c>
      <c r="D219" s="36">
        <v>6.7947689999999996</v>
      </c>
      <c r="E219" s="36">
        <v>6.5325879999999996</v>
      </c>
      <c r="F219" s="36">
        <v>6.2292730000000001</v>
      </c>
      <c r="G219" s="36">
        <v>5.9322910000000002</v>
      </c>
      <c r="H219" s="36">
        <v>5.6429720000000003</v>
      </c>
      <c r="I219" s="36">
        <v>5.3817180000000002</v>
      </c>
      <c r="J219" s="36">
        <v>5.1507170000000002</v>
      </c>
      <c r="L219" s="662"/>
      <c r="M219" s="662"/>
      <c r="N219" s="662"/>
      <c r="O219" s="662"/>
      <c r="P219" s="662"/>
      <c r="Q219" s="662"/>
      <c r="R219" s="662"/>
      <c r="S219" s="662"/>
      <c r="T219" s="50"/>
    </row>
    <row r="220" spans="1:36">
      <c r="A220" s="39" t="s">
        <v>1372</v>
      </c>
      <c r="C220" s="130">
        <v>6.0340309143066397</v>
      </c>
      <c r="D220" s="36">
        <v>5.5439420000000004</v>
      </c>
      <c r="E220" s="36">
        <v>5.4402140000000001</v>
      </c>
      <c r="F220" s="36">
        <v>5.3711200000000003</v>
      </c>
      <c r="G220" s="36">
        <v>5.3105890000000002</v>
      </c>
      <c r="H220" s="36">
        <v>5.2659539999999998</v>
      </c>
      <c r="I220" s="36">
        <v>5.2271320000000001</v>
      </c>
      <c r="J220" s="36">
        <v>5.1974900000000002</v>
      </c>
      <c r="L220" s="662"/>
      <c r="M220" s="662"/>
      <c r="N220" s="662"/>
      <c r="O220" s="662"/>
      <c r="P220" s="662"/>
      <c r="Q220" s="662"/>
      <c r="R220" s="662"/>
      <c r="S220" s="662"/>
      <c r="T220" s="50"/>
    </row>
    <row r="221" spans="1:36">
      <c r="A221" s="39" t="s">
        <v>1373</v>
      </c>
      <c r="C221" s="130">
        <v>0.68602198362350497</v>
      </c>
      <c r="D221" s="36">
        <v>0.48496600000000001</v>
      </c>
      <c r="E221" s="36">
        <v>0.464974</v>
      </c>
      <c r="F221" s="36">
        <v>0.45170500000000002</v>
      </c>
      <c r="G221" s="36">
        <v>0.43881900000000001</v>
      </c>
      <c r="H221" s="36">
        <v>0.426759</v>
      </c>
      <c r="I221" s="36">
        <v>0.414599</v>
      </c>
      <c r="J221" s="36">
        <v>0.40295300000000001</v>
      </c>
      <c r="L221" s="662"/>
      <c r="M221" s="662"/>
      <c r="N221" s="662"/>
      <c r="O221" s="662"/>
      <c r="P221" s="662"/>
      <c r="Q221" s="662"/>
      <c r="R221" s="662"/>
      <c r="S221" s="662"/>
      <c r="T221" s="50"/>
    </row>
    <row r="222" spans="1:36">
      <c r="A222" s="39" t="s">
        <v>1374</v>
      </c>
      <c r="C222" s="130">
        <v>2.8879349231720002</v>
      </c>
      <c r="D222" s="36">
        <v>2.8175810000000001</v>
      </c>
      <c r="E222" s="36">
        <v>2.7498459999999998</v>
      </c>
      <c r="F222" s="36">
        <v>2.674153</v>
      </c>
      <c r="G222" s="36">
        <v>2.6052550000000001</v>
      </c>
      <c r="H222" s="36">
        <v>2.5417290000000001</v>
      </c>
      <c r="I222" s="36">
        <v>2.4828260000000002</v>
      </c>
      <c r="J222" s="36">
        <v>2.427972</v>
      </c>
      <c r="L222" s="662"/>
      <c r="M222" s="662"/>
      <c r="N222" s="662"/>
      <c r="O222" s="662"/>
      <c r="P222" s="662"/>
      <c r="Q222" s="662"/>
      <c r="R222" s="662"/>
      <c r="S222" s="662"/>
      <c r="T222" s="50"/>
    </row>
    <row r="223" spans="1:36" ht="13">
      <c r="A223" s="39" t="s">
        <v>1375</v>
      </c>
      <c r="C223" s="130">
        <v>0.15187999606132499</v>
      </c>
      <c r="D223" s="36">
        <v>0.79883800000000005</v>
      </c>
      <c r="E223" s="36">
        <v>1.157117</v>
      </c>
      <c r="F223" s="36">
        <v>1.6737040000000001</v>
      </c>
      <c r="G223" s="36">
        <v>1.962008</v>
      </c>
      <c r="H223" s="36">
        <v>2.1602030000000001</v>
      </c>
      <c r="I223" s="36">
        <v>2.303741</v>
      </c>
      <c r="J223" s="36">
        <v>2.4254709999999999</v>
      </c>
      <c r="L223" s="662"/>
      <c r="M223" s="662"/>
      <c r="N223" s="662"/>
      <c r="O223" s="662"/>
      <c r="P223" s="662"/>
      <c r="Q223" s="662"/>
      <c r="R223" s="662"/>
      <c r="S223" s="662"/>
      <c r="T223" s="131"/>
    </row>
    <row r="224" spans="1:36" ht="13">
      <c r="A224" s="39" t="s">
        <v>1190</v>
      </c>
      <c r="C224" s="138">
        <v>109.79556274414099</v>
      </c>
      <c r="D224" s="38">
        <v>112.02072099999999</v>
      </c>
      <c r="E224" s="38">
        <v>114.552635</v>
      </c>
      <c r="F224" s="38">
        <v>120.37500799999999</v>
      </c>
      <c r="G224" s="38">
        <v>125.834007</v>
      </c>
      <c r="H224" s="38">
        <v>131.33109999999999</v>
      </c>
      <c r="I224" s="38">
        <v>136.49121099999999</v>
      </c>
      <c r="J224" s="38">
        <v>141.58815000000001</v>
      </c>
      <c r="L224" s="37"/>
      <c r="M224" s="37"/>
      <c r="N224" s="37"/>
      <c r="O224" s="37"/>
      <c r="P224" s="37"/>
      <c r="Q224" s="37"/>
      <c r="R224" s="37"/>
      <c r="S224" s="37"/>
      <c r="T224" s="660"/>
    </row>
    <row r="225" spans="1:20">
      <c r="A225" s="660"/>
      <c r="C225" s="660"/>
      <c r="D225" s="34"/>
      <c r="E225" s="660"/>
      <c r="F225" s="660"/>
      <c r="G225" s="660"/>
      <c r="H225" s="660"/>
      <c r="I225" s="660"/>
      <c r="J225" s="660"/>
      <c r="L225" s="662"/>
      <c r="M225" s="662"/>
      <c r="N225" s="660"/>
      <c r="O225" s="660"/>
      <c r="P225" s="660"/>
      <c r="Q225" s="660"/>
      <c r="R225" s="660"/>
      <c r="S225" s="660"/>
      <c r="T225" s="660"/>
    </row>
    <row r="226" spans="1:20" ht="13">
      <c r="A226" s="652" t="s">
        <v>1376</v>
      </c>
      <c r="C226" s="660"/>
      <c r="D226" s="34"/>
      <c r="E226" s="660"/>
      <c r="F226" s="660"/>
      <c r="G226" s="660"/>
      <c r="H226" s="660"/>
      <c r="I226" s="660"/>
      <c r="J226" s="660"/>
      <c r="L226" s="37"/>
      <c r="M226" s="37"/>
      <c r="N226" s="660"/>
      <c r="O226" s="660"/>
      <c r="P226" s="660"/>
      <c r="Q226" s="660"/>
      <c r="R226" s="660"/>
      <c r="S226" s="660"/>
      <c r="T226" s="50"/>
    </row>
    <row r="227" spans="1:20">
      <c r="A227" s="39" t="s">
        <v>1367</v>
      </c>
      <c r="C227" s="130">
        <v>9.0129785537719709</v>
      </c>
      <c r="D227" s="36">
        <v>9.4284490000000005</v>
      </c>
      <c r="E227" s="36">
        <v>10.782088</v>
      </c>
      <c r="F227" s="36">
        <v>13.210680999999999</v>
      </c>
      <c r="G227" s="36">
        <v>15.564704000000001</v>
      </c>
      <c r="H227" s="36">
        <v>17.948687</v>
      </c>
      <c r="I227" s="36">
        <v>20.221384</v>
      </c>
      <c r="J227" s="36">
        <v>22.454535</v>
      </c>
      <c r="L227" s="662"/>
      <c r="M227" s="662"/>
      <c r="N227" s="662"/>
      <c r="O227" s="662"/>
      <c r="P227" s="662"/>
      <c r="Q227" s="662"/>
      <c r="R227" s="662"/>
      <c r="S227" s="662"/>
      <c r="T227" s="135"/>
    </row>
    <row r="228" spans="1:20">
      <c r="A228" s="39" t="s">
        <v>1369</v>
      </c>
      <c r="C228" s="130">
        <v>9.9999999747524292E-7</v>
      </c>
      <c r="D228" s="36">
        <v>0.40661399999999998</v>
      </c>
      <c r="E228" s="36">
        <v>0.40098899999999998</v>
      </c>
      <c r="F228" s="36">
        <v>0.39396999999999999</v>
      </c>
      <c r="G228" s="36">
        <v>0.38708300000000001</v>
      </c>
      <c r="H228" s="36">
        <v>0.38032700000000003</v>
      </c>
      <c r="I228" s="36">
        <v>0.373695</v>
      </c>
      <c r="J228" s="36">
        <v>0.36718699999999999</v>
      </c>
      <c r="L228" s="662"/>
      <c r="M228" s="662"/>
      <c r="N228" s="662"/>
      <c r="O228" s="662"/>
      <c r="P228" s="662"/>
      <c r="Q228" s="662"/>
      <c r="R228" s="662"/>
      <c r="S228" s="662"/>
      <c r="T228" s="50"/>
    </row>
    <row r="229" spans="1:20">
      <c r="A229" s="39" t="s">
        <v>1375</v>
      </c>
      <c r="C229" s="130">
        <v>0.15187999606132499</v>
      </c>
      <c r="D229" s="36">
        <v>0.79883800000000005</v>
      </c>
      <c r="E229" s="36">
        <v>1.157117</v>
      </c>
      <c r="F229" s="36">
        <v>1.6737029999999999</v>
      </c>
      <c r="G229" s="36">
        <v>1.962008</v>
      </c>
      <c r="H229" s="36">
        <v>2.1602030000000001</v>
      </c>
      <c r="I229" s="36">
        <v>2.3037420000000002</v>
      </c>
      <c r="J229" s="36">
        <v>2.4254720000000001</v>
      </c>
      <c r="L229" s="662"/>
      <c r="M229" s="662"/>
      <c r="N229" s="662"/>
      <c r="O229" s="662"/>
      <c r="P229" s="662"/>
      <c r="Q229" s="662"/>
      <c r="R229" s="662"/>
      <c r="S229" s="662"/>
      <c r="T229" s="50"/>
    </row>
    <row r="230" spans="1:20">
      <c r="A230" s="39" t="s">
        <v>1377</v>
      </c>
      <c r="C230" s="130">
        <v>56.698097229003899</v>
      </c>
      <c r="D230" s="36">
        <v>63.027839999999998</v>
      </c>
      <c r="E230" s="36">
        <v>67.554817</v>
      </c>
      <c r="F230" s="36">
        <v>74.527168000000003</v>
      </c>
      <c r="G230" s="36">
        <v>81.311194999999998</v>
      </c>
      <c r="H230" s="36">
        <v>88.018906000000001</v>
      </c>
      <c r="I230" s="36">
        <v>94.422957999999994</v>
      </c>
      <c r="J230" s="36">
        <v>100.67227200000001</v>
      </c>
      <c r="L230" s="662"/>
      <c r="M230" s="662"/>
      <c r="N230" s="662"/>
      <c r="O230" s="662"/>
      <c r="P230" s="662"/>
      <c r="Q230" s="662"/>
      <c r="R230" s="662"/>
      <c r="S230" s="662"/>
      <c r="T230" s="50"/>
    </row>
    <row r="231" spans="1:20" ht="13">
      <c r="A231" s="39" t="s">
        <v>1378</v>
      </c>
      <c r="C231" s="130">
        <v>51.317440032958999</v>
      </c>
      <c r="D231" s="36">
        <v>48.668446000000003</v>
      </c>
      <c r="E231" s="36">
        <v>48.105705</v>
      </c>
      <c r="F231" s="36">
        <v>47.775635000000001</v>
      </c>
      <c r="G231" s="36">
        <v>47.474727999999999</v>
      </c>
      <c r="H231" s="36">
        <v>47.236697999999997</v>
      </c>
      <c r="I231" s="36">
        <v>47.008338999999999</v>
      </c>
      <c r="J231" s="36">
        <v>46.804248999999999</v>
      </c>
      <c r="L231" s="662"/>
      <c r="M231" s="662"/>
      <c r="N231" s="662"/>
      <c r="O231" s="662"/>
      <c r="P231" s="662"/>
      <c r="Q231" s="662"/>
      <c r="R231" s="662"/>
      <c r="S231" s="662"/>
      <c r="T231" s="131"/>
    </row>
    <row r="232" spans="1:20" ht="13">
      <c r="A232" s="39" t="s">
        <v>1190</v>
      </c>
      <c r="C232" s="138">
        <v>117.18040466308599</v>
      </c>
      <c r="D232" s="38">
        <v>122.330185</v>
      </c>
      <c r="E232" s="38">
        <v>128.00071700000001</v>
      </c>
      <c r="F232" s="38">
        <v>137.58116100000001</v>
      </c>
      <c r="G232" s="38">
        <v>146.69972200000001</v>
      </c>
      <c r="H232" s="38">
        <v>155.74482699999999</v>
      </c>
      <c r="I232" s="38">
        <v>164.33010899999999</v>
      </c>
      <c r="J232" s="38">
        <v>172.72370900000001</v>
      </c>
      <c r="L232" s="37"/>
      <c r="M232" s="37"/>
      <c r="N232" s="37"/>
      <c r="O232" s="37"/>
      <c r="P232" s="37"/>
      <c r="Q232" s="37"/>
      <c r="R232" s="37"/>
      <c r="S232" s="37"/>
      <c r="T232" s="660"/>
    </row>
    <row r="233" spans="1:20">
      <c r="A233" s="660"/>
      <c r="C233" s="660"/>
      <c r="D233" s="34"/>
      <c r="E233" s="34"/>
      <c r="F233" s="34"/>
      <c r="G233" s="34"/>
      <c r="H233" s="34"/>
      <c r="I233" s="34"/>
      <c r="J233" s="34"/>
      <c r="L233" s="662"/>
      <c r="M233" s="662"/>
      <c r="N233" s="660"/>
      <c r="O233" s="660"/>
      <c r="P233" s="660"/>
      <c r="Q233" s="660"/>
      <c r="R233" s="660"/>
      <c r="S233" s="660"/>
      <c r="T233" s="660"/>
    </row>
    <row r="234" spans="1:20" ht="13">
      <c r="A234" s="652" t="s">
        <v>1379</v>
      </c>
      <c r="C234" s="660"/>
      <c r="D234" s="34"/>
      <c r="E234" s="34"/>
      <c r="F234" s="34"/>
      <c r="G234" s="34"/>
      <c r="H234" s="34"/>
      <c r="I234" s="34"/>
      <c r="J234" s="34"/>
      <c r="L234" s="37"/>
      <c r="M234" s="37"/>
      <c r="N234" s="660"/>
      <c r="O234" s="660"/>
      <c r="P234" s="660"/>
      <c r="Q234" s="660"/>
      <c r="R234" s="660"/>
      <c r="S234" s="660"/>
      <c r="T234" s="50"/>
    </row>
    <row r="235" spans="1:20">
      <c r="A235" s="39" t="s">
        <v>1380</v>
      </c>
      <c r="C235" s="130">
        <v>43.052391052246101</v>
      </c>
      <c r="D235" s="36">
        <v>47.497748999999999</v>
      </c>
      <c r="E235" s="36">
        <v>50.246932999999999</v>
      </c>
      <c r="F235" s="36">
        <v>54.931561000000002</v>
      </c>
      <c r="G235" s="36">
        <v>59.051430000000003</v>
      </c>
      <c r="H235" s="36">
        <v>63.069358999999999</v>
      </c>
      <c r="I235" s="36">
        <v>66.807533000000006</v>
      </c>
      <c r="J235" s="36">
        <v>70.429862999999997</v>
      </c>
      <c r="L235" s="662"/>
      <c r="M235" s="662"/>
      <c r="N235" s="662"/>
      <c r="O235" s="662"/>
      <c r="P235" s="662"/>
      <c r="Q235" s="662"/>
      <c r="R235" s="662"/>
      <c r="S235" s="662"/>
      <c r="T235" s="50"/>
    </row>
    <row r="236" spans="1:20">
      <c r="A236" s="39" t="s">
        <v>1381</v>
      </c>
      <c r="C236" s="130">
        <v>58.660655975341797</v>
      </c>
      <c r="D236" s="36">
        <v>58.053196</v>
      </c>
      <c r="E236" s="36">
        <v>58.583553000000002</v>
      </c>
      <c r="F236" s="36">
        <v>60.630791000000002</v>
      </c>
      <c r="G236" s="36">
        <v>62.595528000000002</v>
      </c>
      <c r="H236" s="36">
        <v>64.532852000000005</v>
      </c>
      <c r="I236" s="36">
        <v>66.265884</v>
      </c>
      <c r="J236" s="36">
        <v>67.936592000000005</v>
      </c>
      <c r="L236" s="662"/>
      <c r="M236" s="662"/>
      <c r="N236" s="662"/>
      <c r="O236" s="662"/>
      <c r="P236" s="662"/>
      <c r="Q236" s="662"/>
      <c r="R236" s="662"/>
      <c r="S236" s="662"/>
      <c r="T236" s="50"/>
    </row>
    <row r="237" spans="1:20">
      <c r="A237" s="39" t="s">
        <v>1371</v>
      </c>
      <c r="C237" s="130">
        <v>4.0430588722229004</v>
      </c>
      <c r="D237" s="36">
        <v>3.3306969999999998</v>
      </c>
      <c r="E237" s="36">
        <v>2.7731840000000001</v>
      </c>
      <c r="F237" s="36">
        <v>2.2372459999999998</v>
      </c>
      <c r="G237" s="36">
        <v>1.9014990000000001</v>
      </c>
      <c r="H237" s="36">
        <v>1.6495230000000001</v>
      </c>
      <c r="I237" s="36">
        <v>1.4673179999999999</v>
      </c>
      <c r="J237" s="36">
        <v>1.3398429999999999</v>
      </c>
      <c r="L237" s="662"/>
      <c r="M237" s="662"/>
      <c r="N237" s="662"/>
      <c r="O237" s="662"/>
      <c r="P237" s="662"/>
      <c r="Q237" s="662"/>
      <c r="R237" s="662"/>
      <c r="S237" s="662"/>
      <c r="T237" s="50"/>
    </row>
    <row r="238" spans="1:20">
      <c r="A238" s="39" t="s">
        <v>1372</v>
      </c>
      <c r="C238" s="130">
        <v>4.0272889137268102</v>
      </c>
      <c r="D238" s="36">
        <v>3.8712740000000001</v>
      </c>
      <c r="E238" s="36">
        <v>3.2968899999999999</v>
      </c>
      <c r="F238" s="36">
        <v>2.8075749999999999</v>
      </c>
      <c r="G238" s="36">
        <v>2.490259</v>
      </c>
      <c r="H238" s="36">
        <v>2.2539639999999999</v>
      </c>
      <c r="I238" s="36">
        <v>2.0837430000000001</v>
      </c>
      <c r="J238" s="36">
        <v>1.9728140000000001</v>
      </c>
      <c r="L238" s="662"/>
      <c r="M238" s="662"/>
      <c r="N238" s="662"/>
      <c r="O238" s="662"/>
      <c r="P238" s="662"/>
      <c r="Q238" s="662"/>
      <c r="R238" s="662"/>
      <c r="S238" s="662"/>
      <c r="T238" s="50"/>
    </row>
    <row r="239" spans="1:20" ht="13">
      <c r="A239" s="39" t="s">
        <v>1382</v>
      </c>
      <c r="C239" s="130">
        <v>0.17044399678707101</v>
      </c>
      <c r="D239" s="36">
        <v>0.35251500000000002</v>
      </c>
      <c r="E239" s="36">
        <v>0.71553900000000004</v>
      </c>
      <c r="F239" s="36">
        <v>0.80603499999999995</v>
      </c>
      <c r="G239" s="36">
        <v>0.80945999999999996</v>
      </c>
      <c r="H239" s="36">
        <v>0.81655800000000001</v>
      </c>
      <c r="I239" s="36">
        <v>0.83592900000000003</v>
      </c>
      <c r="J239" s="36">
        <v>0.857124</v>
      </c>
      <c r="L239" s="662"/>
      <c r="M239" s="662"/>
      <c r="N239" s="662"/>
      <c r="O239" s="662"/>
      <c r="P239" s="662"/>
      <c r="Q239" s="662"/>
      <c r="R239" s="662"/>
      <c r="S239" s="662"/>
      <c r="T239" s="131"/>
    </row>
    <row r="240" spans="1:20" ht="13">
      <c r="A240" s="39" t="s">
        <v>1190</v>
      </c>
      <c r="C240" s="138">
        <v>109.95383453369099</v>
      </c>
      <c r="D240" s="38">
        <v>113.10543800000001</v>
      </c>
      <c r="E240" s="38">
        <v>115.61610400000001</v>
      </c>
      <c r="F240" s="38">
        <v>121.4132</v>
      </c>
      <c r="G240" s="38">
        <v>126.848175</v>
      </c>
      <c r="H240" s="38">
        <v>132.32226600000001</v>
      </c>
      <c r="I240" s="38">
        <v>137.46040300000001</v>
      </c>
      <c r="J240" s="38">
        <v>142.536224</v>
      </c>
      <c r="L240" s="37"/>
      <c r="M240" s="37"/>
      <c r="N240" s="37"/>
      <c r="O240" s="37"/>
      <c r="P240" s="37"/>
      <c r="Q240" s="37"/>
      <c r="R240" s="37"/>
      <c r="S240" s="37"/>
      <c r="T240" s="660"/>
    </row>
    <row r="241" spans="1:20">
      <c r="A241" s="660"/>
      <c r="C241" s="660"/>
      <c r="D241" s="34"/>
      <c r="E241" s="34"/>
      <c r="F241" s="34"/>
      <c r="G241" s="34"/>
      <c r="H241" s="34"/>
      <c r="I241" s="34"/>
      <c r="J241" s="34"/>
      <c r="L241" s="662"/>
      <c r="M241" s="662"/>
      <c r="N241" s="660"/>
      <c r="O241" s="660"/>
      <c r="P241" s="660"/>
      <c r="Q241" s="660"/>
      <c r="R241" s="660"/>
      <c r="S241" s="660"/>
      <c r="T241" s="660"/>
    </row>
    <row r="242" spans="1:20" ht="13">
      <c r="A242" s="652" t="s">
        <v>1383</v>
      </c>
      <c r="C242" s="660"/>
      <c r="D242" s="34"/>
      <c r="E242" s="34"/>
      <c r="F242" s="34"/>
      <c r="G242" s="34"/>
      <c r="H242" s="34"/>
      <c r="I242" s="34"/>
      <c r="J242" s="34"/>
      <c r="L242" s="37"/>
      <c r="M242" s="37"/>
      <c r="N242" s="660"/>
      <c r="O242" s="660"/>
      <c r="P242" s="660"/>
      <c r="Q242" s="660"/>
      <c r="R242" s="660"/>
      <c r="S242" s="660"/>
      <c r="T242" s="50"/>
    </row>
    <row r="243" spans="1:20">
      <c r="A243" s="39" t="s">
        <v>1380</v>
      </c>
      <c r="C243" s="130">
        <v>65.712928771972699</v>
      </c>
      <c r="D243" s="36">
        <v>68.440392000000003</v>
      </c>
      <c r="E243" s="36">
        <v>70.955269000000001</v>
      </c>
      <c r="F243" s="36">
        <v>76.152602999999999</v>
      </c>
      <c r="G243" s="36">
        <v>81.020904999999999</v>
      </c>
      <c r="H243" s="36">
        <v>85.902023</v>
      </c>
      <c r="I243" s="36">
        <v>90.517882999999998</v>
      </c>
      <c r="J243" s="36">
        <v>95.074959000000007</v>
      </c>
      <c r="L243" s="662"/>
      <c r="M243" s="662"/>
      <c r="N243" s="662"/>
      <c r="O243" s="662"/>
      <c r="P243" s="662"/>
      <c r="Q243" s="662"/>
      <c r="R243" s="662"/>
      <c r="S243" s="662"/>
      <c r="T243" s="50"/>
    </row>
    <row r="244" spans="1:20">
      <c r="A244" s="39" t="s">
        <v>1381</v>
      </c>
      <c r="C244" s="130">
        <v>38.655399322509801</v>
      </c>
      <c r="D244" s="36">
        <v>38.221214000000003</v>
      </c>
      <c r="E244" s="36">
        <v>38.450915999999999</v>
      </c>
      <c r="F244" s="36">
        <v>39.286732000000001</v>
      </c>
      <c r="G244" s="36">
        <v>40.089008</v>
      </c>
      <c r="H244" s="36">
        <v>40.882496000000003</v>
      </c>
      <c r="I244" s="36">
        <v>41.560799000000003</v>
      </c>
      <c r="J244" s="36">
        <v>42.239319000000002</v>
      </c>
      <c r="L244" s="662"/>
      <c r="M244" s="662"/>
      <c r="N244" s="662"/>
      <c r="O244" s="662"/>
      <c r="P244" s="662"/>
      <c r="Q244" s="662"/>
      <c r="R244" s="662"/>
      <c r="S244" s="662"/>
      <c r="T244" s="50"/>
    </row>
    <row r="245" spans="1:20" ht="13">
      <c r="A245" s="39" t="s">
        <v>1372</v>
      </c>
      <c r="C245" s="130">
        <v>5.6207227706909197</v>
      </c>
      <c r="D245" s="36">
        <v>5.338425</v>
      </c>
      <c r="E245" s="36">
        <v>5.1353</v>
      </c>
      <c r="F245" s="36">
        <v>4.9346410000000001</v>
      </c>
      <c r="G245" s="36">
        <v>4.73156</v>
      </c>
      <c r="H245" s="36">
        <v>4.5610169999999997</v>
      </c>
      <c r="I245" s="36">
        <v>4.4326970000000001</v>
      </c>
      <c r="J245" s="36">
        <v>4.298832</v>
      </c>
      <c r="L245" s="662"/>
      <c r="M245" s="662"/>
      <c r="N245" s="662"/>
      <c r="O245" s="662"/>
      <c r="P245" s="662"/>
      <c r="Q245" s="662"/>
      <c r="R245" s="662"/>
      <c r="S245" s="662"/>
      <c r="T245" s="131"/>
    </row>
    <row r="246" spans="1:20" ht="13">
      <c r="A246" s="39" t="s">
        <v>1190</v>
      </c>
      <c r="C246" s="138">
        <v>109.989051818848</v>
      </c>
      <c r="D246" s="38">
        <v>112.00003100000001</v>
      </c>
      <c r="E246" s="38">
        <v>114.541489</v>
      </c>
      <c r="F246" s="38">
        <v>120.37397</v>
      </c>
      <c r="G246" s="38">
        <v>125.841469</v>
      </c>
      <c r="H246" s="38">
        <v>131.34553500000001</v>
      </c>
      <c r="I246" s="38">
        <v>136.511368</v>
      </c>
      <c r="J246" s="38">
        <v>141.61309800000001</v>
      </c>
      <c r="L246" s="37"/>
      <c r="M246" s="37"/>
      <c r="N246" s="37"/>
      <c r="O246" s="37"/>
      <c r="P246" s="37"/>
      <c r="Q246" s="37"/>
      <c r="R246" s="37"/>
      <c r="S246" s="37"/>
      <c r="T246" s="660"/>
    </row>
    <row r="247" spans="1:20">
      <c r="A247" s="660"/>
      <c r="C247" s="660"/>
      <c r="D247" s="34"/>
      <c r="E247" s="34"/>
      <c r="F247" s="34"/>
      <c r="G247" s="34"/>
      <c r="H247" s="34"/>
      <c r="I247" s="34"/>
      <c r="J247" s="34"/>
      <c r="L247" s="662"/>
      <c r="M247" s="662"/>
      <c r="N247" s="660"/>
      <c r="O247" s="660"/>
      <c r="P247" s="660"/>
      <c r="Q247" s="660"/>
      <c r="R247" s="660"/>
      <c r="S247" s="660"/>
      <c r="T247" s="660"/>
    </row>
    <row r="248" spans="1:20" ht="13">
      <c r="A248" s="652" t="s">
        <v>1384</v>
      </c>
      <c r="C248" s="660"/>
      <c r="D248" s="34"/>
      <c r="E248" s="34"/>
      <c r="F248" s="34"/>
      <c r="G248" s="34"/>
      <c r="H248" s="34"/>
      <c r="I248" s="34"/>
      <c r="J248" s="34"/>
      <c r="L248" s="37"/>
      <c r="M248" s="37"/>
      <c r="N248" s="660"/>
      <c r="O248" s="660"/>
      <c r="P248" s="660"/>
      <c r="Q248" s="660"/>
      <c r="R248" s="660"/>
      <c r="S248" s="660"/>
      <c r="T248" s="50"/>
    </row>
    <row r="249" spans="1:20">
      <c r="A249" s="39" t="s">
        <v>1380</v>
      </c>
      <c r="C249" s="130">
        <v>67.225288391113295</v>
      </c>
      <c r="D249" s="36">
        <v>72.276854999999998</v>
      </c>
      <c r="E249" s="36">
        <v>75.299537999999998</v>
      </c>
      <c r="F249" s="36">
        <v>81.210144</v>
      </c>
      <c r="G249" s="36">
        <v>86.877662999999998</v>
      </c>
      <c r="H249" s="36">
        <v>92.593520999999996</v>
      </c>
      <c r="I249" s="36">
        <v>98.021736000000004</v>
      </c>
      <c r="J249" s="36">
        <v>103.37975299999999</v>
      </c>
      <c r="L249" s="662"/>
      <c r="M249" s="662"/>
      <c r="N249" s="662"/>
      <c r="O249" s="662"/>
      <c r="P249" s="662"/>
      <c r="Q249" s="662"/>
      <c r="R249" s="662"/>
      <c r="S249" s="662"/>
      <c r="T249" s="50"/>
    </row>
    <row r="250" spans="1:20" ht="13">
      <c r="A250" s="39" t="s">
        <v>1381</v>
      </c>
      <c r="C250" s="130">
        <v>19.374872207641602</v>
      </c>
      <c r="D250" s="36">
        <v>17.526484</v>
      </c>
      <c r="E250" s="36">
        <v>18.012087000000001</v>
      </c>
      <c r="F250" s="36">
        <v>18.997999</v>
      </c>
      <c r="G250" s="36">
        <v>19.903658</v>
      </c>
      <c r="H250" s="36">
        <v>20.775611999999999</v>
      </c>
      <c r="I250" s="36">
        <v>21.578047000000002</v>
      </c>
      <c r="J250" s="36">
        <v>22.370708</v>
      </c>
      <c r="L250" s="662"/>
      <c r="M250" s="662"/>
      <c r="N250" s="662"/>
      <c r="O250" s="662"/>
      <c r="P250" s="662"/>
      <c r="Q250" s="662"/>
      <c r="R250" s="662"/>
      <c r="S250" s="662"/>
      <c r="T250" s="131"/>
    </row>
    <row r="251" spans="1:20" ht="13">
      <c r="A251" s="39" t="s">
        <v>1190</v>
      </c>
      <c r="C251" s="138">
        <v>86.600158691406307</v>
      </c>
      <c r="D251" s="38">
        <v>89.803336999999999</v>
      </c>
      <c r="E251" s="38">
        <v>93.311622999999997</v>
      </c>
      <c r="F251" s="38">
        <v>100.208145</v>
      </c>
      <c r="G251" s="38">
        <v>106.781319</v>
      </c>
      <c r="H251" s="38">
        <v>113.36913300000001</v>
      </c>
      <c r="I251" s="38">
        <v>119.599785</v>
      </c>
      <c r="J251" s="38">
        <v>125.75045799999999</v>
      </c>
      <c r="L251" s="37"/>
      <c r="M251" s="37"/>
      <c r="N251" s="37"/>
      <c r="O251" s="37"/>
      <c r="P251" s="37"/>
      <c r="Q251" s="37"/>
      <c r="R251" s="37"/>
      <c r="S251" s="37"/>
      <c r="T251" s="660"/>
    </row>
    <row r="252" spans="1:20">
      <c r="A252" s="660"/>
      <c r="C252" s="660"/>
      <c r="D252" s="34"/>
      <c r="E252" s="34"/>
      <c r="F252" s="34"/>
      <c r="G252" s="34"/>
      <c r="H252" s="34"/>
      <c r="I252" s="34"/>
      <c r="J252" s="34"/>
      <c r="L252" s="662"/>
      <c r="M252" s="662"/>
      <c r="N252" s="660"/>
      <c r="O252" s="660"/>
      <c r="P252" s="660"/>
      <c r="Q252" s="660"/>
      <c r="R252" s="660"/>
      <c r="S252" s="660"/>
      <c r="T252" s="660"/>
    </row>
    <row r="253" spans="1:20" ht="13">
      <c r="A253" s="652" t="s">
        <v>1385</v>
      </c>
      <c r="C253" s="660"/>
      <c r="D253" s="34"/>
      <c r="E253" s="34"/>
      <c r="F253" s="34"/>
      <c r="G253" s="34"/>
      <c r="H253" s="34"/>
      <c r="I253" s="34"/>
      <c r="J253" s="34"/>
      <c r="L253" s="37"/>
      <c r="M253" s="37"/>
      <c r="N253" s="660"/>
      <c r="O253" s="660"/>
      <c r="P253" s="660"/>
      <c r="Q253" s="660"/>
      <c r="R253" s="660"/>
      <c r="S253" s="660"/>
      <c r="T253" s="50"/>
    </row>
    <row r="254" spans="1:20" ht="13">
      <c r="A254" s="39" t="s">
        <v>1386</v>
      </c>
      <c r="C254" s="138">
        <v>137.59495544433599</v>
      </c>
      <c r="D254" s="36">
        <v>142.74478099999999</v>
      </c>
      <c r="E254" s="36">
        <v>146.25145000000001</v>
      </c>
      <c r="F254" s="36">
        <v>154.08332799999999</v>
      </c>
      <c r="G254" s="36">
        <v>161.34394800000001</v>
      </c>
      <c r="H254" s="36">
        <v>168.56379699999999</v>
      </c>
      <c r="I254" s="36">
        <v>175.27842699999999</v>
      </c>
      <c r="J254" s="36">
        <v>181.908264</v>
      </c>
      <c r="L254" s="662"/>
      <c r="M254" s="662"/>
      <c r="N254" s="662"/>
      <c r="O254" s="662"/>
      <c r="P254" s="662"/>
      <c r="Q254" s="662"/>
      <c r="R254" s="662"/>
      <c r="S254" s="662"/>
      <c r="T254" s="50"/>
    </row>
    <row r="255" spans="1:20" ht="13">
      <c r="A255" s="39" t="s">
        <v>1311</v>
      </c>
      <c r="C255" s="138">
        <v>38.425449371337898</v>
      </c>
      <c r="D255" s="36">
        <v>38.009281000000001</v>
      </c>
      <c r="E255" s="36">
        <v>38.799267</v>
      </c>
      <c r="F255" s="36">
        <v>40.689968</v>
      </c>
      <c r="G255" s="36">
        <v>42.401108000000001</v>
      </c>
      <c r="H255" s="36">
        <v>44.059565999999997</v>
      </c>
      <c r="I255" s="36">
        <v>45.560253000000003</v>
      </c>
      <c r="J255" s="36">
        <v>47.049377</v>
      </c>
      <c r="L255" s="662"/>
      <c r="M255" s="662"/>
      <c r="N255" s="662"/>
      <c r="O255" s="662"/>
      <c r="P255" s="662"/>
      <c r="Q255" s="662"/>
      <c r="R255" s="662"/>
      <c r="S255" s="662"/>
      <c r="T255" s="660"/>
    </row>
    <row r="256" spans="1:20">
      <c r="A256" s="660"/>
      <c r="C256" s="660"/>
      <c r="D256" s="660"/>
      <c r="E256" s="660"/>
      <c r="F256" s="660"/>
      <c r="G256" s="660"/>
      <c r="H256" s="660"/>
      <c r="L256" s="662"/>
      <c r="M256" s="662"/>
      <c r="N256" s="660"/>
      <c r="O256" s="660"/>
      <c r="P256" s="660"/>
      <c r="Q256" s="660"/>
      <c r="R256" s="660"/>
      <c r="S256" s="660"/>
      <c r="T256" s="660"/>
    </row>
    <row r="257" spans="1:22" ht="13">
      <c r="A257" s="663" t="s">
        <v>1387</v>
      </c>
      <c r="C257" s="660"/>
      <c r="D257" s="660"/>
      <c r="E257" s="660"/>
      <c r="F257" s="660"/>
      <c r="G257" s="660"/>
      <c r="H257" s="660"/>
      <c r="L257" s="37"/>
      <c r="M257" s="37"/>
      <c r="N257" s="660"/>
      <c r="O257" s="660"/>
      <c r="P257" s="660"/>
      <c r="Q257" s="660"/>
      <c r="R257" s="660"/>
      <c r="S257" s="660"/>
      <c r="T257" s="660"/>
    </row>
    <row r="258" spans="1:22" ht="13">
      <c r="A258" s="652" t="s">
        <v>1366</v>
      </c>
      <c r="C258" s="660"/>
      <c r="D258" s="660"/>
      <c r="E258" s="660"/>
      <c r="F258" s="660"/>
      <c r="G258" s="660"/>
      <c r="H258" s="660"/>
      <c r="L258" s="37"/>
      <c r="M258" s="37"/>
      <c r="N258" s="660"/>
      <c r="O258" s="660"/>
      <c r="P258" s="660"/>
      <c r="Q258" s="660"/>
      <c r="R258" s="660"/>
      <c r="S258" s="660"/>
      <c r="T258" s="50"/>
    </row>
    <row r="259" spans="1:22">
      <c r="A259" s="39" t="s">
        <v>1388</v>
      </c>
      <c r="C259" s="130">
        <v>7.73056840896606</v>
      </c>
      <c r="D259" s="36">
        <v>7.4495990000000001</v>
      </c>
      <c r="E259" s="662">
        <v>7.628679</v>
      </c>
      <c r="F259" s="662">
        <v>7.964467</v>
      </c>
      <c r="G259" s="662">
        <v>8.1679739999999992</v>
      </c>
      <c r="H259" s="662">
        <v>8.2638839999999991</v>
      </c>
      <c r="I259" s="662">
        <v>8.287077</v>
      </c>
      <c r="J259" s="662">
        <v>8.2947190000000006</v>
      </c>
      <c r="K259" s="127"/>
      <c r="L259" s="127"/>
      <c r="M259" s="127"/>
      <c r="N259" s="127"/>
      <c r="O259" s="127"/>
      <c r="P259" s="127"/>
      <c r="Q259" s="662"/>
      <c r="R259" s="662"/>
      <c r="S259" s="662"/>
      <c r="T259" s="50"/>
    </row>
    <row r="260" spans="1:22" ht="48" customHeight="1">
      <c r="A260" s="39" t="s">
        <v>1389</v>
      </c>
      <c r="C260" s="139">
        <f t="shared" ref="C260:J260" si="93">C259/3.412</f>
        <v>2.2657000026278018</v>
      </c>
      <c r="D260" s="139">
        <f t="shared" si="93"/>
        <v>2.1833525791324737</v>
      </c>
      <c r="E260" s="139">
        <f t="shared" si="93"/>
        <v>2.2358379249706917</v>
      </c>
      <c r="F260" s="139">
        <f t="shared" si="93"/>
        <v>2.334251758499414</v>
      </c>
      <c r="G260" s="139">
        <f t="shared" si="93"/>
        <v>2.3938962485345838</v>
      </c>
      <c r="H260" s="139">
        <f t="shared" si="93"/>
        <v>2.4220058616647124</v>
      </c>
      <c r="I260" s="139">
        <f t="shared" si="93"/>
        <v>2.4288033411488863</v>
      </c>
      <c r="J260" s="139">
        <f t="shared" si="93"/>
        <v>2.4310430832356391</v>
      </c>
      <c r="K260" s="50"/>
      <c r="L260" s="692"/>
      <c r="M260" s="692"/>
      <c r="N260" s="692"/>
      <c r="O260" s="692"/>
      <c r="P260" s="692"/>
      <c r="Q260" s="692"/>
      <c r="R260" s="692"/>
      <c r="S260" s="662"/>
      <c r="T260" s="662"/>
      <c r="U260" s="50"/>
    </row>
    <row r="261" spans="1:22">
      <c r="A261" s="39" t="s">
        <v>1391</v>
      </c>
      <c r="C261" s="139">
        <v>1.29999995231628</v>
      </c>
      <c r="D261" s="140">
        <v>3.3371379999999999</v>
      </c>
      <c r="E261" s="140">
        <v>1.3</v>
      </c>
      <c r="F261" s="140">
        <v>1.307302</v>
      </c>
      <c r="G261" s="140">
        <v>1.341648</v>
      </c>
      <c r="H261" s="140">
        <v>1.3713550000000001</v>
      </c>
      <c r="I261" s="140">
        <v>1.38872</v>
      </c>
      <c r="J261" s="140">
        <v>1.397397</v>
      </c>
      <c r="K261" s="50"/>
      <c r="L261" s="127"/>
      <c r="M261" s="127"/>
      <c r="N261" s="127"/>
      <c r="O261" s="127"/>
      <c r="P261" s="127"/>
      <c r="Q261" s="127"/>
      <c r="R261" s="662"/>
      <c r="S261" s="662"/>
      <c r="T261" s="662"/>
      <c r="U261" s="50"/>
    </row>
    <row r="262" spans="1:22">
      <c r="A262" s="39" t="s">
        <v>1392</v>
      </c>
      <c r="C262" s="139">
        <v>3.2999999523162802</v>
      </c>
      <c r="D262" s="140">
        <v>0.83544200000000002</v>
      </c>
      <c r="E262" s="140">
        <v>3.3554550000000001</v>
      </c>
      <c r="F262" s="140">
        <v>3.3585099999999999</v>
      </c>
      <c r="G262" s="140">
        <v>3.3625889999999998</v>
      </c>
      <c r="H262" s="140">
        <v>3.3681920000000001</v>
      </c>
      <c r="I262" s="140">
        <v>3.3748429999999998</v>
      </c>
      <c r="J262" s="140">
        <v>3.3813490000000002</v>
      </c>
      <c r="K262" s="50"/>
      <c r="L262" s="141"/>
      <c r="M262" s="141"/>
      <c r="N262" s="141"/>
      <c r="O262" s="141"/>
      <c r="P262" s="141"/>
      <c r="Q262" s="141"/>
      <c r="R262" s="141"/>
      <c r="S262" s="141"/>
      <c r="T262" s="662"/>
      <c r="U262" s="50"/>
    </row>
    <row r="263" spans="1:22" ht="37.5">
      <c r="A263" s="39" t="s">
        <v>1393</v>
      </c>
      <c r="C263" s="139">
        <v>0.81440001726150502</v>
      </c>
      <c r="D263" s="140">
        <v>0.85495900000000002</v>
      </c>
      <c r="E263" s="140">
        <v>0.84223000000000003</v>
      </c>
      <c r="F263" s="140">
        <v>0.85233000000000003</v>
      </c>
      <c r="G263" s="140">
        <v>0.86061200000000004</v>
      </c>
      <c r="H263" s="140">
        <v>0.86551999999999996</v>
      </c>
      <c r="I263" s="140">
        <v>0.86780100000000004</v>
      </c>
      <c r="J263" s="140">
        <v>0.86960499999999996</v>
      </c>
      <c r="K263" s="50"/>
      <c r="L263" s="127"/>
      <c r="M263" s="127" t="s">
        <v>1577</v>
      </c>
      <c r="N263" s="127"/>
      <c r="O263" s="127"/>
      <c r="P263" s="127"/>
      <c r="Q263" s="127"/>
      <c r="R263" s="127"/>
      <c r="S263" s="127"/>
      <c r="T263" s="662"/>
      <c r="U263" s="50"/>
    </row>
    <row r="264" spans="1:22">
      <c r="A264" s="39" t="s">
        <v>1394</v>
      </c>
      <c r="C264" s="139">
        <v>0.81739997863769498</v>
      </c>
      <c r="D264" s="140">
        <v>0.85</v>
      </c>
      <c r="E264" s="140">
        <v>0.86740499999999998</v>
      </c>
      <c r="F264" s="140">
        <v>0.87943700000000002</v>
      </c>
      <c r="G264" s="140">
        <v>0.88865000000000005</v>
      </c>
      <c r="H264" s="140">
        <v>0.89278800000000003</v>
      </c>
      <c r="I264" s="140">
        <v>0.89288100000000004</v>
      </c>
      <c r="J264" s="140">
        <v>0.89261299999999999</v>
      </c>
      <c r="K264" s="50"/>
      <c r="M264" s="142"/>
      <c r="N264" s="142"/>
      <c r="O264" s="142"/>
      <c r="P264" s="142"/>
      <c r="Q264" s="142"/>
      <c r="R264" s="142"/>
      <c r="S264" s="142"/>
      <c r="T264" s="662"/>
      <c r="U264" s="660"/>
    </row>
    <row r="265" spans="1:22" ht="27.75" customHeight="1">
      <c r="A265" s="39"/>
      <c r="B265" s="143" t="s">
        <v>1395</v>
      </c>
      <c r="C265" s="144">
        <f>(C260*C215 + C262*C223 + C263*C218 + C264*(C219+C221)+C220*0.78+C222 + C216)/C224</f>
        <v>0.981853056187732</v>
      </c>
      <c r="D265" s="138">
        <f>D260*D215/D224 + D262*D223/D224 + D263*D218/D224 + D264*(D219+D220+D221+D222)/D224 + D216/D224</f>
        <v>1.0008758470752426</v>
      </c>
      <c r="E265" s="138">
        <f>E260*E215/E224 + E262*E223/E224 + E263*E218/E224 + E264*(E219+E220+E221+E222)/E224 +E216/E224</f>
        <v>1.0394845279297567</v>
      </c>
      <c r="F265" s="138">
        <f>F260*F215/F224 + F262*F223/F224 + F263*F218/F224 + F264*(F219+F220+F221+F222)/F224 + F216/F224</f>
        <v>1.0866488259492666</v>
      </c>
      <c r="G265" s="138">
        <f>G260*G215/G224 + G262*G223/G224 + G263*G218/G224 + G264*(G219+G220+G221+G222)/G224 +G216/G224</f>
        <v>1.1230291898638338</v>
      </c>
      <c r="H265" s="138">
        <f>H260*H215/H224 + H262*H223/H224 + H263*H218/H224 + H264*(H219+H220+H221+H222)/H224 +H216/H224</f>
        <v>1.1509683962969781</v>
      </c>
      <c r="I265" s="138">
        <f>I260*I215/I224 + I262*I223/I224 + I263*I218/I224 + I264*(I219+I220+I221+I222)/I224 +I216/I224</f>
        <v>1.171451916674876</v>
      </c>
      <c r="J265" s="138">
        <f>J260*J215/J224 + J262*J223/J224 + J263*J218/J224 + J264*(J219+J220+J221+J222)/J224 + J216/J224</f>
        <v>1.1891003642149611</v>
      </c>
      <c r="K265" s="660"/>
      <c r="L265" s="154"/>
      <c r="M265" s="142">
        <v>0.98199999999999998</v>
      </c>
      <c r="N265" s="154">
        <f>M265*D265/C265</f>
        <v>1.0010256378322702</v>
      </c>
      <c r="O265" s="154">
        <f t="shared" ref="O265:T265" si="94">N265*E265/D265</f>
        <v>1.0396400968495303</v>
      </c>
      <c r="P265" s="154">
        <f t="shared" si="94"/>
        <v>1.0868114534626967</v>
      </c>
      <c r="Q265" s="154">
        <f t="shared" si="94"/>
        <v>1.1231972620508142</v>
      </c>
      <c r="R265" s="154">
        <f t="shared" si="94"/>
        <v>1.1511406498565979</v>
      </c>
      <c r="S265" s="154">
        <f t="shared" si="94"/>
        <v>1.1716272357915605</v>
      </c>
      <c r="T265" s="154">
        <f t="shared" si="94"/>
        <v>1.1892783245926224</v>
      </c>
      <c r="U265" s="154"/>
    </row>
    <row r="266" spans="1:22" ht="13">
      <c r="A266" s="39"/>
      <c r="B266" s="143"/>
      <c r="C266" s="138"/>
      <c r="D266" s="138"/>
      <c r="E266" s="138"/>
      <c r="F266" s="138"/>
      <c r="G266" s="138"/>
      <c r="H266" s="138"/>
      <c r="I266" s="138"/>
      <c r="J266" s="660"/>
      <c r="K266" s="660"/>
      <c r="L266" s="145"/>
      <c r="M266" s="36"/>
      <c r="N266" s="36"/>
      <c r="O266" s="34"/>
      <c r="P266" s="34"/>
      <c r="Q266" s="34"/>
      <c r="R266" s="34"/>
      <c r="S266" s="34"/>
      <c r="T266" s="34"/>
      <c r="U266" s="34"/>
      <c r="V266" s="145"/>
    </row>
    <row r="267" spans="1:22" ht="13">
      <c r="A267" s="652" t="s">
        <v>1335</v>
      </c>
      <c r="C267" s="660"/>
      <c r="D267" s="660"/>
      <c r="E267" s="660"/>
      <c r="F267" s="660"/>
      <c r="G267" s="660"/>
      <c r="H267" s="660"/>
      <c r="I267" s="660"/>
      <c r="J267" s="660"/>
      <c r="K267" s="660"/>
      <c r="M267" s="37"/>
      <c r="N267" s="37"/>
      <c r="O267" s="660"/>
      <c r="P267" s="660"/>
      <c r="Q267" s="660"/>
      <c r="R267" s="660"/>
      <c r="S267" s="660"/>
      <c r="T267" s="660"/>
      <c r="U267" s="50"/>
    </row>
    <row r="268" spans="1:22">
      <c r="A268" s="39" t="s">
        <v>1396</v>
      </c>
      <c r="C268" s="130">
        <v>11.3684425354004</v>
      </c>
      <c r="D268" s="36">
        <v>12.490154</v>
      </c>
      <c r="E268" s="36">
        <v>12.887708</v>
      </c>
      <c r="F268" s="36">
        <v>13.589295</v>
      </c>
      <c r="G268" s="36">
        <v>13.989630999999999</v>
      </c>
      <c r="H268" s="36">
        <v>14.168240000000001</v>
      </c>
      <c r="I268" s="36">
        <v>14.204084</v>
      </c>
      <c r="J268" s="36">
        <v>14.216915999999999</v>
      </c>
      <c r="K268" s="50"/>
      <c r="M268" s="662"/>
      <c r="N268" s="662"/>
      <c r="O268" s="662"/>
      <c r="P268" s="662"/>
      <c r="Q268" s="662"/>
      <c r="R268" s="662"/>
      <c r="S268" s="662"/>
      <c r="T268" s="662"/>
      <c r="U268" s="50"/>
    </row>
    <row r="269" spans="1:22">
      <c r="A269" s="39" t="s">
        <v>1389</v>
      </c>
      <c r="C269" s="130">
        <f t="shared" ref="C269:J269" si="95">C268/3.792</f>
        <v>2.9980069977321731</v>
      </c>
      <c r="D269" s="130">
        <f t="shared" si="95"/>
        <v>3.2938169831223632</v>
      </c>
      <c r="E269" s="34">
        <f t="shared" si="95"/>
        <v>3.3986571729957809</v>
      </c>
      <c r="F269" s="34">
        <f t="shared" si="95"/>
        <v>3.5836748417721522</v>
      </c>
      <c r="G269" s="34">
        <f t="shared" si="95"/>
        <v>3.6892486814345991</v>
      </c>
      <c r="H269" s="34">
        <f t="shared" si="95"/>
        <v>3.7363502109704645</v>
      </c>
      <c r="I269" s="34">
        <f t="shared" si="95"/>
        <v>3.7458027426160339</v>
      </c>
      <c r="J269" s="34">
        <f t="shared" si="95"/>
        <v>3.7491867088607593</v>
      </c>
      <c r="K269" s="50"/>
      <c r="T269" s="662"/>
      <c r="U269" s="50"/>
    </row>
    <row r="270" spans="1:22">
      <c r="A270" s="39" t="s">
        <v>1391</v>
      </c>
      <c r="C270" s="130">
        <v>0.67000001668930098</v>
      </c>
      <c r="D270" s="36">
        <v>0.66283599999999998</v>
      </c>
      <c r="E270" s="36">
        <v>0.64683299999999999</v>
      </c>
      <c r="F270" s="36">
        <v>0.63121400000000005</v>
      </c>
      <c r="G270" s="36">
        <v>0.64742500000000003</v>
      </c>
      <c r="H270" s="36">
        <v>0.66974</v>
      </c>
      <c r="I270" s="36">
        <v>0.68790200000000001</v>
      </c>
      <c r="J270" s="36">
        <v>0.69718599999999997</v>
      </c>
      <c r="K270" s="50"/>
      <c r="M270" s="662"/>
      <c r="N270" s="662"/>
      <c r="O270" s="662"/>
      <c r="P270" s="662"/>
      <c r="Q270" s="662"/>
      <c r="R270" s="662"/>
      <c r="S270" s="662"/>
      <c r="T270" s="662"/>
      <c r="U270" s="50"/>
    </row>
    <row r="271" spans="1:22">
      <c r="A271" s="39" t="s">
        <v>1397</v>
      </c>
      <c r="C271" s="130">
        <v>13.800000190734901</v>
      </c>
      <c r="D271" s="36">
        <v>14.202239000000001</v>
      </c>
      <c r="E271" s="36">
        <v>14.325847</v>
      </c>
      <c r="F271" s="36">
        <v>14.372543</v>
      </c>
      <c r="G271" s="36">
        <v>14.437117000000001</v>
      </c>
      <c r="H271" s="36">
        <v>14.503729999999999</v>
      </c>
      <c r="I271" s="36">
        <v>14.572488</v>
      </c>
      <c r="J271" s="36">
        <v>14.633620000000001</v>
      </c>
      <c r="K271" s="50"/>
      <c r="M271" s="662"/>
      <c r="N271" s="662"/>
      <c r="O271" s="662"/>
      <c r="P271" s="662"/>
      <c r="Q271" s="662"/>
      <c r="R271" s="662"/>
      <c r="S271" s="662"/>
      <c r="T271" s="662"/>
      <c r="U271" s="50"/>
    </row>
    <row r="272" spans="1:22">
      <c r="A272" s="39" t="s">
        <v>1392</v>
      </c>
      <c r="C272" s="130">
        <f t="shared" ref="C272:J272" si="96">C271/3.413</f>
        <v>4.0433636656123353</v>
      </c>
      <c r="D272" s="130">
        <f t="shared" si="96"/>
        <v>4.161218576032816</v>
      </c>
      <c r="E272" s="130">
        <f t="shared" si="96"/>
        <v>4.1974353940814533</v>
      </c>
      <c r="F272" s="130">
        <f t="shared" si="96"/>
        <v>4.2111171989452094</v>
      </c>
      <c r="G272" s="130">
        <f t="shared" si="96"/>
        <v>4.2300372106651043</v>
      </c>
      <c r="H272" s="130">
        <f t="shared" si="96"/>
        <v>4.2495546440082039</v>
      </c>
      <c r="I272" s="130">
        <f t="shared" si="96"/>
        <v>4.2697005566949899</v>
      </c>
      <c r="J272" s="130">
        <f t="shared" si="96"/>
        <v>4.287612071491357</v>
      </c>
      <c r="K272" s="50"/>
      <c r="M272" s="662"/>
      <c r="N272" s="662"/>
      <c r="O272" s="662"/>
      <c r="P272" s="662"/>
      <c r="Q272" s="662"/>
      <c r="R272" s="662"/>
      <c r="S272" s="662"/>
      <c r="T272" s="662"/>
      <c r="U272" s="50"/>
    </row>
    <row r="273" spans="1:25">
      <c r="A273" s="39" t="s">
        <v>1398</v>
      </c>
      <c r="C273" s="130">
        <v>11.0634098052979</v>
      </c>
      <c r="D273" s="36">
        <v>13.09069</v>
      </c>
      <c r="E273" s="36">
        <v>13.508846999999999</v>
      </c>
      <c r="F273" s="36">
        <v>14.031323</v>
      </c>
      <c r="G273" s="36">
        <v>14.363262000000001</v>
      </c>
      <c r="H273" s="36">
        <v>14.497761000000001</v>
      </c>
      <c r="I273" s="36">
        <v>14.52397</v>
      </c>
      <c r="J273" s="36">
        <v>14.546241</v>
      </c>
      <c r="K273" s="50"/>
      <c r="M273" s="662"/>
      <c r="N273" s="662"/>
      <c r="O273" s="662"/>
      <c r="P273" s="662"/>
      <c r="Q273" s="662"/>
      <c r="R273" s="662"/>
      <c r="S273" s="662"/>
      <c r="T273" s="662"/>
      <c r="U273" s="50"/>
    </row>
    <row r="274" spans="1:25">
      <c r="A274" s="39" t="s">
        <v>1399</v>
      </c>
      <c r="C274" s="130">
        <f t="shared" ref="C274:J274" si="97">C273/3.792</f>
        <v>2.9175658769245518</v>
      </c>
      <c r="D274" s="130">
        <f t="shared" si="97"/>
        <v>3.4521861814345995</v>
      </c>
      <c r="E274" s="130">
        <f t="shared" si="97"/>
        <v>3.5624596518987341</v>
      </c>
      <c r="F274" s="130">
        <f t="shared" si="97"/>
        <v>3.7002434071729962</v>
      </c>
      <c r="G274" s="130">
        <f t="shared" si="97"/>
        <v>3.7877800632911396</v>
      </c>
      <c r="H274" s="130">
        <f t="shared" si="97"/>
        <v>3.8232492088607599</v>
      </c>
      <c r="I274" s="130">
        <f t="shared" si="97"/>
        <v>3.8301608649789034</v>
      </c>
      <c r="J274" s="130">
        <f t="shared" si="97"/>
        <v>3.8360340189873421</v>
      </c>
      <c r="K274" s="50"/>
      <c r="M274" s="662"/>
      <c r="N274" s="662"/>
      <c r="O274" s="662"/>
      <c r="P274" s="662"/>
      <c r="Q274" s="662"/>
      <c r="R274" s="662"/>
      <c r="S274" s="662"/>
      <c r="T274" s="662"/>
      <c r="U274" s="50"/>
    </row>
    <row r="275" spans="1:25">
      <c r="A275" s="39" t="s">
        <v>1400</v>
      </c>
      <c r="C275" s="130">
        <v>9.36389255523682</v>
      </c>
      <c r="D275" s="36">
        <v>9.8480220000000003</v>
      </c>
      <c r="E275" s="36">
        <v>10.179399999999999</v>
      </c>
      <c r="F275" s="36">
        <v>10.866448999999999</v>
      </c>
      <c r="G275" s="36">
        <v>11.33005</v>
      </c>
      <c r="H275" s="36">
        <v>11.462763000000001</v>
      </c>
      <c r="I275" s="36">
        <v>11.567854000000001</v>
      </c>
      <c r="J275" s="36">
        <v>11.628211</v>
      </c>
      <c r="K275" s="50"/>
      <c r="M275" s="127"/>
      <c r="N275" s="127"/>
      <c r="O275" s="127"/>
      <c r="P275" s="127"/>
      <c r="Q275" s="127"/>
      <c r="R275" s="127"/>
      <c r="S275" s="127"/>
      <c r="T275" s="662"/>
      <c r="U275" s="50"/>
    </row>
    <row r="276" spans="1:25">
      <c r="A276" s="39" t="s">
        <v>1401</v>
      </c>
      <c r="C276" s="130">
        <f t="shared" ref="C276:I276" si="98">C275/3.413</f>
        <v>2.7435958263219513</v>
      </c>
      <c r="D276" s="130">
        <f t="shared" si="98"/>
        <v>2.8854444769997074</v>
      </c>
      <c r="E276" s="130">
        <f t="shared" si="98"/>
        <v>2.9825373571637854</v>
      </c>
      <c r="F276" s="130">
        <f t="shared" si="98"/>
        <v>3.1838409024318781</v>
      </c>
      <c r="G276" s="130">
        <f t="shared" si="98"/>
        <v>3.3196747729270437</v>
      </c>
      <c r="H276" s="130">
        <f t="shared" si="98"/>
        <v>3.3585593319660125</v>
      </c>
      <c r="I276" s="130">
        <f t="shared" si="98"/>
        <v>3.3893507178435396</v>
      </c>
      <c r="J276" s="130">
        <f t="shared" ref="J276" si="99">J275/3.413</f>
        <v>3.4070351596835633</v>
      </c>
      <c r="K276" s="660"/>
      <c r="M276" s="142"/>
      <c r="N276" s="142"/>
      <c r="O276" s="142"/>
      <c r="P276" s="142"/>
      <c r="Q276" s="142"/>
      <c r="R276" s="142"/>
      <c r="S276" s="142"/>
      <c r="T276" s="662"/>
      <c r="U276" s="660"/>
    </row>
    <row r="277" spans="1:25" ht="36" customHeight="1">
      <c r="A277" s="39"/>
      <c r="B277" s="143" t="s">
        <v>1395</v>
      </c>
      <c r="C277" s="138">
        <f t="shared" ref="C277:I277" si="100">C269*C227/C232 + C272*C229/C232 + C274*C230/C232 + C276*C231/C232</f>
        <v>2.8490243556160082</v>
      </c>
      <c r="D277" s="138">
        <f t="shared" si="100"/>
        <v>3.2076601696798983</v>
      </c>
      <c r="E277" s="138">
        <f t="shared" si="100"/>
        <v>3.3252932222330323</v>
      </c>
      <c r="F277" s="138">
        <f t="shared" si="100"/>
        <v>3.5053464008167063</v>
      </c>
      <c r="G277" s="138">
        <f t="shared" si="100"/>
        <v>3.6217588114658721</v>
      </c>
      <c r="H277" s="138">
        <f t="shared" si="100"/>
        <v>3.6688727180530574</v>
      </c>
      <c r="I277" s="138">
        <f t="shared" si="100"/>
        <v>3.6911341071891011</v>
      </c>
      <c r="J277" s="138">
        <f t="shared" ref="J277" si="101">J269*J227/J232 + J272*J229/J232 + J274*J230/J232 + J276*J231/J232</f>
        <v>3.7066811095878225</v>
      </c>
      <c r="K277" s="660"/>
      <c r="L277" s="155"/>
      <c r="M277" s="154">
        <v>2.88</v>
      </c>
      <c r="N277" s="154">
        <f>M277*D277/C277</f>
        <v>3.2425350350087405</v>
      </c>
      <c r="O277" s="154">
        <f t="shared" ref="O277" si="102">N277*E277/D277</f>
        <v>3.3614470375282046</v>
      </c>
      <c r="P277" s="154">
        <f t="shared" ref="P277" si="103">O277*F277/E277</f>
        <v>3.543457820728007</v>
      </c>
      <c r="Q277" s="154">
        <f t="shared" ref="Q277" si="104">P277*G277/F277</f>
        <v>3.661135910074178</v>
      </c>
      <c r="R277" s="154">
        <f t="shared" ref="R277" si="105">Q277*H277/G277</f>
        <v>3.7087620564437676</v>
      </c>
      <c r="S277" s="154">
        <f t="shared" ref="S277" si="106">R277*I277/H277</f>
        <v>3.7312654796192932</v>
      </c>
      <c r="T277" s="154">
        <f t="shared" ref="T277" si="107">S277*J277/I277</f>
        <v>3.7469815147665733</v>
      </c>
      <c r="U277" s="660"/>
      <c r="V277" s="660"/>
      <c r="W277" s="660"/>
      <c r="X277" s="660"/>
      <c r="Y277" s="660"/>
    </row>
    <row r="278" spans="1:25">
      <c r="B278" s="117" t="s">
        <v>1402</v>
      </c>
      <c r="C278" s="145">
        <f t="shared" ref="C278:I278" si="108">C269/C260</f>
        <v>1.3232144565719326</v>
      </c>
      <c r="D278" s="145">
        <f t="shared" si="108"/>
        <v>1.5086051673940439</v>
      </c>
      <c r="E278" s="145">
        <f t="shared" si="108"/>
        <v>1.5200820842326179</v>
      </c>
      <c r="F278" s="145">
        <f t="shared" si="108"/>
        <v>1.535256353014782</v>
      </c>
      <c r="G278" s="145">
        <f t="shared" si="108"/>
        <v>1.5411063381267927</v>
      </c>
      <c r="H278" s="145">
        <f t="shared" si="108"/>
        <v>1.5426676995745858</v>
      </c>
      <c r="I278" s="145">
        <f t="shared" si="108"/>
        <v>1.5422420906437706</v>
      </c>
      <c r="J278" s="145">
        <f t="shared" ref="J278" si="109">J269/J260</f>
        <v>1.5422131901795479</v>
      </c>
      <c r="K278" s="145"/>
      <c r="L278" s="145"/>
      <c r="M278" s="662"/>
      <c r="N278" s="662"/>
      <c r="O278" s="660"/>
      <c r="P278" s="660"/>
      <c r="Q278" s="660"/>
      <c r="R278" s="660"/>
      <c r="S278" s="660"/>
      <c r="T278" s="660"/>
      <c r="U278" s="660"/>
    </row>
    <row r="279" spans="1:25" ht="13">
      <c r="A279" s="39"/>
      <c r="B279" s="143"/>
      <c r="C279" s="138"/>
      <c r="D279" s="138"/>
      <c r="E279" s="138"/>
      <c r="F279" s="138"/>
      <c r="G279" s="138"/>
      <c r="H279" s="138"/>
      <c r="I279" s="138"/>
      <c r="J279" s="660"/>
      <c r="K279" s="660"/>
      <c r="M279" s="662"/>
      <c r="N279" s="662"/>
      <c r="O279" s="660"/>
      <c r="P279" s="660"/>
      <c r="Q279" s="660"/>
      <c r="R279" s="660"/>
      <c r="S279" s="660"/>
      <c r="T279" s="660"/>
      <c r="U279" s="660"/>
    </row>
    <row r="280" spans="1:25" ht="13">
      <c r="A280" s="652" t="s">
        <v>1403</v>
      </c>
      <c r="C280" s="660"/>
      <c r="D280" s="660"/>
      <c r="E280" s="660"/>
      <c r="F280" s="660"/>
      <c r="G280" s="660"/>
      <c r="H280" s="660"/>
      <c r="I280" s="660"/>
      <c r="J280" s="660"/>
      <c r="K280" s="660"/>
      <c r="M280" s="37"/>
      <c r="N280" s="37"/>
      <c r="O280" s="660"/>
      <c r="P280" s="660"/>
      <c r="Q280" s="660"/>
      <c r="R280" s="660"/>
      <c r="S280" s="660"/>
      <c r="T280" s="660"/>
      <c r="U280" s="50"/>
    </row>
    <row r="281" spans="1:25">
      <c r="A281" s="39" t="s">
        <v>1404</v>
      </c>
      <c r="C281" s="130">
        <v>0.88819998502731301</v>
      </c>
      <c r="D281" s="36">
        <v>0.894876</v>
      </c>
      <c r="E281" s="36">
        <v>0.90670899999999999</v>
      </c>
      <c r="F281" s="36">
        <v>0.94383300000000003</v>
      </c>
      <c r="G281" s="36">
        <v>0.97332099999999999</v>
      </c>
      <c r="H281" s="36">
        <v>0.99224900000000005</v>
      </c>
      <c r="I281" s="36">
        <v>0.99913300000000005</v>
      </c>
      <c r="J281" s="36">
        <v>1.0006139999999999</v>
      </c>
      <c r="K281" s="50"/>
      <c r="M281" s="662"/>
      <c r="N281" s="662"/>
      <c r="O281" s="662"/>
      <c r="P281" s="662"/>
      <c r="Q281" s="662"/>
      <c r="R281" s="662"/>
      <c r="S281" s="662"/>
      <c r="T281" s="662"/>
      <c r="U281" s="50"/>
    </row>
    <row r="282" spans="1:25">
      <c r="A282" s="39" t="s">
        <v>1405</v>
      </c>
      <c r="C282" s="130">
        <v>0.57569998502731301</v>
      </c>
      <c r="D282" s="36">
        <v>0.60911400000000004</v>
      </c>
      <c r="E282" s="36">
        <v>0.60935300000000003</v>
      </c>
      <c r="F282" s="36">
        <v>0.62057200000000001</v>
      </c>
      <c r="G282" s="36">
        <v>0.62537799999999999</v>
      </c>
      <c r="H282" s="36">
        <v>0.62715299999999996</v>
      </c>
      <c r="I282" s="36">
        <v>0.62755099999999997</v>
      </c>
      <c r="J282" s="36">
        <v>0.62778400000000001</v>
      </c>
      <c r="K282" s="50"/>
      <c r="M282" s="662"/>
      <c r="N282" s="662"/>
      <c r="O282" s="662"/>
      <c r="P282" s="662"/>
      <c r="Q282" s="662"/>
      <c r="R282" s="662"/>
      <c r="S282" s="662"/>
      <c r="T282" s="662"/>
      <c r="U282" s="50"/>
    </row>
    <row r="283" spans="1:25">
      <c r="A283" s="39" t="s">
        <v>1406</v>
      </c>
      <c r="C283" s="130">
        <v>0.54500001668930098</v>
      </c>
      <c r="D283" s="36">
        <v>0.57744099999999998</v>
      </c>
      <c r="E283" s="36">
        <v>0.59846500000000002</v>
      </c>
      <c r="F283" s="36">
        <v>0.63297300000000001</v>
      </c>
      <c r="G283" s="36">
        <v>0.64751599999999998</v>
      </c>
      <c r="H283" s="36">
        <v>0.65087899999999999</v>
      </c>
      <c r="I283" s="36">
        <v>0.65167299999999995</v>
      </c>
      <c r="J283" s="36">
        <v>0.65205100000000005</v>
      </c>
      <c r="K283" s="50"/>
      <c r="M283" s="127"/>
      <c r="N283" s="127"/>
      <c r="O283" s="127"/>
      <c r="P283" s="127"/>
      <c r="Q283" s="127"/>
      <c r="R283" s="127"/>
      <c r="S283" s="127"/>
      <c r="T283" s="662"/>
      <c r="U283" s="50"/>
    </row>
    <row r="284" spans="1:25">
      <c r="A284" s="39" t="s">
        <v>1407</v>
      </c>
      <c r="C284" s="130">
        <v>0.57480001449585005</v>
      </c>
      <c r="D284" s="36">
        <v>0.65538200000000002</v>
      </c>
      <c r="E284" s="36">
        <v>0.65606699999999996</v>
      </c>
      <c r="F284" s="36">
        <v>0.64164500000000002</v>
      </c>
      <c r="G284" s="36">
        <v>0.62695800000000002</v>
      </c>
      <c r="H284" s="36">
        <v>0.62204000000000004</v>
      </c>
      <c r="I284" s="36">
        <v>0.62138800000000005</v>
      </c>
      <c r="J284" s="36">
        <v>0.62141900000000005</v>
      </c>
      <c r="K284" s="50"/>
      <c r="M284" s="142"/>
      <c r="N284" s="142"/>
      <c r="O284" s="142"/>
      <c r="P284" s="142"/>
      <c r="Q284" s="142"/>
      <c r="R284" s="142"/>
      <c r="S284" s="142"/>
      <c r="T284" s="662"/>
      <c r="U284" s="660"/>
    </row>
    <row r="285" spans="1:25" ht="24" customHeight="1">
      <c r="A285" s="39"/>
      <c r="B285" s="143" t="s">
        <v>1395</v>
      </c>
      <c r="C285" s="138">
        <f>C281*C235/C240 + C282*C236/C240 + C283*C237/C240 + C284*C238/C240+1*C239/C240</f>
        <v>0.69755519719327141</v>
      </c>
      <c r="D285" s="138">
        <f t="shared" ref="D285:J285" si="110">D281*D235/D240 + D282*D236/D240 + D283*D237/D240 + D284*D238/D240+1*D239/D240</f>
        <v>0.73098668664819633</v>
      </c>
      <c r="E285" s="138">
        <f t="shared" si="110"/>
        <v>0.74207295065829237</v>
      </c>
      <c r="F285" s="138">
        <f t="shared" si="110"/>
        <v>0.77006131968351055</v>
      </c>
      <c r="G285" s="138">
        <f t="shared" si="110"/>
        <v>0.79010881975416669</v>
      </c>
      <c r="H285" s="138">
        <f t="shared" si="110"/>
        <v>0.80367981134803124</v>
      </c>
      <c r="I285" s="138">
        <f t="shared" si="110"/>
        <v>0.81057368977210831</v>
      </c>
      <c r="J285" s="138">
        <f t="shared" si="110"/>
        <v>0.8143847453056493</v>
      </c>
      <c r="K285" s="660"/>
      <c r="L285" s="156"/>
      <c r="M285" s="154">
        <v>0.65</v>
      </c>
      <c r="N285" s="154">
        <f>M285*D285/C285</f>
        <v>0.68115232777726742</v>
      </c>
      <c r="O285" s="154">
        <f t="shared" ref="O285" si="111">N285*E285/D285</f>
        <v>0.6914827957252625</v>
      </c>
      <c r="P285" s="154">
        <f t="shared" ref="P285" si="112">O285*F285/E285</f>
        <v>0.71756308290481785</v>
      </c>
      <c r="Q285" s="154">
        <f t="shared" ref="Q285" si="113">P285*G285/F285</f>
        <v>0.73624386271745257</v>
      </c>
      <c r="R285" s="154">
        <f t="shared" ref="R285" si="114">Q285*H285/G285</f>
        <v>0.7488896641844982</v>
      </c>
      <c r="S285" s="154">
        <f t="shared" ref="S285" si="115">R285*I285/H285</f>
        <v>0.75531355865719407</v>
      </c>
      <c r="T285" s="154">
        <f t="shared" ref="T285" si="116">S285*J285/I285</f>
        <v>0.75886479891283121</v>
      </c>
      <c r="U285" s="660"/>
    </row>
    <row r="286" spans="1:25" ht="13">
      <c r="A286" s="39"/>
      <c r="B286" s="143"/>
      <c r="C286" s="138"/>
      <c r="D286" s="138"/>
      <c r="E286" s="138"/>
      <c r="F286" s="138"/>
      <c r="G286" s="138"/>
      <c r="H286" s="138"/>
      <c r="I286" s="138"/>
      <c r="J286" s="660"/>
      <c r="K286" s="660"/>
      <c r="M286" s="662"/>
      <c r="N286" s="662"/>
      <c r="O286" s="660"/>
      <c r="P286" s="660"/>
      <c r="Q286" s="660"/>
      <c r="R286" s="660"/>
      <c r="S286" s="660"/>
      <c r="T286" s="660"/>
      <c r="U286" s="660"/>
    </row>
    <row r="287" spans="1:25" ht="13">
      <c r="A287" s="652" t="s">
        <v>1408</v>
      </c>
      <c r="C287" s="660"/>
      <c r="D287" s="660"/>
      <c r="E287" s="660"/>
      <c r="F287" s="660"/>
      <c r="G287" s="660"/>
      <c r="H287" s="660"/>
      <c r="I287" s="660"/>
      <c r="J287" s="660"/>
      <c r="K287" s="660"/>
      <c r="M287" s="37"/>
      <c r="N287" s="37"/>
      <c r="O287" s="660"/>
      <c r="P287" s="660"/>
      <c r="Q287" s="660"/>
      <c r="R287" s="660"/>
      <c r="S287" s="660"/>
      <c r="T287" s="660"/>
      <c r="U287" s="50"/>
    </row>
    <row r="288" spans="1:25">
      <c r="A288" s="39" t="s">
        <v>1386</v>
      </c>
      <c r="C288" s="130">
        <v>673.06201171875</v>
      </c>
      <c r="D288" s="36">
        <v>618.44274900000005</v>
      </c>
      <c r="E288" s="36">
        <v>601.20519999999999</v>
      </c>
      <c r="F288" s="36">
        <v>565.92767300000003</v>
      </c>
      <c r="G288" s="36">
        <v>538.84704599999998</v>
      </c>
      <c r="H288" s="36">
        <v>521.03576699999996</v>
      </c>
      <c r="I288" s="36">
        <v>512.76214600000003</v>
      </c>
      <c r="J288" s="36">
        <v>510.818085</v>
      </c>
      <c r="K288" s="50"/>
      <c r="M288" s="124"/>
      <c r="N288" s="154"/>
      <c r="O288" s="154"/>
      <c r="P288" s="154"/>
      <c r="Q288" s="154"/>
      <c r="R288" s="154"/>
      <c r="S288" s="154"/>
      <c r="T288" s="154"/>
      <c r="U288" s="50"/>
    </row>
    <row r="289" spans="1:21">
      <c r="A289" s="39" t="s">
        <v>1311</v>
      </c>
      <c r="C289" s="130">
        <v>481.41000366210898</v>
      </c>
      <c r="D289" s="36">
        <v>516.68060300000002</v>
      </c>
      <c r="E289" s="36">
        <v>510.20761099999999</v>
      </c>
      <c r="F289" s="36">
        <v>483.23846400000002</v>
      </c>
      <c r="G289" s="36">
        <v>457.36019900000002</v>
      </c>
      <c r="H289" s="36">
        <v>436.10687300000001</v>
      </c>
      <c r="I289" s="36">
        <v>420.70077500000002</v>
      </c>
      <c r="J289" s="36">
        <v>412.74560500000001</v>
      </c>
      <c r="K289" s="50"/>
      <c r="M289" s="124"/>
      <c r="N289" s="154"/>
      <c r="O289" s="154"/>
      <c r="P289" s="154"/>
      <c r="Q289" s="154"/>
      <c r="R289" s="154"/>
      <c r="S289" s="154"/>
      <c r="T289" s="154"/>
      <c r="U289" s="660"/>
    </row>
    <row r="290" spans="1:21">
      <c r="A290" s="660"/>
      <c r="C290" s="660"/>
      <c r="D290" s="660"/>
      <c r="E290" s="34"/>
      <c r="F290" s="34"/>
      <c r="G290" s="34"/>
      <c r="H290" s="34"/>
      <c r="I290" s="34"/>
      <c r="J290" s="34"/>
      <c r="M290" s="662"/>
      <c r="N290" s="662"/>
      <c r="O290" s="660"/>
      <c r="P290" s="660"/>
      <c r="Q290" s="660"/>
      <c r="R290" s="660"/>
      <c r="S290" s="660"/>
      <c r="T290" s="660"/>
      <c r="U290" s="660"/>
    </row>
    <row r="291" spans="1:21" ht="13">
      <c r="A291" s="652" t="s">
        <v>1409</v>
      </c>
      <c r="C291" s="660"/>
      <c r="D291" s="660"/>
      <c r="E291" s="34"/>
      <c r="F291" s="34"/>
      <c r="G291" s="34"/>
      <c r="H291" s="34"/>
      <c r="I291" s="34"/>
      <c r="J291" s="34"/>
      <c r="M291" s="37"/>
      <c r="N291" s="37"/>
      <c r="O291" s="660"/>
      <c r="P291" s="660"/>
      <c r="Q291" s="660"/>
      <c r="R291" s="660"/>
      <c r="S291" s="660"/>
      <c r="T291" s="660"/>
      <c r="U291" s="660"/>
    </row>
    <row r="292" spans="1:21" ht="13">
      <c r="A292" s="652" t="s">
        <v>1334</v>
      </c>
      <c r="C292" s="660"/>
      <c r="D292" s="660"/>
      <c r="E292" s="34"/>
      <c r="F292" s="34"/>
      <c r="G292" s="34"/>
      <c r="H292" s="34"/>
      <c r="I292" s="34"/>
      <c r="J292" s="34"/>
      <c r="M292" s="37"/>
      <c r="N292" s="37"/>
      <c r="O292" s="660"/>
      <c r="P292" s="660"/>
      <c r="Q292" s="660"/>
      <c r="R292" s="660"/>
      <c r="S292" s="660"/>
      <c r="T292" s="660"/>
      <c r="U292" s="50"/>
    </row>
    <row r="293" spans="1:21">
      <c r="A293" s="660" t="s">
        <v>1410</v>
      </c>
      <c r="C293" s="34">
        <v>0.97422799999999998</v>
      </c>
      <c r="D293" s="662">
        <v>0.91</v>
      </c>
      <c r="E293" s="36">
        <v>0.95128100000000004</v>
      </c>
      <c r="F293" s="36">
        <v>0.92034499999999997</v>
      </c>
      <c r="G293" s="36">
        <v>0.88965899999999998</v>
      </c>
      <c r="H293" s="36">
        <v>0.85840499999999997</v>
      </c>
      <c r="I293" s="36">
        <v>0.82547899999999996</v>
      </c>
      <c r="J293" s="36">
        <v>0.79220100000000004</v>
      </c>
      <c r="K293" s="50"/>
      <c r="M293" s="662"/>
      <c r="N293" s="662"/>
      <c r="O293" s="662"/>
      <c r="P293" s="662"/>
      <c r="Q293" s="662"/>
      <c r="R293" s="662"/>
      <c r="S293" s="662"/>
      <c r="T293" s="662"/>
      <c r="U293" s="50"/>
    </row>
    <row r="294" spans="1:21">
      <c r="A294" s="660" t="s">
        <v>1411</v>
      </c>
      <c r="C294" s="34">
        <v>1.0231920000000001</v>
      </c>
      <c r="D294" s="662">
        <v>0.86</v>
      </c>
      <c r="E294" s="36">
        <v>0.95008300000000001</v>
      </c>
      <c r="F294" s="36">
        <v>0.91624399999999995</v>
      </c>
      <c r="G294" s="36">
        <v>0.92264299999999999</v>
      </c>
      <c r="H294" s="36">
        <v>0.932307</v>
      </c>
      <c r="I294" s="36">
        <v>0.93074699999999999</v>
      </c>
      <c r="J294" s="36">
        <v>0.92602300000000004</v>
      </c>
      <c r="K294" s="50"/>
      <c r="M294" s="662"/>
      <c r="N294" s="662"/>
      <c r="O294" s="662"/>
      <c r="P294" s="662"/>
      <c r="Q294" s="662"/>
      <c r="R294" s="662"/>
      <c r="S294" s="662"/>
      <c r="T294" s="662"/>
      <c r="U294" s="50"/>
    </row>
    <row r="295" spans="1:21">
      <c r="A295" s="660" t="s">
        <v>1412</v>
      </c>
      <c r="C295" s="34">
        <v>0.97457899999999997</v>
      </c>
      <c r="D295" s="662">
        <v>0.9</v>
      </c>
      <c r="E295" s="36">
        <v>0.95341200000000004</v>
      </c>
      <c r="F295" s="36">
        <v>0.92342500000000005</v>
      </c>
      <c r="G295" s="36">
        <v>0.89810599999999996</v>
      </c>
      <c r="H295" s="36">
        <v>0.87608200000000003</v>
      </c>
      <c r="I295" s="36">
        <v>0.85571900000000001</v>
      </c>
      <c r="J295" s="36">
        <v>0.83712399999999998</v>
      </c>
      <c r="K295" s="50"/>
      <c r="M295" s="662"/>
      <c r="N295" s="662"/>
      <c r="O295" s="662"/>
      <c r="P295" s="662"/>
      <c r="Q295" s="662"/>
      <c r="R295" s="662"/>
      <c r="S295" s="662"/>
      <c r="T295" s="662"/>
      <c r="U295" s="660"/>
    </row>
    <row r="296" spans="1:21">
      <c r="A296" s="660"/>
      <c r="C296" s="34"/>
      <c r="D296" s="660"/>
      <c r="E296" s="34"/>
      <c r="F296" s="34"/>
      <c r="G296" s="34"/>
      <c r="H296" s="34"/>
      <c r="I296" s="34"/>
      <c r="J296" s="34"/>
      <c r="K296" s="660"/>
      <c r="M296" s="662"/>
      <c r="N296" s="662"/>
      <c r="O296" s="660"/>
      <c r="P296" s="660"/>
      <c r="Q296" s="660"/>
      <c r="R296" s="660"/>
      <c r="S296" s="660"/>
      <c r="T296" s="660"/>
      <c r="U296" s="660"/>
    </row>
    <row r="297" spans="1:21" ht="13">
      <c r="A297" s="652" t="s">
        <v>1335</v>
      </c>
      <c r="C297" s="34"/>
      <c r="D297" s="660"/>
      <c r="E297" s="34"/>
      <c r="F297" s="34"/>
      <c r="G297" s="34"/>
      <c r="H297" s="34"/>
      <c r="I297" s="34"/>
      <c r="J297" s="34"/>
      <c r="K297" s="660"/>
      <c r="M297" s="37"/>
      <c r="N297" s="37"/>
      <c r="O297" s="660"/>
      <c r="P297" s="660"/>
      <c r="Q297" s="660"/>
      <c r="R297" s="660"/>
      <c r="S297" s="660"/>
      <c r="T297" s="660"/>
      <c r="U297" s="50"/>
    </row>
    <row r="298" spans="1:21">
      <c r="A298" s="660" t="s">
        <v>1410</v>
      </c>
      <c r="C298" s="34">
        <v>0.985433</v>
      </c>
      <c r="D298" s="662">
        <v>0.96</v>
      </c>
      <c r="E298" s="36">
        <v>0.97746200000000005</v>
      </c>
      <c r="F298" s="36">
        <v>0.96739200000000003</v>
      </c>
      <c r="G298" s="36">
        <v>0.95709200000000005</v>
      </c>
      <c r="H298" s="36">
        <v>0.94655800000000001</v>
      </c>
      <c r="I298" s="36">
        <v>0.93499399999999999</v>
      </c>
      <c r="J298" s="36">
        <v>0.92303800000000003</v>
      </c>
      <c r="K298" s="50"/>
      <c r="M298" s="662"/>
      <c r="N298" s="662"/>
      <c r="O298" s="662"/>
      <c r="P298" s="662"/>
      <c r="Q298" s="662"/>
      <c r="R298" s="662"/>
      <c r="S298" s="662"/>
      <c r="T298" s="662"/>
      <c r="U298" s="50"/>
    </row>
    <row r="299" spans="1:21">
      <c r="A299" s="660" t="s">
        <v>1411</v>
      </c>
      <c r="C299" s="34">
        <v>1.0663450000000001</v>
      </c>
      <c r="D299" s="662">
        <v>0.98</v>
      </c>
      <c r="E299" s="36">
        <v>1.0298560000000001</v>
      </c>
      <c r="F299" s="36">
        <v>1.009806</v>
      </c>
      <c r="G299" s="36">
        <v>1.013566</v>
      </c>
      <c r="H299" s="36">
        <v>1.0193810000000001</v>
      </c>
      <c r="I299" s="36">
        <v>1.020062</v>
      </c>
      <c r="J299" s="36">
        <v>1.0193559999999999</v>
      </c>
      <c r="K299" s="50"/>
      <c r="M299" s="662"/>
      <c r="N299" s="662"/>
      <c r="O299" s="662"/>
      <c r="P299" s="662"/>
      <c r="Q299" s="662"/>
      <c r="R299" s="662"/>
      <c r="S299" s="662"/>
      <c r="T299" s="662"/>
      <c r="U299" s="50"/>
    </row>
    <row r="300" spans="1:21">
      <c r="A300" s="660" t="s">
        <v>1412</v>
      </c>
      <c r="C300" s="34">
        <v>0.98617900000000003</v>
      </c>
      <c r="D300" s="662">
        <v>0.96</v>
      </c>
      <c r="E300" s="36">
        <v>0.98068299999999997</v>
      </c>
      <c r="F300" s="36">
        <v>0.97319900000000004</v>
      </c>
      <c r="G300" s="36">
        <v>0.96629900000000002</v>
      </c>
      <c r="H300" s="36">
        <v>0.95999199999999996</v>
      </c>
      <c r="I300" s="36">
        <v>0.95335899999999996</v>
      </c>
      <c r="J300" s="36">
        <v>0.94671799999999995</v>
      </c>
      <c r="K300" s="50"/>
      <c r="M300" s="662"/>
      <c r="N300" s="662"/>
      <c r="O300" s="662"/>
      <c r="P300" s="662"/>
      <c r="Q300" s="662"/>
      <c r="R300" s="662"/>
      <c r="S300" s="662"/>
      <c r="T300" s="662"/>
      <c r="U300" s="660"/>
    </row>
    <row r="301" spans="1:21">
      <c r="A301" s="39"/>
      <c r="C301" s="153"/>
      <c r="D301" s="153"/>
      <c r="E301" s="153"/>
      <c r="F301" s="153"/>
      <c r="G301" s="153"/>
      <c r="H301" s="153"/>
      <c r="M301" s="660"/>
      <c r="N301" s="660"/>
      <c r="O301" s="660"/>
      <c r="P301" s="660"/>
      <c r="Q301" s="660"/>
      <c r="R301" s="660"/>
      <c r="S301" s="660"/>
      <c r="T301" s="50"/>
      <c r="U301" s="660"/>
    </row>
    <row r="302" spans="1:21" s="25" customFormat="1" ht="15" customHeight="1">
      <c r="A302" s="662"/>
      <c r="B302" s="662"/>
      <c r="C302" s="662"/>
      <c r="D302" s="662"/>
      <c r="E302" s="662"/>
      <c r="F302" s="662"/>
      <c r="G302" s="662"/>
      <c r="H302" s="662"/>
      <c r="I302" s="660"/>
      <c r="J302" s="660"/>
      <c r="K302" s="660"/>
      <c r="L302" s="660"/>
      <c r="M302" s="660"/>
      <c r="N302" s="660"/>
      <c r="O302" s="660"/>
      <c r="P302" s="660"/>
      <c r="Q302" s="660"/>
      <c r="R302" s="660"/>
      <c r="S302" s="660"/>
      <c r="T302" s="660"/>
      <c r="U302" s="660"/>
    </row>
    <row r="303" spans="1:21" s="25" customFormat="1" ht="15" customHeight="1">
      <c r="A303" s="662"/>
      <c r="B303" s="662"/>
      <c r="C303" s="662"/>
      <c r="D303" s="662"/>
      <c r="E303" s="662"/>
      <c r="F303" s="662"/>
      <c r="G303" s="662"/>
      <c r="H303" s="662"/>
      <c r="I303" s="660"/>
      <c r="J303" s="660"/>
      <c r="K303" s="660"/>
      <c r="L303" s="660"/>
      <c r="M303" s="660"/>
      <c r="N303" s="660"/>
      <c r="O303" s="660"/>
      <c r="P303" s="660"/>
      <c r="Q303" s="660"/>
      <c r="R303" s="660"/>
      <c r="S303" s="660"/>
      <c r="T303" s="660"/>
      <c r="U303" s="660"/>
    </row>
    <row r="304" spans="1:21" s="25" customFormat="1" ht="15" customHeight="1">
      <c r="A304" s="662"/>
      <c r="B304" s="662"/>
      <c r="C304" s="662"/>
      <c r="D304" s="662"/>
      <c r="E304" s="662"/>
      <c r="F304" s="662"/>
      <c r="G304" s="662"/>
      <c r="H304" s="662"/>
      <c r="I304" s="660"/>
      <c r="J304" s="660"/>
      <c r="K304" s="660"/>
      <c r="L304" s="660"/>
      <c r="M304" s="660"/>
      <c r="N304" s="660"/>
      <c r="O304" s="660"/>
      <c r="P304" s="660"/>
      <c r="Q304" s="660"/>
      <c r="R304" s="660"/>
      <c r="S304" s="660"/>
      <c r="T304" s="660"/>
      <c r="U304" s="660"/>
    </row>
    <row r="305" spans="1:8" s="25" customFormat="1" ht="15" customHeight="1">
      <c r="A305" s="662"/>
      <c r="B305" s="662"/>
      <c r="C305" s="662"/>
      <c r="D305" s="662"/>
      <c r="E305" s="662"/>
      <c r="F305" s="662"/>
      <c r="G305" s="662"/>
      <c r="H305" s="662"/>
    </row>
    <row r="306" spans="1:8" s="25" customFormat="1" ht="15" customHeight="1">
      <c r="A306" s="662"/>
      <c r="B306" s="662"/>
      <c r="C306" s="662"/>
      <c r="D306" s="662"/>
      <c r="E306" s="662"/>
      <c r="F306" s="662"/>
      <c r="G306" s="662"/>
      <c r="H306" s="662"/>
    </row>
    <row r="307" spans="1:8" s="25" customFormat="1" ht="15" customHeight="1">
      <c r="A307" s="662"/>
      <c r="B307" s="662"/>
      <c r="C307" s="662"/>
      <c r="D307" s="662"/>
      <c r="E307" s="662"/>
      <c r="F307" s="662"/>
      <c r="G307" s="662"/>
      <c r="H307" s="662"/>
    </row>
    <row r="308" spans="1:8" s="25" customFormat="1" ht="15" customHeight="1">
      <c r="A308" s="662"/>
      <c r="B308" s="662"/>
      <c r="C308" s="662"/>
      <c r="D308" s="662"/>
      <c r="E308" s="662"/>
      <c r="F308" s="662"/>
      <c r="G308" s="662"/>
      <c r="H308" s="662"/>
    </row>
    <row r="309" spans="1:8" s="25" customFormat="1" ht="15" customHeight="1">
      <c r="A309" s="662"/>
      <c r="B309" s="662"/>
      <c r="C309" s="662"/>
      <c r="D309" s="662"/>
      <c r="E309" s="662"/>
      <c r="F309" s="662"/>
      <c r="G309" s="662"/>
      <c r="H309" s="662"/>
    </row>
    <row r="310" spans="1:8" s="25" customFormat="1" ht="15" customHeight="1">
      <c r="A310" s="662"/>
      <c r="B310" s="662"/>
      <c r="C310" s="662"/>
      <c r="D310" s="662"/>
      <c r="E310" s="662"/>
      <c r="F310" s="662"/>
      <c r="G310" s="662"/>
      <c r="H310" s="662"/>
    </row>
    <row r="311" spans="1:8" s="25" customFormat="1" ht="15" customHeight="1">
      <c r="A311" s="662"/>
      <c r="B311" s="662"/>
      <c r="C311" s="662"/>
      <c r="D311" s="662"/>
      <c r="E311" s="662"/>
      <c r="F311" s="662"/>
      <c r="G311" s="662"/>
      <c r="H311" s="662"/>
    </row>
    <row r="312" spans="1:8" s="25" customFormat="1" ht="15" customHeight="1">
      <c r="A312" s="662"/>
      <c r="B312" s="662"/>
      <c r="C312" s="662"/>
      <c r="D312" s="662"/>
      <c r="E312" s="662"/>
      <c r="F312" s="662"/>
      <c r="G312" s="662"/>
      <c r="H312" s="662"/>
    </row>
    <row r="313" spans="1:8" s="25" customFormat="1" ht="15" customHeight="1">
      <c r="A313" s="662"/>
      <c r="B313" s="662"/>
      <c r="C313" s="662"/>
      <c r="D313" s="662"/>
      <c r="E313" s="662"/>
      <c r="F313" s="662"/>
      <c r="G313" s="662"/>
      <c r="H313" s="662"/>
    </row>
    <row r="314" spans="1:8" s="25" customFormat="1" ht="15" customHeight="1">
      <c r="A314" s="662"/>
      <c r="B314" s="662"/>
      <c r="C314" s="662"/>
      <c r="D314" s="662"/>
      <c r="E314" s="662"/>
      <c r="F314" s="662"/>
      <c r="G314" s="662"/>
      <c r="H314" s="662"/>
    </row>
    <row r="315" spans="1:8" s="25" customFormat="1" ht="15" customHeight="1">
      <c r="A315" s="662"/>
      <c r="B315" s="662"/>
      <c r="C315" s="662"/>
      <c r="D315" s="662"/>
      <c r="E315" s="662"/>
      <c r="F315" s="662"/>
      <c r="G315" s="662"/>
      <c r="H315" s="662"/>
    </row>
    <row r="316" spans="1:8" s="25" customFormat="1" ht="15" customHeight="1">
      <c r="A316" s="662"/>
      <c r="B316" s="662"/>
      <c r="C316" s="662"/>
      <c r="D316" s="662"/>
      <c r="E316" s="662"/>
      <c r="F316" s="662"/>
      <c r="G316" s="662"/>
      <c r="H316" s="662"/>
    </row>
    <row r="317" spans="1:8" s="25" customFormat="1" ht="15" customHeight="1">
      <c r="A317" s="662"/>
      <c r="B317" s="662"/>
      <c r="C317" s="662"/>
      <c r="D317" s="662"/>
      <c r="E317" s="662"/>
      <c r="F317" s="662"/>
      <c r="G317" s="662"/>
      <c r="H317" s="662"/>
    </row>
    <row r="318" spans="1:8" s="25" customFormat="1" ht="15" customHeight="1">
      <c r="A318" s="662"/>
      <c r="B318" s="662"/>
      <c r="C318" s="662"/>
      <c r="D318" s="662"/>
      <c r="E318" s="662"/>
      <c r="F318" s="662"/>
      <c r="G318" s="662"/>
      <c r="H318" s="662"/>
    </row>
    <row r="319" spans="1:8" s="25" customFormat="1" ht="15" customHeight="1">
      <c r="A319" s="662"/>
      <c r="B319" s="662"/>
      <c r="C319" s="662"/>
      <c r="D319" s="662"/>
      <c r="E319" s="662"/>
      <c r="F319" s="662"/>
      <c r="G319" s="662"/>
      <c r="H319" s="662"/>
    </row>
    <row r="320" spans="1:8" s="25" customFormat="1" ht="15" customHeight="1">
      <c r="A320" s="662"/>
      <c r="B320" s="662"/>
      <c r="C320" s="662"/>
      <c r="D320" s="662"/>
      <c r="E320" s="662"/>
      <c r="F320" s="662"/>
      <c r="G320" s="662"/>
      <c r="H320" s="662"/>
    </row>
    <row r="321" spans="1:20" s="25" customFormat="1" ht="15" customHeight="1">
      <c r="A321" s="662"/>
      <c r="B321" s="662"/>
      <c r="C321" s="662"/>
      <c r="D321" s="662"/>
      <c r="E321" s="662"/>
      <c r="F321" s="662"/>
      <c r="G321" s="662"/>
      <c r="H321" s="662"/>
      <c r="I321" s="660"/>
      <c r="J321" s="660"/>
      <c r="K321" s="660"/>
      <c r="L321" s="660"/>
      <c r="M321" s="660"/>
      <c r="N321" s="660"/>
      <c r="O321" s="660"/>
      <c r="P321" s="660"/>
      <c r="Q321" s="660"/>
      <c r="R321" s="660"/>
      <c r="S321" s="660"/>
      <c r="T321" s="660"/>
    </row>
    <row r="322" spans="1:20" s="25" customFormat="1" ht="15" customHeight="1">
      <c r="A322" s="662"/>
      <c r="B322" s="662"/>
      <c r="C322" s="662"/>
      <c r="D322" s="662"/>
      <c r="E322" s="662"/>
      <c r="F322" s="662"/>
      <c r="G322" s="662"/>
      <c r="H322" s="662"/>
      <c r="I322" s="660"/>
      <c r="J322" s="660"/>
      <c r="K322" s="660"/>
      <c r="L322" s="660"/>
      <c r="M322" s="660"/>
      <c r="N322" s="660"/>
      <c r="O322" s="660"/>
      <c r="P322" s="660"/>
      <c r="Q322" s="660"/>
      <c r="R322" s="660"/>
      <c r="S322" s="660"/>
      <c r="T322" s="660"/>
    </row>
    <row r="323" spans="1:20" s="25" customFormat="1" ht="15" customHeight="1">
      <c r="A323" s="662"/>
      <c r="B323" s="662"/>
      <c r="C323" s="662"/>
      <c r="D323" s="662"/>
      <c r="E323" s="662"/>
      <c r="F323" s="662"/>
      <c r="G323" s="662"/>
      <c r="H323" s="662"/>
      <c r="I323" s="660"/>
      <c r="J323" s="660"/>
      <c r="K323" s="660"/>
      <c r="L323" s="660"/>
      <c r="M323" s="660"/>
      <c r="N323" s="660"/>
      <c r="O323" s="660"/>
      <c r="P323" s="660"/>
      <c r="Q323" s="660"/>
      <c r="R323" s="660"/>
      <c r="S323" s="660"/>
      <c r="T323" s="660"/>
    </row>
    <row r="324" spans="1:20" s="25" customFormat="1" ht="15" customHeight="1">
      <c r="A324" s="662"/>
      <c r="B324" s="662"/>
      <c r="C324" s="662"/>
      <c r="D324" s="662"/>
      <c r="E324" s="662"/>
      <c r="F324" s="662"/>
      <c r="G324" s="662"/>
      <c r="H324" s="662"/>
      <c r="I324" s="660"/>
      <c r="J324" s="660"/>
      <c r="K324" s="660"/>
      <c r="L324" s="660"/>
      <c r="M324" s="660"/>
      <c r="N324" s="660"/>
      <c r="O324" s="660"/>
      <c r="P324" s="660"/>
      <c r="Q324" s="660"/>
      <c r="R324" s="660"/>
      <c r="S324" s="660"/>
      <c r="T324" s="660"/>
    </row>
    <row r="325" spans="1:20" s="25" customFormat="1" ht="15" customHeight="1">
      <c r="A325" s="662"/>
      <c r="B325" s="662"/>
      <c r="C325" s="662"/>
      <c r="D325" s="662"/>
      <c r="E325" s="662"/>
      <c r="F325" s="662"/>
      <c r="G325" s="662"/>
      <c r="H325" s="662"/>
      <c r="I325" s="660"/>
      <c r="J325" s="660"/>
      <c r="K325" s="660"/>
      <c r="L325" s="660"/>
      <c r="M325" s="660"/>
      <c r="N325" s="660"/>
      <c r="O325" s="660"/>
      <c r="P325" s="660"/>
      <c r="Q325" s="660"/>
      <c r="R325" s="660"/>
      <c r="S325" s="660"/>
      <c r="T325" s="660"/>
    </row>
    <row r="326" spans="1:20" s="25" customFormat="1" ht="15" customHeight="1">
      <c r="A326" s="662"/>
      <c r="B326" s="662"/>
      <c r="C326" s="662"/>
      <c r="D326" s="662"/>
      <c r="E326" s="662"/>
      <c r="F326" s="662"/>
      <c r="G326" s="662"/>
      <c r="H326" s="662"/>
      <c r="I326" s="660"/>
      <c r="J326" s="660"/>
      <c r="K326" s="660"/>
      <c r="L326" s="660"/>
      <c r="M326" s="660"/>
      <c r="N326" s="660"/>
      <c r="O326" s="660"/>
      <c r="P326" s="660"/>
      <c r="Q326" s="660"/>
      <c r="R326" s="660"/>
      <c r="S326" s="660"/>
      <c r="T326" s="660"/>
    </row>
    <row r="327" spans="1:20" s="25" customFormat="1" ht="15" customHeight="1">
      <c r="A327" s="662"/>
      <c r="B327" s="662"/>
      <c r="C327" s="662"/>
      <c r="D327" s="662"/>
      <c r="E327" s="662"/>
      <c r="F327" s="662"/>
      <c r="G327" s="662"/>
      <c r="H327" s="662"/>
      <c r="I327" s="660"/>
      <c r="J327" s="660"/>
      <c r="K327" s="660"/>
      <c r="L327" s="660"/>
      <c r="M327" s="660"/>
      <c r="N327" s="660"/>
      <c r="O327" s="660"/>
      <c r="P327" s="660"/>
      <c r="Q327" s="660"/>
      <c r="R327" s="660"/>
      <c r="S327" s="660"/>
      <c r="T327" s="660"/>
    </row>
    <row r="328" spans="1:20" s="25" customFormat="1" ht="15" customHeight="1">
      <c r="A328" s="662"/>
      <c r="B328" s="662"/>
      <c r="C328" s="662"/>
      <c r="D328" s="662"/>
      <c r="E328" s="662"/>
      <c r="F328" s="662"/>
      <c r="G328" s="662"/>
      <c r="H328" s="662"/>
      <c r="I328" s="660"/>
      <c r="J328" s="660"/>
      <c r="K328" s="660"/>
      <c r="L328" s="660"/>
      <c r="M328" s="660"/>
      <c r="N328" s="660"/>
      <c r="O328" s="660"/>
      <c r="P328" s="660"/>
      <c r="Q328" s="660"/>
      <c r="R328" s="660"/>
      <c r="S328" s="660"/>
      <c r="T328" s="660"/>
    </row>
    <row r="329" spans="1:20" s="25" customFormat="1">
      <c r="A329" s="660"/>
      <c r="B329" s="660"/>
      <c r="C329" s="660"/>
      <c r="D329" s="660"/>
      <c r="E329" s="660"/>
      <c r="F329" s="660"/>
      <c r="G329" s="660"/>
      <c r="H329" s="660"/>
      <c r="I329" s="660"/>
      <c r="J329" s="660"/>
      <c r="K329" s="660"/>
      <c r="L329" s="660"/>
      <c r="M329" s="660"/>
      <c r="N329" s="660"/>
      <c r="O329" s="660"/>
      <c r="P329" s="660"/>
      <c r="Q329" s="660"/>
      <c r="R329" s="660"/>
      <c r="S329" s="660"/>
      <c r="T329" s="660"/>
    </row>
    <row r="330" spans="1:20">
      <c r="B330" s="660"/>
      <c r="C330" s="660"/>
      <c r="D330" s="34"/>
      <c r="E330" s="34"/>
      <c r="F330" s="34"/>
      <c r="G330" s="34"/>
      <c r="H330" s="34"/>
      <c r="I330" s="34"/>
      <c r="J330" s="34"/>
      <c r="K330" s="50"/>
      <c r="L330" s="660"/>
      <c r="M330" s="660"/>
      <c r="N330" s="660"/>
      <c r="O330" s="660"/>
      <c r="P330" s="660"/>
      <c r="Q330" s="660"/>
      <c r="R330" s="660"/>
      <c r="S330" s="660"/>
      <c r="T330" s="660"/>
    </row>
    <row r="331" spans="1:20" ht="13">
      <c r="B331" s="652"/>
      <c r="C331" s="652"/>
      <c r="D331" s="59"/>
      <c r="E331" s="59"/>
      <c r="F331" s="59"/>
      <c r="G331" s="59"/>
      <c r="H331" s="59"/>
      <c r="I331" s="59"/>
      <c r="J331" s="59"/>
      <c r="K331" s="131"/>
      <c r="L331" s="660"/>
      <c r="M331" s="660"/>
      <c r="N331" s="660"/>
      <c r="O331" s="660"/>
      <c r="P331" s="660"/>
      <c r="Q331" s="660"/>
      <c r="R331" s="660"/>
      <c r="S331" s="660"/>
      <c r="T331" s="660"/>
    </row>
    <row r="332" spans="1:20">
      <c r="B332" s="660"/>
      <c r="C332" s="660"/>
      <c r="D332" s="660"/>
      <c r="E332" s="660"/>
      <c r="F332" s="660"/>
      <c r="G332" s="660"/>
      <c r="H332" s="660"/>
      <c r="I332" s="660"/>
      <c r="J332" s="660"/>
      <c r="K332" s="660"/>
      <c r="N332" s="660"/>
      <c r="O332" s="660"/>
      <c r="P332" s="660"/>
      <c r="Q332" s="660"/>
      <c r="R332" s="660"/>
      <c r="S332" s="660"/>
    </row>
    <row r="333" spans="1:20" ht="13">
      <c r="B333" s="652"/>
      <c r="C333" s="652"/>
      <c r="D333" s="660"/>
      <c r="E333" s="660"/>
      <c r="F333" s="660"/>
      <c r="G333" s="660"/>
      <c r="H333" s="660"/>
      <c r="I333" s="660"/>
      <c r="J333" s="660"/>
      <c r="K333" s="660"/>
      <c r="N333" s="660"/>
      <c r="O333" s="660"/>
      <c r="P333" s="660"/>
      <c r="Q333" s="660"/>
      <c r="R333" s="660"/>
      <c r="S333" s="660"/>
    </row>
    <row r="334" spans="1:20">
      <c r="B334" s="660"/>
      <c r="C334" s="660"/>
      <c r="D334" s="34"/>
      <c r="E334" s="34"/>
      <c r="F334" s="34"/>
      <c r="G334" s="34"/>
      <c r="H334" s="34"/>
      <c r="I334" s="34"/>
      <c r="J334" s="34"/>
      <c r="K334" s="50"/>
      <c r="N334" s="660"/>
      <c r="O334" s="660"/>
      <c r="P334" s="660"/>
      <c r="Q334" s="660"/>
      <c r="R334" s="660"/>
      <c r="S334" s="660"/>
    </row>
    <row r="335" spans="1:20">
      <c r="B335" s="660"/>
      <c r="C335" s="660"/>
      <c r="D335" s="34"/>
      <c r="E335" s="34"/>
      <c r="F335" s="34"/>
      <c r="G335" s="34"/>
      <c r="H335" s="34"/>
      <c r="I335" s="34"/>
      <c r="J335" s="34"/>
      <c r="K335" s="50"/>
      <c r="N335" s="660"/>
      <c r="O335" s="660"/>
      <c r="P335" s="660"/>
      <c r="Q335" s="660"/>
      <c r="R335" s="660"/>
      <c r="S335" s="660"/>
    </row>
    <row r="336" spans="1:20">
      <c r="B336" s="660"/>
      <c r="C336" s="660"/>
      <c r="D336" s="34"/>
      <c r="E336" s="34"/>
      <c r="F336" s="34"/>
      <c r="G336" s="34"/>
      <c r="H336" s="34"/>
      <c r="I336" s="34"/>
      <c r="J336" s="34"/>
      <c r="K336" s="50"/>
      <c r="N336" s="660"/>
      <c r="O336" s="660"/>
      <c r="P336" s="660"/>
      <c r="Q336" s="660"/>
      <c r="R336" s="660"/>
      <c r="S336" s="660"/>
    </row>
    <row r="337" spans="2:19">
      <c r="B337" s="660"/>
      <c r="C337" s="660"/>
      <c r="D337" s="34"/>
      <c r="E337" s="34"/>
      <c r="F337" s="34"/>
      <c r="G337" s="34"/>
      <c r="H337" s="34"/>
      <c r="I337" s="34"/>
      <c r="J337" s="34"/>
      <c r="K337" s="50"/>
      <c r="N337" s="660"/>
      <c r="O337" s="660"/>
      <c r="P337" s="660"/>
      <c r="Q337" s="660"/>
      <c r="R337" s="660"/>
      <c r="S337" s="660"/>
    </row>
    <row r="338" spans="2:19">
      <c r="B338" s="660"/>
      <c r="C338" s="660"/>
      <c r="D338" s="34"/>
      <c r="E338" s="34"/>
      <c r="F338" s="34"/>
      <c r="G338" s="34"/>
      <c r="H338" s="34"/>
      <c r="I338" s="34"/>
      <c r="J338" s="34"/>
      <c r="K338" s="50"/>
      <c r="N338" s="660"/>
      <c r="O338" s="660"/>
      <c r="P338" s="660"/>
      <c r="Q338" s="660"/>
      <c r="R338" s="660"/>
      <c r="S338" s="660"/>
    </row>
    <row r="339" spans="2:19" ht="13">
      <c r="B339" s="652"/>
      <c r="C339" s="652"/>
      <c r="D339" s="59"/>
      <c r="E339" s="59"/>
      <c r="F339" s="59"/>
      <c r="G339" s="59"/>
      <c r="H339" s="59"/>
      <c r="I339" s="59"/>
      <c r="J339" s="59"/>
      <c r="K339" s="131"/>
      <c r="N339" s="660"/>
      <c r="S339" s="660"/>
    </row>
    <row r="340" spans="2:19">
      <c r="B340" s="660"/>
      <c r="C340" s="660"/>
      <c r="D340" s="660"/>
      <c r="E340" s="660"/>
      <c r="F340" s="660"/>
      <c r="G340" s="660"/>
      <c r="H340" s="660"/>
      <c r="I340" s="660"/>
      <c r="J340" s="660"/>
      <c r="K340" s="660"/>
      <c r="S340" s="660"/>
    </row>
    <row r="341" spans="2:19" ht="13">
      <c r="B341" s="652"/>
      <c r="C341" s="652"/>
      <c r="D341" s="660"/>
      <c r="E341" s="660"/>
      <c r="F341" s="660"/>
      <c r="G341" s="660"/>
      <c r="H341" s="660"/>
      <c r="I341" s="660"/>
      <c r="J341" s="660"/>
      <c r="K341" s="660"/>
    </row>
    <row r="342" spans="2:19">
      <c r="B342" s="660"/>
      <c r="C342" s="660"/>
      <c r="D342" s="34"/>
      <c r="E342" s="34"/>
      <c r="F342" s="34"/>
      <c r="G342" s="34"/>
      <c r="H342" s="34"/>
      <c r="I342" s="34"/>
      <c r="J342" s="34"/>
      <c r="K342" s="50"/>
    </row>
    <row r="343" spans="2:19">
      <c r="B343" s="660"/>
      <c r="C343" s="660"/>
      <c r="D343" s="34"/>
      <c r="E343" s="34"/>
      <c r="F343" s="34"/>
      <c r="G343" s="34"/>
      <c r="H343" s="34"/>
      <c r="I343" s="34"/>
      <c r="J343" s="34"/>
      <c r="K343" s="50"/>
    </row>
    <row r="344" spans="2:19">
      <c r="B344" s="660"/>
      <c r="C344" s="660"/>
      <c r="D344" s="34"/>
      <c r="E344" s="34"/>
      <c r="F344" s="34"/>
      <c r="G344" s="34"/>
      <c r="H344" s="34"/>
      <c r="I344" s="34"/>
      <c r="J344" s="34"/>
      <c r="K344" s="50"/>
    </row>
    <row r="345" spans="2:19" ht="13">
      <c r="B345" s="652"/>
      <c r="C345" s="652"/>
      <c r="D345" s="59"/>
      <c r="E345" s="59"/>
      <c r="F345" s="59"/>
      <c r="G345" s="59"/>
      <c r="H345" s="59"/>
      <c r="I345" s="59"/>
      <c r="J345" s="59"/>
      <c r="K345" s="131"/>
    </row>
    <row r="346" spans="2:19">
      <c r="B346" s="660"/>
      <c r="C346" s="660"/>
      <c r="D346" s="660"/>
      <c r="E346" s="660"/>
      <c r="F346" s="660"/>
      <c r="G346" s="660"/>
      <c r="H346" s="660"/>
      <c r="I346" s="660"/>
      <c r="J346" s="660"/>
      <c r="K346" s="660"/>
    </row>
    <row r="347" spans="2:19" ht="13">
      <c r="B347" s="652"/>
      <c r="C347" s="652"/>
      <c r="D347" s="660"/>
      <c r="E347" s="660"/>
      <c r="F347" s="660"/>
      <c r="G347" s="660"/>
      <c r="H347" s="660"/>
      <c r="I347" s="660"/>
      <c r="J347" s="660"/>
      <c r="K347" s="660"/>
    </row>
    <row r="348" spans="2:19">
      <c r="B348" s="660"/>
      <c r="C348" s="660"/>
      <c r="D348" s="34"/>
      <c r="E348" s="34"/>
      <c r="F348" s="34"/>
      <c r="G348" s="34"/>
      <c r="H348" s="34"/>
      <c r="I348" s="34"/>
      <c r="J348" s="34"/>
      <c r="K348" s="50"/>
    </row>
    <row r="349" spans="2:19">
      <c r="B349" s="660"/>
      <c r="C349" s="660"/>
      <c r="D349" s="34"/>
      <c r="E349" s="34"/>
      <c r="F349" s="34"/>
      <c r="G349" s="34"/>
      <c r="H349" s="34"/>
      <c r="I349" s="34"/>
      <c r="J349" s="34"/>
      <c r="K349" s="50"/>
    </row>
    <row r="350" spans="2:19" ht="13">
      <c r="B350" s="652"/>
      <c r="C350" s="652"/>
      <c r="D350" s="59"/>
      <c r="E350" s="59"/>
      <c r="F350" s="59"/>
      <c r="G350" s="59"/>
      <c r="H350" s="59"/>
      <c r="I350" s="59"/>
      <c r="J350" s="59"/>
      <c r="K350" s="131"/>
    </row>
    <row r="351" spans="2:19">
      <c r="B351" s="660"/>
      <c r="C351" s="660"/>
      <c r="D351" s="660"/>
      <c r="E351" s="660"/>
      <c r="F351" s="660"/>
      <c r="G351" s="660"/>
      <c r="H351" s="660"/>
      <c r="I351" s="660"/>
      <c r="J351" s="660"/>
      <c r="K351" s="660"/>
    </row>
    <row r="352" spans="2:19" ht="13">
      <c r="B352" s="652"/>
      <c r="C352" s="652"/>
      <c r="D352" s="660"/>
      <c r="E352" s="660"/>
      <c r="F352" s="660"/>
      <c r="G352" s="660"/>
      <c r="H352" s="660"/>
      <c r="I352" s="660"/>
      <c r="J352" s="660"/>
      <c r="K352" s="660"/>
    </row>
    <row r="353" spans="2:11">
      <c r="B353" s="660"/>
      <c r="C353" s="660"/>
      <c r="D353" s="34"/>
      <c r="E353" s="34"/>
      <c r="F353" s="34"/>
      <c r="G353" s="34"/>
      <c r="H353" s="34"/>
      <c r="I353" s="34"/>
      <c r="J353" s="34"/>
      <c r="K353" s="50"/>
    </row>
    <row r="354" spans="2:11">
      <c r="B354" s="660"/>
      <c r="C354" s="660"/>
      <c r="D354" s="34"/>
      <c r="E354" s="34"/>
      <c r="F354" s="34"/>
      <c r="G354" s="34"/>
      <c r="H354" s="34"/>
      <c r="I354" s="34"/>
      <c r="J354" s="34"/>
      <c r="K354" s="50"/>
    </row>
    <row r="355" spans="2:11">
      <c r="B355" s="660"/>
      <c r="C355" s="660"/>
      <c r="D355" s="660"/>
      <c r="E355" s="660"/>
      <c r="F355" s="660"/>
      <c r="G355" s="660"/>
      <c r="H355" s="660"/>
      <c r="I355" s="660"/>
      <c r="J355" s="660"/>
      <c r="K355" s="660"/>
    </row>
    <row r="356" spans="2:11" ht="13">
      <c r="B356" s="652"/>
      <c r="C356" s="652"/>
      <c r="D356" s="660"/>
      <c r="E356" s="660"/>
      <c r="F356" s="660"/>
      <c r="G356" s="660"/>
      <c r="H356" s="660"/>
      <c r="I356" s="660"/>
      <c r="J356" s="660"/>
      <c r="K356" s="660"/>
    </row>
    <row r="357" spans="2:11" ht="13">
      <c r="B357" s="652"/>
      <c r="C357" s="652"/>
      <c r="D357" s="660"/>
      <c r="E357" s="660"/>
      <c r="F357" s="660"/>
      <c r="G357" s="660"/>
      <c r="H357" s="660"/>
      <c r="I357" s="660"/>
      <c r="J357" s="660"/>
      <c r="K357" s="660"/>
    </row>
    <row r="358" spans="2:11">
      <c r="B358" s="660"/>
      <c r="C358" s="660"/>
      <c r="D358" s="34"/>
      <c r="E358" s="34"/>
      <c r="F358" s="34"/>
      <c r="G358" s="34"/>
      <c r="H358" s="34"/>
      <c r="I358" s="34"/>
      <c r="J358" s="34"/>
      <c r="K358" s="50"/>
    </row>
    <row r="359" spans="2:11">
      <c r="B359" s="660"/>
      <c r="C359" s="660"/>
      <c r="D359" s="34"/>
      <c r="E359" s="34"/>
      <c r="F359" s="34"/>
      <c r="G359" s="34"/>
      <c r="H359" s="34"/>
      <c r="I359" s="34"/>
      <c r="J359" s="34"/>
      <c r="K359" s="50"/>
    </row>
    <row r="360" spans="2:11">
      <c r="B360" s="660"/>
      <c r="C360" s="660"/>
      <c r="D360" s="34"/>
      <c r="E360" s="34"/>
      <c r="F360" s="34"/>
      <c r="G360" s="34"/>
      <c r="H360" s="34"/>
      <c r="I360" s="34"/>
      <c r="J360" s="34"/>
      <c r="K360" s="50"/>
    </row>
    <row r="361" spans="2:11">
      <c r="B361" s="660"/>
      <c r="C361" s="660"/>
      <c r="D361" s="34"/>
      <c r="E361" s="34"/>
      <c r="F361" s="34"/>
      <c r="G361" s="34"/>
      <c r="H361" s="34"/>
      <c r="I361" s="34"/>
      <c r="J361" s="34"/>
      <c r="K361" s="50"/>
    </row>
    <row r="362" spans="2:11">
      <c r="B362" s="660"/>
      <c r="C362" s="660"/>
      <c r="D362" s="34"/>
      <c r="E362" s="34"/>
      <c r="F362" s="34"/>
      <c r="G362" s="34"/>
      <c r="H362" s="34"/>
      <c r="I362" s="34"/>
      <c r="J362" s="34"/>
      <c r="K362" s="50"/>
    </row>
    <row r="363" spans="2:11">
      <c r="B363" s="660"/>
      <c r="C363" s="660"/>
      <c r="D363" s="660"/>
      <c r="E363" s="660"/>
      <c r="F363" s="660"/>
      <c r="G363" s="660"/>
      <c r="H363" s="660"/>
      <c r="I363" s="660"/>
      <c r="J363" s="660"/>
      <c r="K363" s="660"/>
    </row>
    <row r="364" spans="2:11" ht="13">
      <c r="B364" s="652"/>
      <c r="C364" s="652"/>
      <c r="D364" s="660"/>
      <c r="E364" s="660"/>
      <c r="F364" s="660"/>
      <c r="G364" s="660"/>
      <c r="H364" s="660"/>
      <c r="I364" s="660"/>
      <c r="J364" s="660"/>
      <c r="K364" s="660"/>
    </row>
    <row r="365" spans="2:11">
      <c r="B365" s="660"/>
      <c r="C365" s="660"/>
      <c r="D365" s="34"/>
      <c r="E365" s="34"/>
      <c r="F365" s="34"/>
      <c r="G365" s="34"/>
      <c r="H365" s="34"/>
      <c r="I365" s="34"/>
      <c r="J365" s="34"/>
      <c r="K365" s="50"/>
    </row>
    <row r="366" spans="2:11">
      <c r="B366" s="660"/>
      <c r="C366" s="660"/>
      <c r="D366" s="34"/>
      <c r="E366" s="34"/>
      <c r="F366" s="34"/>
      <c r="G366" s="34"/>
      <c r="H366" s="34"/>
      <c r="I366" s="34"/>
      <c r="J366" s="34"/>
      <c r="K366" s="50"/>
    </row>
    <row r="367" spans="2:11">
      <c r="B367" s="660"/>
      <c r="C367" s="660"/>
      <c r="D367" s="34"/>
      <c r="E367" s="34"/>
      <c r="F367" s="34"/>
      <c r="G367" s="34"/>
      <c r="H367" s="34"/>
      <c r="I367" s="34"/>
      <c r="J367" s="34"/>
      <c r="K367" s="50"/>
    </row>
    <row r="368" spans="2:11">
      <c r="B368" s="660"/>
      <c r="C368" s="660"/>
      <c r="D368" s="34"/>
      <c r="E368" s="34"/>
      <c r="F368" s="34"/>
      <c r="G368" s="34"/>
      <c r="H368" s="34"/>
      <c r="I368" s="34"/>
      <c r="J368" s="34"/>
      <c r="K368" s="50"/>
    </row>
    <row r="369" spans="2:11">
      <c r="B369" s="660"/>
      <c r="C369" s="660"/>
      <c r="D369" s="34"/>
      <c r="E369" s="34"/>
      <c r="F369" s="34"/>
      <c r="G369" s="34"/>
      <c r="H369" s="34"/>
      <c r="I369" s="34"/>
      <c r="J369" s="34"/>
      <c r="K369" s="50"/>
    </row>
    <row r="370" spans="2:11">
      <c r="B370" s="660"/>
      <c r="C370" s="660"/>
      <c r="D370" s="660"/>
      <c r="E370" s="660"/>
      <c r="F370" s="660"/>
      <c r="G370" s="660"/>
      <c r="H370" s="660"/>
      <c r="I370" s="660"/>
      <c r="J370" s="660"/>
      <c r="K370" s="660"/>
    </row>
    <row r="371" spans="2:11" ht="13">
      <c r="B371" s="652"/>
      <c r="C371" s="652"/>
      <c r="D371" s="660"/>
      <c r="E371" s="660"/>
      <c r="F371" s="660"/>
      <c r="G371" s="660"/>
      <c r="H371" s="660"/>
      <c r="I371" s="660"/>
      <c r="J371" s="660"/>
      <c r="K371" s="660"/>
    </row>
    <row r="372" spans="2:11">
      <c r="B372" s="660"/>
      <c r="C372" s="660"/>
      <c r="D372" s="34"/>
      <c r="E372" s="34"/>
      <c r="F372" s="34"/>
      <c r="G372" s="34"/>
      <c r="H372" s="34"/>
      <c r="I372" s="34"/>
      <c r="J372" s="34"/>
      <c r="K372" s="50"/>
    </row>
    <row r="373" spans="2:11">
      <c r="B373" s="660"/>
      <c r="C373" s="660"/>
      <c r="D373" s="34"/>
      <c r="E373" s="34"/>
      <c r="F373" s="34"/>
      <c r="G373" s="34"/>
      <c r="H373" s="34"/>
      <c r="I373" s="34"/>
      <c r="J373" s="34"/>
      <c r="K373" s="50"/>
    </row>
    <row r="374" spans="2:11">
      <c r="B374" s="660"/>
      <c r="C374" s="660"/>
      <c r="D374" s="34"/>
      <c r="E374" s="34"/>
      <c r="F374" s="34"/>
      <c r="G374" s="34"/>
      <c r="H374" s="34"/>
      <c r="I374" s="34"/>
      <c r="J374" s="34"/>
      <c r="K374" s="50"/>
    </row>
    <row r="375" spans="2:11">
      <c r="B375" s="660"/>
      <c r="C375" s="660"/>
      <c r="D375" s="34"/>
      <c r="E375" s="34"/>
      <c r="F375" s="34"/>
      <c r="G375" s="34"/>
      <c r="H375" s="34"/>
      <c r="I375" s="34"/>
      <c r="J375" s="34"/>
      <c r="K375" s="50"/>
    </row>
    <row r="376" spans="2:11">
      <c r="B376" s="660"/>
      <c r="C376" s="660"/>
      <c r="D376" s="660"/>
      <c r="E376" s="660"/>
      <c r="F376" s="660"/>
      <c r="G376" s="660"/>
      <c r="H376" s="660"/>
      <c r="I376" s="660"/>
      <c r="J376" s="660"/>
      <c r="K376" s="660"/>
    </row>
    <row r="377" spans="2:11" ht="13">
      <c r="B377" s="652"/>
      <c r="C377" s="652"/>
      <c r="D377" s="660"/>
      <c r="E377" s="660"/>
      <c r="F377" s="660"/>
      <c r="G377" s="660"/>
      <c r="H377" s="660"/>
      <c r="I377" s="660"/>
      <c r="J377" s="660"/>
      <c r="K377" s="660"/>
    </row>
    <row r="378" spans="2:11">
      <c r="B378" s="660"/>
      <c r="C378" s="660"/>
      <c r="D378" s="34"/>
      <c r="E378" s="34"/>
      <c r="F378" s="34"/>
      <c r="G378" s="34"/>
      <c r="H378" s="34"/>
      <c r="I378" s="34"/>
      <c r="J378" s="34"/>
      <c r="K378" s="50"/>
    </row>
    <row r="379" spans="2:11">
      <c r="B379" s="660"/>
      <c r="C379" s="660"/>
      <c r="D379" s="34"/>
      <c r="E379" s="34"/>
      <c r="F379" s="34"/>
      <c r="G379" s="34"/>
      <c r="H379" s="34"/>
      <c r="I379" s="34"/>
      <c r="J379" s="34"/>
      <c r="K379" s="50"/>
    </row>
    <row r="380" spans="2:11">
      <c r="B380" s="660"/>
      <c r="C380" s="660"/>
      <c r="D380" s="660"/>
      <c r="E380" s="660"/>
      <c r="F380" s="660"/>
      <c r="G380" s="660"/>
      <c r="H380" s="660"/>
      <c r="I380" s="660"/>
      <c r="J380" s="660"/>
      <c r="K380" s="660"/>
    </row>
    <row r="381" spans="2:11" ht="13">
      <c r="B381" s="652"/>
      <c r="C381" s="652"/>
      <c r="D381" s="660"/>
      <c r="E381" s="660"/>
      <c r="F381" s="660"/>
      <c r="G381" s="660"/>
      <c r="H381" s="660"/>
      <c r="I381" s="660"/>
      <c r="J381" s="660"/>
      <c r="K381" s="660"/>
    </row>
    <row r="382" spans="2:11" ht="13">
      <c r="B382" s="652"/>
      <c r="C382" s="652"/>
      <c r="D382" s="660"/>
      <c r="E382" s="660"/>
      <c r="F382" s="660"/>
      <c r="G382" s="660"/>
      <c r="H382" s="660"/>
      <c r="I382" s="660"/>
      <c r="J382" s="660"/>
      <c r="K382" s="660"/>
    </row>
    <row r="383" spans="2:11">
      <c r="B383" s="660"/>
      <c r="C383" s="660"/>
      <c r="D383" s="34"/>
      <c r="E383" s="34"/>
      <c r="F383" s="34"/>
      <c r="G383" s="34"/>
      <c r="H383" s="34"/>
      <c r="I383" s="34"/>
      <c r="J383" s="34"/>
      <c r="K383" s="50"/>
    </row>
    <row r="384" spans="2:11">
      <c r="B384" s="660"/>
      <c r="C384" s="660"/>
      <c r="D384" s="34"/>
      <c r="E384" s="34"/>
      <c r="F384" s="34"/>
      <c r="G384" s="34"/>
      <c r="H384" s="34"/>
      <c r="I384" s="34"/>
      <c r="J384" s="34"/>
      <c r="K384" s="50"/>
    </row>
    <row r="385" spans="2:32">
      <c r="B385" s="660"/>
      <c r="C385" s="660"/>
      <c r="D385" s="34"/>
      <c r="E385" s="34"/>
      <c r="F385" s="34"/>
      <c r="G385" s="34"/>
      <c r="H385" s="34"/>
      <c r="I385" s="34"/>
      <c r="J385" s="34"/>
      <c r="K385" s="50"/>
    </row>
    <row r="386" spans="2:32">
      <c r="B386" s="660"/>
      <c r="C386" s="660"/>
      <c r="D386" s="660"/>
      <c r="E386" s="660"/>
      <c r="F386" s="660"/>
      <c r="G386" s="660"/>
      <c r="H386" s="660"/>
      <c r="I386" s="660"/>
      <c r="J386" s="660"/>
      <c r="K386" s="660"/>
    </row>
    <row r="387" spans="2:32" ht="13">
      <c r="B387" s="652"/>
      <c r="C387" s="652"/>
      <c r="D387" s="660"/>
      <c r="E387" s="660"/>
      <c r="F387" s="660"/>
      <c r="G387" s="660"/>
      <c r="H387" s="660"/>
      <c r="I387" s="660"/>
      <c r="J387" s="660"/>
      <c r="K387" s="660"/>
    </row>
    <row r="388" spans="2:32">
      <c r="B388" s="660"/>
      <c r="C388" s="660"/>
      <c r="D388" s="34"/>
      <c r="E388" s="34"/>
      <c r="F388" s="34"/>
      <c r="G388" s="34"/>
      <c r="H388" s="34"/>
      <c r="I388" s="34"/>
      <c r="J388" s="34"/>
      <c r="K388" s="50"/>
    </row>
    <row r="389" spans="2:32">
      <c r="B389" s="660"/>
      <c r="C389" s="660"/>
      <c r="D389" s="34"/>
      <c r="E389" s="34"/>
      <c r="F389" s="34"/>
      <c r="G389" s="34"/>
      <c r="H389" s="34"/>
      <c r="I389" s="34"/>
      <c r="J389" s="34"/>
      <c r="K389" s="50"/>
    </row>
    <row r="390" spans="2:32">
      <c r="B390" s="660"/>
      <c r="C390" s="660"/>
      <c r="D390" s="34"/>
      <c r="E390" s="34"/>
      <c r="F390" s="34"/>
      <c r="G390" s="34"/>
      <c r="H390" s="34"/>
      <c r="I390" s="34"/>
      <c r="J390" s="34"/>
      <c r="K390" s="50"/>
    </row>
    <row r="391" spans="2:32">
      <c r="B391" s="660"/>
      <c r="C391" s="660"/>
      <c r="D391" s="660"/>
      <c r="E391" s="660"/>
      <c r="F391" s="660"/>
      <c r="G391" s="660"/>
      <c r="H391" s="660"/>
      <c r="I391" s="660"/>
      <c r="J391" s="660"/>
      <c r="K391" s="660"/>
    </row>
    <row r="392" spans="2:32">
      <c r="B392" s="660"/>
      <c r="C392" s="660"/>
      <c r="D392" s="660"/>
      <c r="E392" s="660"/>
      <c r="F392" s="660"/>
      <c r="G392" s="660"/>
      <c r="H392" s="660"/>
      <c r="I392" s="660"/>
      <c r="J392" s="660"/>
      <c r="K392" s="660"/>
    </row>
    <row r="393" spans="2:32">
      <c r="B393" s="660"/>
      <c r="C393" s="660"/>
      <c r="D393" s="660"/>
      <c r="E393" s="660"/>
      <c r="F393" s="660"/>
      <c r="G393" s="660"/>
      <c r="H393" s="660"/>
      <c r="I393" s="660"/>
      <c r="J393" s="660"/>
      <c r="K393" s="660"/>
      <c r="W393" s="660"/>
    </row>
    <row r="394" spans="2:32">
      <c r="B394" s="660"/>
      <c r="C394" s="660"/>
      <c r="D394" s="660"/>
      <c r="E394" s="660"/>
      <c r="F394" s="660"/>
      <c r="G394" s="660"/>
      <c r="H394" s="660"/>
      <c r="I394" s="660"/>
      <c r="J394" s="660"/>
      <c r="K394" s="660"/>
      <c r="W394" s="660"/>
      <c r="X394" s="660"/>
      <c r="Y394" s="660"/>
      <c r="Z394" s="660"/>
      <c r="AA394" s="660"/>
      <c r="AB394" s="660"/>
    </row>
    <row r="395" spans="2:32">
      <c r="B395" s="660"/>
      <c r="C395" s="660"/>
      <c r="D395" s="660"/>
      <c r="E395" s="660"/>
      <c r="F395" s="660"/>
      <c r="G395" s="660"/>
      <c r="H395" s="660"/>
      <c r="I395" s="660"/>
      <c r="J395" s="660"/>
      <c r="K395" s="660"/>
      <c r="W395" s="660"/>
      <c r="X395" s="660"/>
      <c r="Y395" s="660"/>
      <c r="Z395" s="660"/>
      <c r="AA395" s="660"/>
      <c r="AB395" s="660"/>
      <c r="AC395" s="660"/>
      <c r="AD395" s="660"/>
      <c r="AE395" s="660"/>
      <c r="AF395" s="660"/>
    </row>
    <row r="396" spans="2:32">
      <c r="B396" s="660"/>
      <c r="C396" s="660"/>
      <c r="D396" s="660"/>
      <c r="E396" s="660"/>
      <c r="F396" s="660"/>
      <c r="G396" s="660"/>
      <c r="H396" s="660"/>
      <c r="I396" s="660"/>
      <c r="J396" s="660"/>
      <c r="K396" s="660"/>
      <c r="W396" s="660"/>
      <c r="X396" s="660"/>
      <c r="Y396" s="660"/>
      <c r="Z396" s="660"/>
      <c r="AA396" s="660"/>
      <c r="AB396" s="660"/>
      <c r="AC396" s="660"/>
      <c r="AD396" s="660"/>
      <c r="AE396" s="660"/>
      <c r="AF396" s="660"/>
    </row>
    <row r="397" spans="2:32">
      <c r="B397" s="660"/>
      <c r="C397" s="660"/>
      <c r="D397" s="660"/>
      <c r="E397" s="660"/>
      <c r="F397" s="660"/>
      <c r="G397" s="660"/>
      <c r="H397" s="660"/>
      <c r="I397" s="660"/>
      <c r="J397" s="660"/>
      <c r="K397" s="660"/>
      <c r="V397" s="660"/>
      <c r="W397" s="660"/>
      <c r="X397" s="660"/>
      <c r="Y397" s="660"/>
      <c r="Z397" s="660"/>
      <c r="AA397" s="660"/>
      <c r="AB397" s="660"/>
      <c r="AC397" s="660"/>
      <c r="AD397" s="660"/>
      <c r="AE397" s="660"/>
      <c r="AF397" s="660"/>
    </row>
    <row r="398" spans="2:32">
      <c r="B398" s="660"/>
      <c r="C398" s="660"/>
      <c r="D398" s="660"/>
      <c r="E398" s="660"/>
      <c r="F398" s="660"/>
      <c r="G398" s="660"/>
      <c r="H398" s="660"/>
      <c r="I398" s="660"/>
      <c r="J398" s="660"/>
      <c r="K398" s="660"/>
      <c r="V398" s="660"/>
      <c r="W398" s="660"/>
      <c r="X398" s="660"/>
      <c r="Y398" s="660"/>
      <c r="Z398" s="660"/>
      <c r="AA398" s="660"/>
      <c r="AB398" s="660"/>
      <c r="AC398" s="660"/>
      <c r="AD398" s="660"/>
      <c r="AE398" s="660"/>
      <c r="AF398" s="660"/>
    </row>
    <row r="399" spans="2:32">
      <c r="B399" s="660"/>
      <c r="C399" s="660"/>
      <c r="D399" s="660"/>
      <c r="E399" s="660"/>
      <c r="F399" s="660"/>
      <c r="G399" s="660"/>
      <c r="H399" s="660"/>
      <c r="I399" s="660"/>
      <c r="J399" s="660"/>
      <c r="K399" s="660"/>
      <c r="V399" s="660"/>
      <c r="W399" s="660"/>
      <c r="X399" s="660"/>
      <c r="Y399" s="660"/>
      <c r="Z399" s="660"/>
      <c r="AA399" s="660"/>
      <c r="AB399" s="660"/>
      <c r="AC399" s="660"/>
      <c r="AD399" s="660"/>
      <c r="AE399" s="660"/>
      <c r="AF399" s="660"/>
    </row>
    <row r="400" spans="2:32">
      <c r="B400" s="660"/>
      <c r="C400" s="660"/>
      <c r="D400" s="660"/>
      <c r="E400" s="660"/>
      <c r="F400" s="660"/>
      <c r="G400" s="660"/>
      <c r="H400" s="660"/>
      <c r="I400" s="660"/>
      <c r="J400" s="660"/>
      <c r="K400" s="660"/>
      <c r="L400" s="660"/>
      <c r="M400" s="660"/>
      <c r="V400" s="660"/>
      <c r="W400" s="660"/>
      <c r="X400" s="660"/>
      <c r="Y400" s="660"/>
      <c r="Z400" s="660"/>
      <c r="AA400" s="660"/>
      <c r="AB400" s="660"/>
      <c r="AC400" s="660"/>
      <c r="AD400" s="660"/>
      <c r="AE400" s="660"/>
      <c r="AF400" s="660"/>
    </row>
    <row r="401" spans="2:32">
      <c r="B401" s="660"/>
      <c r="C401" s="660"/>
      <c r="D401" s="660"/>
      <c r="E401" s="660"/>
      <c r="F401" s="660"/>
      <c r="G401" s="660"/>
      <c r="H401" s="660"/>
      <c r="I401" s="660"/>
      <c r="J401" s="660"/>
      <c r="K401" s="660"/>
      <c r="L401" s="660"/>
      <c r="M401" s="660"/>
      <c r="V401" s="660"/>
      <c r="W401" s="660"/>
      <c r="X401" s="660"/>
      <c r="Y401" s="660"/>
      <c r="Z401" s="660"/>
      <c r="AA401" s="660"/>
      <c r="AB401" s="660"/>
      <c r="AC401" s="660"/>
      <c r="AD401" s="660"/>
      <c r="AE401" s="660"/>
      <c r="AF401" s="660"/>
    </row>
    <row r="402" spans="2:32">
      <c r="B402" s="660"/>
      <c r="C402" s="660"/>
      <c r="D402" s="660"/>
      <c r="E402" s="660"/>
      <c r="F402" s="660"/>
      <c r="G402" s="660"/>
      <c r="H402" s="660"/>
      <c r="I402" s="660"/>
      <c r="J402" s="660"/>
      <c r="K402" s="660"/>
      <c r="L402" s="660"/>
      <c r="M402" s="660"/>
      <c r="V402" s="660"/>
      <c r="W402" s="660"/>
      <c r="X402" s="660"/>
      <c r="Y402" s="660"/>
      <c r="Z402" s="660"/>
      <c r="AA402" s="660"/>
      <c r="AB402" s="660"/>
      <c r="AC402" s="660"/>
      <c r="AD402" s="660"/>
      <c r="AE402" s="660"/>
      <c r="AF402" s="660"/>
    </row>
    <row r="403" spans="2:32">
      <c r="B403" s="660"/>
      <c r="C403" s="660"/>
      <c r="D403" s="660"/>
      <c r="E403" s="660"/>
      <c r="F403" s="660"/>
      <c r="G403" s="660"/>
      <c r="H403" s="660"/>
      <c r="I403" s="660"/>
      <c r="J403" s="660"/>
      <c r="K403" s="660"/>
      <c r="L403" s="660"/>
      <c r="M403" s="660"/>
      <c r="V403" s="660"/>
      <c r="W403" s="660"/>
      <c r="X403" s="660"/>
      <c r="Y403" s="660"/>
      <c r="Z403" s="660"/>
      <c r="AA403" s="660"/>
      <c r="AB403" s="660"/>
      <c r="AC403" s="660"/>
      <c r="AD403" s="660"/>
      <c r="AE403" s="660"/>
      <c r="AF403" s="660"/>
    </row>
    <row r="404" spans="2:32">
      <c r="B404" s="660"/>
      <c r="C404" s="660"/>
      <c r="D404" s="660"/>
      <c r="E404" s="660"/>
      <c r="F404" s="660"/>
      <c r="G404" s="660"/>
      <c r="H404" s="660"/>
      <c r="I404" s="660"/>
      <c r="J404" s="660"/>
      <c r="K404" s="660"/>
      <c r="L404" s="660"/>
      <c r="M404" s="660"/>
      <c r="T404" s="660"/>
      <c r="V404" s="660"/>
      <c r="W404" s="660"/>
      <c r="X404" s="660"/>
      <c r="Y404" s="660"/>
      <c r="Z404" s="660"/>
      <c r="AA404" s="660"/>
      <c r="AB404" s="660"/>
      <c r="AC404" s="660"/>
      <c r="AD404" s="660"/>
      <c r="AE404" s="660"/>
      <c r="AF404" s="660"/>
    </row>
    <row r="405" spans="2:32">
      <c r="B405" s="660"/>
      <c r="C405" s="660"/>
      <c r="D405" s="660"/>
      <c r="E405" s="660"/>
      <c r="F405" s="660"/>
      <c r="G405" s="660"/>
      <c r="H405" s="660"/>
      <c r="I405" s="660"/>
      <c r="J405" s="660"/>
      <c r="K405" s="660"/>
      <c r="L405" s="660"/>
      <c r="M405" s="660"/>
      <c r="T405" s="660"/>
      <c r="U405" s="660"/>
      <c r="V405" s="660"/>
      <c r="W405" s="660"/>
      <c r="X405" s="660"/>
      <c r="Y405" s="660"/>
      <c r="Z405" s="660"/>
      <c r="AA405" s="660"/>
      <c r="AB405" s="660"/>
      <c r="AC405" s="660"/>
      <c r="AD405" s="660"/>
      <c r="AE405" s="660"/>
      <c r="AF405" s="660"/>
    </row>
    <row r="406" spans="2:32">
      <c r="B406" s="660"/>
      <c r="C406" s="660"/>
      <c r="D406" s="660"/>
      <c r="E406" s="660"/>
      <c r="F406" s="660"/>
      <c r="G406" s="660"/>
      <c r="H406" s="660"/>
      <c r="I406" s="660"/>
      <c r="J406" s="660"/>
      <c r="K406" s="660"/>
      <c r="L406" s="660"/>
      <c r="M406" s="660"/>
      <c r="T406" s="660"/>
      <c r="U406" s="660"/>
      <c r="V406" s="660"/>
      <c r="W406" s="660"/>
      <c r="X406" s="660"/>
      <c r="Y406" s="660"/>
      <c r="Z406" s="660"/>
      <c r="AA406" s="660"/>
      <c r="AB406" s="660"/>
      <c r="AC406" s="660"/>
      <c r="AD406" s="660"/>
      <c r="AE406" s="660"/>
      <c r="AF406" s="660"/>
    </row>
    <row r="407" spans="2:32">
      <c r="B407" s="660"/>
      <c r="C407" s="660"/>
      <c r="D407" s="660"/>
      <c r="E407" s="660"/>
      <c r="F407" s="660"/>
      <c r="G407" s="660"/>
      <c r="H407" s="660"/>
      <c r="I407" s="660"/>
      <c r="J407" s="660"/>
      <c r="K407" s="660"/>
      <c r="L407" s="660"/>
      <c r="M407" s="660"/>
      <c r="T407" s="660"/>
      <c r="U407" s="660"/>
      <c r="V407" s="660"/>
      <c r="W407" s="660"/>
      <c r="X407" s="660"/>
      <c r="Y407" s="660"/>
      <c r="Z407" s="660"/>
      <c r="AA407" s="660"/>
      <c r="AB407" s="660"/>
      <c r="AC407" s="660"/>
      <c r="AD407" s="660"/>
      <c r="AE407" s="660"/>
      <c r="AF407" s="660"/>
    </row>
    <row r="408" spans="2:32">
      <c r="B408" s="660"/>
      <c r="C408" s="660"/>
      <c r="D408" s="660"/>
      <c r="E408" s="660"/>
      <c r="F408" s="660"/>
      <c r="G408" s="660"/>
      <c r="H408" s="660"/>
      <c r="I408" s="660"/>
      <c r="J408" s="660"/>
      <c r="K408" s="660"/>
      <c r="L408" s="660"/>
      <c r="M408" s="660"/>
      <c r="T408" s="660"/>
      <c r="U408" s="660"/>
      <c r="V408" s="660"/>
      <c r="W408" s="660"/>
      <c r="X408" s="660"/>
      <c r="Y408" s="660"/>
      <c r="Z408" s="660"/>
      <c r="AA408" s="660"/>
      <c r="AB408" s="660"/>
      <c r="AC408" s="660"/>
      <c r="AD408" s="660"/>
      <c r="AE408" s="660"/>
      <c r="AF408" s="660"/>
    </row>
    <row r="409" spans="2:32">
      <c r="B409" s="660"/>
      <c r="C409" s="660"/>
      <c r="D409" s="660"/>
      <c r="E409" s="660"/>
      <c r="F409" s="660"/>
      <c r="G409" s="660"/>
      <c r="H409" s="660"/>
      <c r="I409" s="660"/>
      <c r="J409" s="660"/>
      <c r="K409" s="660"/>
      <c r="L409" s="660"/>
      <c r="M409" s="660"/>
      <c r="N409" s="660"/>
      <c r="T409" s="660"/>
      <c r="U409" s="660"/>
      <c r="V409" s="660"/>
      <c r="W409" s="660"/>
      <c r="X409" s="660"/>
      <c r="Y409" s="660"/>
      <c r="Z409" s="660"/>
      <c r="AA409" s="660"/>
      <c r="AB409" s="660"/>
      <c r="AC409" s="660"/>
      <c r="AD409" s="660"/>
      <c r="AE409" s="660"/>
      <c r="AF409" s="660"/>
    </row>
    <row r="410" spans="2:32">
      <c r="B410" s="660"/>
      <c r="C410" s="660"/>
      <c r="D410" s="660"/>
      <c r="E410" s="660"/>
      <c r="F410" s="660"/>
      <c r="G410" s="660"/>
      <c r="H410" s="660"/>
      <c r="I410" s="660"/>
      <c r="J410" s="660"/>
      <c r="K410" s="660"/>
      <c r="L410" s="660"/>
      <c r="M410" s="660"/>
      <c r="N410" s="660"/>
      <c r="T410" s="660"/>
      <c r="U410" s="660"/>
      <c r="V410" s="660"/>
      <c r="W410" s="660"/>
      <c r="X410" s="660"/>
      <c r="Y410" s="660"/>
      <c r="Z410" s="660"/>
      <c r="AA410" s="660"/>
      <c r="AB410" s="660"/>
      <c r="AC410" s="660"/>
      <c r="AD410" s="660"/>
      <c r="AE410" s="660"/>
      <c r="AF410" s="660"/>
    </row>
    <row r="411" spans="2:32">
      <c r="B411" s="660"/>
      <c r="C411" s="660"/>
      <c r="D411" s="660"/>
      <c r="E411" s="660"/>
      <c r="F411" s="660"/>
      <c r="G411" s="660"/>
      <c r="H411" s="660"/>
      <c r="I411" s="660"/>
      <c r="J411" s="660"/>
      <c r="K411" s="660"/>
      <c r="L411" s="660"/>
      <c r="M411" s="660"/>
      <c r="N411" s="660"/>
      <c r="P411" s="660"/>
      <c r="Q411" s="660"/>
      <c r="R411" s="660"/>
      <c r="S411" s="660"/>
      <c r="T411" s="660"/>
      <c r="U411" s="660"/>
      <c r="V411" s="660"/>
      <c r="W411" s="660"/>
      <c r="X411" s="660"/>
      <c r="Y411" s="660"/>
      <c r="Z411" s="660"/>
      <c r="AA411" s="660"/>
      <c r="AB411" s="660"/>
      <c r="AC411" s="660"/>
      <c r="AD411" s="660"/>
      <c r="AE411" s="660"/>
      <c r="AF411" s="660"/>
    </row>
    <row r="412" spans="2:32">
      <c r="B412" s="660"/>
      <c r="C412" s="660"/>
      <c r="D412" s="660"/>
      <c r="E412" s="660"/>
      <c r="F412" s="660"/>
      <c r="G412" s="660"/>
      <c r="H412" s="660"/>
      <c r="I412" s="660"/>
      <c r="J412" s="660"/>
      <c r="K412" s="660"/>
      <c r="L412" s="660"/>
      <c r="M412" s="660"/>
      <c r="N412" s="660"/>
      <c r="O412" s="660"/>
      <c r="P412" s="660"/>
      <c r="Q412" s="660"/>
      <c r="R412" s="660"/>
      <c r="S412" s="660"/>
      <c r="T412" s="660"/>
      <c r="U412" s="660"/>
      <c r="V412" s="660"/>
      <c r="W412" s="660"/>
      <c r="X412" s="660"/>
      <c r="Y412" s="660"/>
      <c r="Z412" s="660"/>
      <c r="AA412" s="660"/>
      <c r="AB412" s="660"/>
      <c r="AC412" s="660"/>
      <c r="AD412" s="660"/>
      <c r="AE412" s="660"/>
      <c r="AF412" s="660"/>
    </row>
    <row r="413" spans="2:32">
      <c r="B413" s="660"/>
      <c r="C413" s="660"/>
      <c r="D413" s="660"/>
      <c r="E413" s="660"/>
      <c r="F413" s="660"/>
      <c r="G413" s="660"/>
      <c r="H413" s="660"/>
      <c r="I413" s="660"/>
      <c r="J413" s="660"/>
      <c r="K413" s="660"/>
      <c r="L413" s="660"/>
      <c r="M413" s="660"/>
      <c r="N413" s="660"/>
      <c r="O413" s="660"/>
      <c r="P413" s="660"/>
      <c r="Q413" s="660"/>
      <c r="R413" s="660"/>
      <c r="S413" s="660"/>
      <c r="T413" s="660"/>
      <c r="U413" s="660"/>
      <c r="V413" s="660"/>
      <c r="W413" s="660"/>
      <c r="X413" s="660"/>
      <c r="Y413" s="660"/>
      <c r="Z413" s="660"/>
      <c r="AA413" s="660"/>
      <c r="AB413" s="660"/>
      <c r="AC413" s="660"/>
      <c r="AD413" s="660"/>
      <c r="AE413" s="660"/>
      <c r="AF413" s="660"/>
    </row>
    <row r="414" spans="2:32">
      <c r="B414" s="660"/>
      <c r="C414" s="660"/>
      <c r="D414" s="660"/>
      <c r="E414" s="660"/>
      <c r="F414" s="660"/>
      <c r="G414" s="660"/>
      <c r="H414" s="660"/>
      <c r="I414" s="660"/>
      <c r="J414" s="660"/>
      <c r="K414" s="660"/>
      <c r="L414" s="660"/>
      <c r="M414" s="660"/>
      <c r="N414" s="660"/>
      <c r="O414" s="660"/>
      <c r="P414" s="660"/>
      <c r="Q414" s="660"/>
      <c r="R414" s="660"/>
      <c r="S414" s="660"/>
      <c r="T414" s="660"/>
      <c r="U414" s="660"/>
      <c r="V414" s="660"/>
      <c r="W414" s="660"/>
      <c r="X414" s="660"/>
      <c r="Y414" s="660"/>
      <c r="Z414" s="660"/>
      <c r="AA414" s="660"/>
      <c r="AB414" s="660"/>
      <c r="AC414" s="660"/>
      <c r="AD414" s="660"/>
      <c r="AE414" s="660"/>
      <c r="AF414" s="660"/>
    </row>
    <row r="415" spans="2:32">
      <c r="B415" s="660"/>
      <c r="C415" s="660"/>
      <c r="D415" s="660"/>
      <c r="E415" s="660"/>
      <c r="F415" s="660"/>
      <c r="G415" s="660"/>
      <c r="H415" s="660"/>
      <c r="I415" s="660"/>
      <c r="J415" s="660"/>
      <c r="K415" s="660"/>
      <c r="L415" s="660"/>
      <c r="M415" s="660"/>
      <c r="N415" s="660"/>
      <c r="O415" s="660"/>
      <c r="P415" s="660"/>
      <c r="Q415" s="660"/>
      <c r="R415" s="660"/>
      <c r="S415" s="660"/>
      <c r="T415" s="660"/>
      <c r="U415" s="660"/>
      <c r="V415" s="660"/>
      <c r="W415" s="660"/>
      <c r="X415" s="660"/>
      <c r="Y415" s="660"/>
      <c r="Z415" s="660"/>
      <c r="AA415" s="660"/>
      <c r="AB415" s="660"/>
      <c r="AC415" s="660"/>
      <c r="AD415" s="660"/>
      <c r="AE415" s="660"/>
      <c r="AF415" s="660"/>
    </row>
    <row r="416" spans="2:32">
      <c r="B416" s="660"/>
      <c r="C416" s="660"/>
      <c r="D416" s="660"/>
      <c r="E416" s="660"/>
      <c r="F416" s="660"/>
      <c r="G416" s="660"/>
      <c r="H416" s="660"/>
      <c r="I416" s="660"/>
      <c r="J416" s="660"/>
      <c r="K416" s="660"/>
      <c r="L416" s="660"/>
      <c r="M416" s="660"/>
      <c r="N416" s="660"/>
      <c r="O416" s="660"/>
      <c r="P416" s="660"/>
      <c r="Q416" s="660"/>
      <c r="R416" s="660"/>
      <c r="S416" s="660"/>
      <c r="T416" s="660"/>
      <c r="U416" s="660"/>
      <c r="V416" s="660"/>
      <c r="X416" s="660"/>
      <c r="Y416" s="660"/>
      <c r="Z416" s="660"/>
      <c r="AA416" s="660"/>
      <c r="AB416" s="660"/>
      <c r="AC416" s="660"/>
      <c r="AD416" s="660"/>
      <c r="AE416" s="660"/>
      <c r="AF416" s="660"/>
    </row>
    <row r="417" spans="2:22">
      <c r="B417" s="660"/>
      <c r="C417" s="660"/>
      <c r="D417" s="660"/>
      <c r="E417" s="660"/>
      <c r="F417" s="660"/>
      <c r="G417" s="660"/>
      <c r="H417" s="660"/>
      <c r="I417" s="660"/>
      <c r="J417" s="660"/>
      <c r="K417" s="660"/>
      <c r="L417" s="660"/>
      <c r="M417" s="660"/>
      <c r="N417" s="660"/>
      <c r="O417" s="660"/>
      <c r="P417" s="660"/>
      <c r="Q417" s="660"/>
      <c r="R417" s="660"/>
      <c r="S417" s="660"/>
      <c r="T417" s="660"/>
      <c r="U417" s="660"/>
      <c r="V417" s="660"/>
    </row>
    <row r="418" spans="2:22">
      <c r="L418" s="660"/>
      <c r="M418" s="660"/>
      <c r="N418" s="660"/>
      <c r="O418" s="660"/>
      <c r="P418" s="660"/>
      <c r="Q418" s="660"/>
      <c r="R418" s="660"/>
      <c r="S418" s="660"/>
      <c r="T418" s="660"/>
      <c r="U418" s="660"/>
      <c r="V418" s="660"/>
    </row>
    <row r="419" spans="2:22">
      <c r="L419" s="660"/>
      <c r="M419" s="660"/>
      <c r="N419" s="660"/>
      <c r="O419" s="660"/>
      <c r="P419" s="660"/>
      <c r="Q419" s="660"/>
      <c r="R419" s="660"/>
      <c r="S419" s="660"/>
      <c r="T419" s="660"/>
      <c r="U419" s="660"/>
      <c r="V419" s="660"/>
    </row>
    <row r="420" spans="2:22">
      <c r="L420" s="660"/>
      <c r="M420" s="660"/>
      <c r="N420" s="660"/>
      <c r="O420" s="660"/>
      <c r="P420" s="660"/>
      <c r="Q420" s="660"/>
      <c r="R420" s="660"/>
      <c r="S420" s="660"/>
      <c r="T420" s="660"/>
      <c r="U420" s="660"/>
    </row>
    <row r="421" spans="2:22">
      <c r="L421" s="660"/>
      <c r="M421" s="660"/>
      <c r="N421" s="660"/>
      <c r="O421" s="660"/>
      <c r="P421" s="660"/>
      <c r="Q421" s="660"/>
      <c r="R421" s="660"/>
      <c r="S421" s="660"/>
      <c r="T421" s="660"/>
      <c r="U421" s="660"/>
    </row>
    <row r="422" spans="2:22">
      <c r="L422" s="660"/>
      <c r="M422" s="660"/>
      <c r="N422" s="660"/>
      <c r="O422" s="660"/>
      <c r="P422" s="660"/>
      <c r="Q422" s="660"/>
      <c r="R422" s="660"/>
      <c r="S422" s="660"/>
      <c r="T422" s="660"/>
      <c r="U422" s="660"/>
    </row>
    <row r="423" spans="2:22">
      <c r="L423" s="660"/>
      <c r="M423" s="660"/>
      <c r="N423" s="660"/>
      <c r="O423" s="660"/>
      <c r="P423" s="660"/>
      <c r="Q423" s="660"/>
      <c r="R423" s="660"/>
      <c r="S423" s="660"/>
      <c r="T423" s="660"/>
      <c r="U423" s="660"/>
    </row>
    <row r="424" spans="2:22">
      <c r="L424" s="660"/>
      <c r="M424" s="660"/>
      <c r="N424" s="660"/>
      <c r="O424" s="660"/>
      <c r="P424" s="660"/>
      <c r="Q424" s="660"/>
      <c r="R424" s="660"/>
      <c r="S424" s="660"/>
      <c r="T424" s="660"/>
      <c r="U424" s="660"/>
    </row>
    <row r="425" spans="2:22">
      <c r="N425" s="660"/>
      <c r="O425" s="660"/>
      <c r="P425" s="660"/>
      <c r="Q425" s="660"/>
      <c r="R425" s="660"/>
      <c r="S425" s="660"/>
      <c r="T425" s="660"/>
      <c r="U425" s="660"/>
    </row>
    <row r="426" spans="2:22">
      <c r="N426" s="660"/>
      <c r="O426" s="660"/>
      <c r="P426" s="660"/>
      <c r="Q426" s="660"/>
      <c r="R426" s="660"/>
      <c r="S426" s="660"/>
      <c r="T426" s="660"/>
      <c r="U426" s="660"/>
    </row>
    <row r="427" spans="2:22">
      <c r="N427" s="660"/>
      <c r="O427" s="660"/>
      <c r="P427" s="660"/>
      <c r="Q427" s="660"/>
      <c r="R427" s="660"/>
      <c r="S427" s="660"/>
      <c r="T427" s="660"/>
      <c r="U427" s="660"/>
    </row>
    <row r="428" spans="2:22">
      <c r="N428" s="660"/>
      <c r="O428" s="660"/>
      <c r="P428" s="660"/>
      <c r="Q428" s="660"/>
      <c r="R428" s="660"/>
      <c r="S428" s="660"/>
    </row>
    <row r="429" spans="2:22">
      <c r="N429" s="660"/>
      <c r="O429" s="660"/>
      <c r="P429" s="660"/>
      <c r="Q429" s="660"/>
      <c r="R429" s="660"/>
      <c r="S429" s="660"/>
    </row>
    <row r="430" spans="2:22">
      <c r="N430" s="660"/>
      <c r="O430" s="660"/>
      <c r="P430" s="660"/>
      <c r="Q430" s="660"/>
      <c r="R430" s="660"/>
      <c r="S430" s="660"/>
    </row>
    <row r="431" spans="2:22">
      <c r="N431" s="660"/>
      <c r="O431" s="660"/>
      <c r="P431" s="660"/>
      <c r="Q431" s="660"/>
      <c r="R431" s="660"/>
      <c r="S431" s="660"/>
    </row>
    <row r="432" spans="2:22">
      <c r="N432" s="660"/>
      <c r="O432" s="660"/>
      <c r="P432" s="660"/>
      <c r="Q432" s="660"/>
      <c r="R432" s="660"/>
      <c r="S432" s="660"/>
    </row>
    <row r="433" spans="15:19">
      <c r="O433" s="660"/>
      <c r="P433" s="660"/>
      <c r="Q433" s="660"/>
      <c r="R433" s="660"/>
      <c r="S433" s="660"/>
    </row>
    <row r="434" spans="15:19">
      <c r="O434" s="660"/>
      <c r="P434" s="660"/>
      <c r="Q434" s="660"/>
      <c r="R434" s="660"/>
      <c r="S434" s="660"/>
    </row>
    <row r="435" spans="15:19">
      <c r="O435" s="660"/>
    </row>
  </sheetData>
  <mergeCells count="10">
    <mergeCell ref="L260:R260"/>
    <mergeCell ref="A1:L1"/>
    <mergeCell ref="A18:L18"/>
    <mergeCell ref="A31:L31"/>
    <mergeCell ref="A205:B205"/>
    <mergeCell ref="A2:B2"/>
    <mergeCell ref="A78:B78"/>
    <mergeCell ref="A88:B88"/>
    <mergeCell ref="A98:H98"/>
    <mergeCell ref="A99:H99"/>
  </mergeCells>
  <phoneticPr fontId="14" type="noConversion"/>
  <pageMargins left="0.75" right="0.75" top="1" bottom="1" header="0.5" footer="0.5"/>
  <pageSetup scale="14" fitToHeight="0" orientation="landscape" horizontalDpi="300" verticalDpi="300" r:id="rId1"/>
  <headerFooter alignWithMargins="0"/>
  <legacy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AD250"/>
  <sheetViews>
    <sheetView topLeftCell="C1" zoomScale="85" workbookViewId="0">
      <pane ySplit="5" topLeftCell="A177" activePane="bottomLeft" state="frozen"/>
      <selection activeCell="C33" sqref="C33"/>
      <selection pane="bottomLeft" activeCell="F184" sqref="F184"/>
    </sheetView>
  </sheetViews>
  <sheetFormatPr defaultColWidth="9.26953125" defaultRowHeight="12.5"/>
  <cols>
    <col min="1" max="1" width="28.453125" style="25" customWidth="1"/>
    <col min="2" max="2" width="22.7265625" style="25" bestFit="1" customWidth="1"/>
    <col min="3" max="3" width="47.453125" style="25" bestFit="1" customWidth="1"/>
    <col min="4" max="4" width="11.7265625" style="25" bestFit="1" customWidth="1"/>
    <col min="5" max="5" width="10.26953125" style="25" bestFit="1" customWidth="1"/>
    <col min="6" max="6" width="10.26953125" style="26" bestFit="1" customWidth="1"/>
    <col min="7" max="7" width="13.7265625" style="26" customWidth="1"/>
    <col min="8" max="8" width="12.26953125" style="26" bestFit="1" customWidth="1"/>
    <col min="9" max="9" width="11.7265625" style="26" bestFit="1" customWidth="1"/>
    <col min="10" max="10" width="11.26953125" style="25" bestFit="1" customWidth="1"/>
    <col min="11" max="11" width="10.54296875" style="25" bestFit="1" customWidth="1"/>
    <col min="12" max="12" width="8.7265625" style="25" bestFit="1" customWidth="1"/>
    <col min="13" max="13" width="5.7265625" style="26" bestFit="1" customWidth="1"/>
    <col min="14" max="14" width="9" style="25" customWidth="1"/>
    <col min="15" max="15" width="14.7265625" style="25" customWidth="1"/>
    <col min="16" max="16" width="9.26953125" style="25"/>
    <col min="17" max="17" width="12.26953125" style="25" customWidth="1"/>
    <col min="18" max="16384" width="9.26953125" style="25"/>
  </cols>
  <sheetData>
    <row r="1" spans="1:15" ht="13">
      <c r="A1" s="652" t="s">
        <v>1578</v>
      </c>
      <c r="B1" s="660"/>
      <c r="C1" s="660"/>
      <c r="D1" s="660"/>
      <c r="E1" s="660"/>
      <c r="F1" s="656"/>
      <c r="G1" s="656"/>
      <c r="H1" s="656"/>
      <c r="I1" s="656"/>
      <c r="J1" s="660"/>
      <c r="K1" s="660"/>
      <c r="L1" s="660"/>
      <c r="M1" s="656"/>
      <c r="N1" s="660"/>
      <c r="O1" s="660"/>
    </row>
    <row r="2" spans="1:15" ht="13">
      <c r="A2" s="660"/>
      <c r="B2" s="660"/>
      <c r="C2" s="652"/>
      <c r="D2" s="652"/>
      <c r="E2" s="652"/>
      <c r="F2" s="660"/>
      <c r="G2" s="660"/>
      <c r="H2" s="660"/>
      <c r="I2" s="43"/>
      <c r="J2" s="43"/>
      <c r="K2" s="43"/>
      <c r="L2" s="43"/>
      <c r="M2" s="656"/>
      <c r="N2" s="656"/>
      <c r="O2" s="660"/>
    </row>
    <row r="4" spans="1:15" s="37" customFormat="1" ht="13">
      <c r="A4" s="37" t="s">
        <v>1579</v>
      </c>
      <c r="B4" s="37" t="s">
        <v>1580</v>
      </c>
      <c r="C4" s="37" t="s">
        <v>1581</v>
      </c>
      <c r="F4" s="664" t="s">
        <v>1582</v>
      </c>
      <c r="G4" s="664" t="s">
        <v>1582</v>
      </c>
      <c r="H4" s="53" t="s">
        <v>79</v>
      </c>
      <c r="I4" s="664" t="s">
        <v>1583</v>
      </c>
      <c r="J4" s="650" t="s">
        <v>634</v>
      </c>
      <c r="K4" s="650" t="s">
        <v>634</v>
      </c>
      <c r="L4" s="650" t="s">
        <v>635</v>
      </c>
      <c r="M4" s="650" t="s">
        <v>636</v>
      </c>
    </row>
    <row r="5" spans="1:15" s="37" customFormat="1" ht="39">
      <c r="E5" s="650" t="s">
        <v>1584</v>
      </c>
      <c r="F5" s="53" t="s">
        <v>1585</v>
      </c>
      <c r="G5" s="53" t="s">
        <v>1586</v>
      </c>
      <c r="H5" s="53"/>
      <c r="I5" s="650" t="s">
        <v>1587</v>
      </c>
      <c r="J5" s="650" t="s">
        <v>1588</v>
      </c>
      <c r="K5" s="650" t="s">
        <v>1589</v>
      </c>
      <c r="L5" s="650" t="s">
        <v>638</v>
      </c>
      <c r="M5" s="650"/>
    </row>
    <row r="6" spans="1:15" s="35" customFormat="1" ht="13">
      <c r="A6" s="662" t="s">
        <v>1590</v>
      </c>
      <c r="B6" s="662" t="s">
        <v>929</v>
      </c>
      <c r="C6" s="662" t="s">
        <v>930</v>
      </c>
      <c r="D6" s="660"/>
      <c r="E6" s="660"/>
      <c r="F6" s="54"/>
      <c r="G6" s="54"/>
      <c r="H6" s="55" t="e">
        <f>H7</f>
        <v>#REF!</v>
      </c>
      <c r="I6" s="56"/>
      <c r="J6" s="57" t="s">
        <v>487</v>
      </c>
      <c r="K6" s="56"/>
      <c r="L6" s="56">
        <v>50000</v>
      </c>
      <c r="M6" s="56">
        <v>0.16</v>
      </c>
      <c r="N6" s="662"/>
      <c r="O6" s="662"/>
    </row>
    <row r="7" spans="1:15">
      <c r="A7" s="662" t="s">
        <v>1590</v>
      </c>
      <c r="B7" s="662" t="s">
        <v>1591</v>
      </c>
      <c r="C7" s="662" t="s">
        <v>1592</v>
      </c>
      <c r="D7" s="660" t="e">
        <f>#REF!</f>
        <v>#REF!</v>
      </c>
      <c r="E7" s="660"/>
      <c r="F7" s="660" t="e">
        <f>#REF!</f>
        <v>#REF!</v>
      </c>
      <c r="G7" s="660"/>
      <c r="H7" s="660" t="e">
        <f>F7</f>
        <v>#REF!</v>
      </c>
      <c r="I7" s="660" t="e">
        <f>#REF!</f>
        <v>#REF!</v>
      </c>
      <c r="J7" s="58" t="e">
        <f>I7*'Conv Factors'!$C$53/'Conv Factors'!$B$7/L7/'Conv Factors'!$B$2/'Conv Factors'!$B$3/'Conv Factors'!$B$4*'Conv Factors'!$B$6</f>
        <v>#REF!</v>
      </c>
      <c r="K7" s="41"/>
      <c r="L7" s="56">
        <v>50000</v>
      </c>
      <c r="M7" s="656">
        <v>0.16</v>
      </c>
      <c r="N7" s="660"/>
      <c r="O7" s="660"/>
    </row>
    <row r="8" spans="1:15">
      <c r="A8" s="660"/>
      <c r="B8" s="662"/>
      <c r="C8" s="662"/>
      <c r="D8" s="660"/>
      <c r="E8" s="660"/>
      <c r="F8" s="660"/>
      <c r="G8" s="660"/>
      <c r="H8" s="660"/>
      <c r="I8" s="660"/>
      <c r="J8" s="58"/>
      <c r="K8" s="41"/>
      <c r="L8" s="56"/>
      <c r="M8" s="656"/>
      <c r="N8" s="660"/>
      <c r="O8" s="660"/>
    </row>
    <row r="9" spans="1:15" ht="13">
      <c r="A9" s="662" t="s">
        <v>1590</v>
      </c>
      <c r="B9" s="662" t="s">
        <v>555</v>
      </c>
      <c r="C9" s="662" t="s">
        <v>933</v>
      </c>
      <c r="D9" s="660"/>
      <c r="E9" s="660"/>
      <c r="F9" s="660"/>
      <c r="G9" s="660"/>
      <c r="H9" s="59">
        <f>USDemand!C260</f>
        <v>2.2657000026278018</v>
      </c>
      <c r="I9" s="660"/>
      <c r="J9" s="58"/>
      <c r="K9" s="41"/>
      <c r="L9" s="56"/>
      <c r="M9" s="656">
        <v>0.16</v>
      </c>
      <c r="N9" s="660"/>
      <c r="O9" s="660"/>
    </row>
    <row r="10" spans="1:15" s="37" customFormat="1" ht="13">
      <c r="A10" s="662" t="s">
        <v>1590</v>
      </c>
      <c r="B10" s="662" t="s">
        <v>557</v>
      </c>
      <c r="C10" s="662" t="s">
        <v>934</v>
      </c>
      <c r="D10" s="660" t="e">
        <f>#REF!</f>
        <v>#REF!</v>
      </c>
      <c r="E10" s="660" t="e">
        <f>#REF!</f>
        <v>#REF!</v>
      </c>
      <c r="F10" s="660" t="e">
        <f>#REF!</f>
        <v>#REF!</v>
      </c>
      <c r="G10" s="54"/>
      <c r="H10" s="34" t="e">
        <f t="shared" ref="H10:H21" si="0">F10</f>
        <v>#REF!</v>
      </c>
      <c r="I10" s="660" t="e">
        <f>#REF!</f>
        <v>#REF!</v>
      </c>
      <c r="J10" s="58" t="e">
        <f>I10*'Conv Factors'!$C$53/'Conv Factors'!$B$7/L10/'Conv Factors'!$B$2/'Conv Factors'!$B$3/'Conv Factors'!$B$4*'Conv Factors'!$B$6</f>
        <v>#REF!</v>
      </c>
      <c r="K10" s="56"/>
      <c r="L10" s="56">
        <v>36000</v>
      </c>
      <c r="M10" s="656">
        <v>0.16</v>
      </c>
      <c r="O10" s="662"/>
    </row>
    <row r="11" spans="1:15">
      <c r="A11" s="662" t="s">
        <v>1590</v>
      </c>
      <c r="B11" s="662" t="s">
        <v>559</v>
      </c>
      <c r="C11" s="662" t="s">
        <v>935</v>
      </c>
      <c r="D11" s="660" t="e">
        <f>#REF!</f>
        <v>#REF!</v>
      </c>
      <c r="E11" s="660" t="e">
        <f>#REF!</f>
        <v>#REF!</v>
      </c>
      <c r="F11" s="660" t="e">
        <f>#REF!</f>
        <v>#REF!</v>
      </c>
      <c r="G11" s="660"/>
      <c r="H11" s="34" t="e">
        <f t="shared" si="0"/>
        <v>#REF!</v>
      </c>
      <c r="I11" s="660" t="e">
        <f>#REF!</f>
        <v>#REF!</v>
      </c>
      <c r="J11" s="58" t="e">
        <f>I11*'Conv Factors'!$C$53/'Conv Factors'!$B$7/L11/'Conv Factors'!$B$2/'Conv Factors'!$B$3/'Conv Factors'!$B$4*'Conv Factors'!$B$6</f>
        <v>#REF!</v>
      </c>
      <c r="K11" s="41"/>
      <c r="L11" s="56">
        <v>36000</v>
      </c>
      <c r="M11" s="656">
        <v>0.16</v>
      </c>
      <c r="N11" s="660"/>
      <c r="O11" s="660"/>
    </row>
    <row r="12" spans="1:15">
      <c r="A12" s="662" t="s">
        <v>1590</v>
      </c>
      <c r="B12" s="662" t="s">
        <v>561</v>
      </c>
      <c r="C12" s="662" t="s">
        <v>936</v>
      </c>
      <c r="D12" s="660" t="e">
        <f>#REF!</f>
        <v>#REF!</v>
      </c>
      <c r="E12" s="660" t="e">
        <f>#REF!</f>
        <v>#REF!</v>
      </c>
      <c r="F12" s="660" t="e">
        <f>#REF!</f>
        <v>#REF!</v>
      </c>
      <c r="G12" s="660"/>
      <c r="H12" s="34" t="e">
        <f t="shared" si="0"/>
        <v>#REF!</v>
      </c>
      <c r="I12" s="660" t="e">
        <f>#REF!</f>
        <v>#REF!</v>
      </c>
      <c r="J12" s="58" t="e">
        <f>I12*'Conv Factors'!$C$53/'Conv Factors'!$B$7/L12/'Conv Factors'!$B$2/'Conv Factors'!$B$3/'Conv Factors'!$B$4*'Conv Factors'!$B$6</f>
        <v>#REF!</v>
      </c>
      <c r="K12" s="41"/>
      <c r="L12" s="656">
        <v>36000</v>
      </c>
      <c r="M12" s="656">
        <v>0.16</v>
      </c>
      <c r="N12" s="660"/>
      <c r="O12" s="660"/>
    </row>
    <row r="13" spans="1:15">
      <c r="A13" s="662" t="s">
        <v>1590</v>
      </c>
      <c r="B13" s="662" t="s">
        <v>563</v>
      </c>
      <c r="C13" s="662" t="s">
        <v>937</v>
      </c>
      <c r="D13" s="660" t="e">
        <f>#REF!</f>
        <v>#REF!</v>
      </c>
      <c r="E13" s="660" t="e">
        <f>#REF!</f>
        <v>#REF!</v>
      </c>
      <c r="F13" s="660" t="e">
        <f>#REF!</f>
        <v>#REF!</v>
      </c>
      <c r="G13" s="660"/>
      <c r="H13" s="34" t="e">
        <f t="shared" si="0"/>
        <v>#REF!</v>
      </c>
      <c r="I13" s="660" t="e">
        <f>#REF!</f>
        <v>#REF!</v>
      </c>
      <c r="J13" s="58" t="e">
        <f>I13*'Conv Factors'!$C$53/'Conv Factors'!$B$7/L13/'Conv Factors'!$B$2/'Conv Factors'!$B$3/'Conv Factors'!$B$4*'Conv Factors'!$B$6</f>
        <v>#REF!</v>
      </c>
      <c r="K13" s="41"/>
      <c r="L13" s="656">
        <v>36000</v>
      </c>
      <c r="M13" s="656">
        <v>0.16</v>
      </c>
      <c r="N13" s="660"/>
      <c r="O13" s="660"/>
    </row>
    <row r="14" spans="1:15">
      <c r="A14" s="662" t="s">
        <v>1590</v>
      </c>
      <c r="B14" s="662" t="s">
        <v>565</v>
      </c>
      <c r="C14" s="662" t="s">
        <v>938</v>
      </c>
      <c r="D14" s="660" t="e">
        <f>#REF!</f>
        <v>#REF!</v>
      </c>
      <c r="E14" s="660" t="e">
        <f>#REF!</f>
        <v>#REF!</v>
      </c>
      <c r="F14" s="34" t="e">
        <f>#REF!</f>
        <v>#REF!</v>
      </c>
      <c r="G14" s="660"/>
      <c r="H14" s="34" t="e">
        <f t="shared" si="0"/>
        <v>#REF!</v>
      </c>
      <c r="I14" s="45" t="e">
        <f>#REF!</f>
        <v>#REF!</v>
      </c>
      <c r="J14" s="58" t="e">
        <f>I14*'Conv Factors'!$C$53/'Conv Factors'!$B$7/L14/'Conv Factors'!$B$2/'Conv Factors'!$B$3/'Conv Factors'!$B$4*'Conv Factors'!$B$6</f>
        <v>#REF!</v>
      </c>
      <c r="K14" s="41"/>
      <c r="L14" s="656">
        <v>36000</v>
      </c>
      <c r="M14" s="656">
        <v>0.16</v>
      </c>
      <c r="N14" s="660"/>
      <c r="O14" s="660"/>
    </row>
    <row r="15" spans="1:15">
      <c r="A15" s="662" t="s">
        <v>1590</v>
      </c>
      <c r="B15" s="662" t="s">
        <v>567</v>
      </c>
      <c r="C15" s="662" t="s">
        <v>939</v>
      </c>
      <c r="D15" s="660" t="e">
        <f>#REF!</f>
        <v>#REF!</v>
      </c>
      <c r="E15" s="660" t="e">
        <f>#REF!</f>
        <v>#REF!</v>
      </c>
      <c r="F15" s="34" t="e">
        <f>#REF!</f>
        <v>#REF!</v>
      </c>
      <c r="G15" s="660"/>
      <c r="H15" s="34" t="e">
        <f t="shared" si="0"/>
        <v>#REF!</v>
      </c>
      <c r="I15" s="45" t="e">
        <f>#REF!</f>
        <v>#REF!</v>
      </c>
      <c r="J15" s="58" t="e">
        <f>I15*'Conv Factors'!$C$53/'Conv Factors'!$B$7/L15/'Conv Factors'!$B$2/'Conv Factors'!$B$3/'Conv Factors'!$B$4*'Conv Factors'!$B$6</f>
        <v>#REF!</v>
      </c>
      <c r="K15" s="41"/>
      <c r="L15" s="656">
        <v>36000</v>
      </c>
      <c r="M15" s="656">
        <v>0.16</v>
      </c>
      <c r="N15" s="660"/>
      <c r="O15" s="660"/>
    </row>
    <row r="16" spans="1:15">
      <c r="A16" s="662" t="s">
        <v>1590</v>
      </c>
      <c r="B16" s="662" t="s">
        <v>569</v>
      </c>
      <c r="C16" s="662" t="s">
        <v>940</v>
      </c>
      <c r="D16" s="660" t="e">
        <f>#REF!</f>
        <v>#REF!</v>
      </c>
      <c r="E16" s="660" t="e">
        <f>#REF!</f>
        <v>#REF!</v>
      </c>
      <c r="F16" s="34" t="e">
        <f>#REF!</f>
        <v>#REF!</v>
      </c>
      <c r="G16" s="660"/>
      <c r="H16" s="34" t="e">
        <f t="shared" ref="H16" si="1">F16</f>
        <v>#REF!</v>
      </c>
      <c r="I16" s="45" t="e">
        <f>#REF!</f>
        <v>#REF!</v>
      </c>
      <c r="J16" s="58" t="e">
        <f>I16*'Conv Factors'!$C$53/'Conv Factors'!$B$7/L16/'Conv Factors'!$B$2/'Conv Factors'!$B$3/'Conv Factors'!$B$4*'Conv Factors'!$B$6</f>
        <v>#REF!</v>
      </c>
      <c r="K16" s="41"/>
      <c r="L16" s="656">
        <v>36000</v>
      </c>
      <c r="M16" s="656">
        <v>0.16</v>
      </c>
      <c r="N16" s="660"/>
      <c r="O16" s="660"/>
    </row>
    <row r="17" spans="1:14">
      <c r="A17" s="662" t="s">
        <v>1590</v>
      </c>
      <c r="B17" s="662" t="s">
        <v>571</v>
      </c>
      <c r="C17" s="662" t="s">
        <v>941</v>
      </c>
      <c r="D17" s="660" t="e">
        <f>#REF!</f>
        <v>#REF!</v>
      </c>
      <c r="E17" s="660" t="e">
        <f>#REF!</f>
        <v>#REF!</v>
      </c>
      <c r="F17" s="34" t="e">
        <f>#REF!</f>
        <v>#REF!</v>
      </c>
      <c r="G17" s="660"/>
      <c r="H17" s="34" t="e">
        <f t="shared" ref="H17" si="2">F17</f>
        <v>#REF!</v>
      </c>
      <c r="I17" s="45" t="e">
        <f>#REF!</f>
        <v>#REF!</v>
      </c>
      <c r="J17" s="58" t="e">
        <f>I17*'Conv Factors'!$C$53/'Conv Factors'!$B$7/L17/'Conv Factors'!$B$2/'Conv Factors'!$B$3/'Conv Factors'!$B$4*'Conv Factors'!$B$6</f>
        <v>#REF!</v>
      </c>
      <c r="K17" s="41"/>
      <c r="L17" s="656">
        <v>36000</v>
      </c>
      <c r="M17" s="656">
        <v>0.16</v>
      </c>
      <c r="N17" s="660"/>
    </row>
    <row r="18" spans="1:14" s="37" customFormat="1" ht="13">
      <c r="A18" s="662" t="s">
        <v>1590</v>
      </c>
      <c r="B18" s="662" t="s">
        <v>573</v>
      </c>
      <c r="C18" s="662" t="s">
        <v>942</v>
      </c>
      <c r="D18" s="660" t="e">
        <f>#REF!</f>
        <v>#REF!</v>
      </c>
      <c r="E18" s="660" t="e">
        <f>#REF!</f>
        <v>#REF!</v>
      </c>
      <c r="F18" s="34" t="e">
        <f>#REF!</f>
        <v>#REF!</v>
      </c>
      <c r="G18" s="54"/>
      <c r="H18" s="34" t="e">
        <f t="shared" si="0"/>
        <v>#REF!</v>
      </c>
      <c r="I18" s="45" t="e">
        <f>#REF!</f>
        <v>#REF!</v>
      </c>
      <c r="J18" s="58" t="e">
        <f>I18*'Conv Factors'!$C$53/'Conv Factors'!$B$7/L18/'Conv Factors'!$B$2/'Conv Factors'!$B$3/'Conv Factors'!$B$4*'Conv Factors'!$B$6</f>
        <v>#REF!</v>
      </c>
      <c r="K18" s="56"/>
      <c r="L18" s="656">
        <v>36000</v>
      </c>
      <c r="M18" s="656">
        <v>0.16</v>
      </c>
    </row>
    <row r="19" spans="1:14" s="37" customFormat="1" ht="13">
      <c r="A19" s="662" t="s">
        <v>1590</v>
      </c>
      <c r="B19" s="662" t="s">
        <v>575</v>
      </c>
      <c r="C19" s="662" t="s">
        <v>943</v>
      </c>
      <c r="D19" s="660" t="e">
        <f>#REF!</f>
        <v>#REF!</v>
      </c>
      <c r="E19" s="660" t="e">
        <f>#REF!</f>
        <v>#REF!</v>
      </c>
      <c r="F19" s="34" t="e">
        <f>#REF!</f>
        <v>#REF!</v>
      </c>
      <c r="G19" s="54"/>
      <c r="H19" s="34" t="e">
        <f t="shared" si="0"/>
        <v>#REF!</v>
      </c>
      <c r="I19" s="45" t="e">
        <f>#REF!</f>
        <v>#REF!</v>
      </c>
      <c r="J19" s="58" t="e">
        <f>I19*'Conv Factors'!$C$53/'Conv Factors'!$B$7/L19/'Conv Factors'!$B$2/'Conv Factors'!$B$3/'Conv Factors'!$B$4*'Conv Factors'!$B$6</f>
        <v>#REF!</v>
      </c>
      <c r="K19" s="56"/>
      <c r="L19" s="656">
        <v>36000</v>
      </c>
      <c r="M19" s="656">
        <v>0.16</v>
      </c>
      <c r="N19" s="662"/>
    </row>
    <row r="20" spans="1:14" s="37" customFormat="1" ht="13">
      <c r="A20" s="662" t="s">
        <v>1590</v>
      </c>
      <c r="B20" s="662" t="s">
        <v>577</v>
      </c>
      <c r="C20" s="662" t="s">
        <v>944</v>
      </c>
      <c r="D20" s="660" t="e">
        <f>#REF!</f>
        <v>#REF!</v>
      </c>
      <c r="E20" s="660" t="e">
        <f>#REF!</f>
        <v>#REF!</v>
      </c>
      <c r="F20" s="34" t="e">
        <f>#REF!</f>
        <v>#REF!</v>
      </c>
      <c r="G20" s="54"/>
      <c r="H20" s="34" t="e">
        <f t="shared" si="0"/>
        <v>#REF!</v>
      </c>
      <c r="I20" s="45" t="e">
        <f>#REF!</f>
        <v>#REF!</v>
      </c>
      <c r="J20" s="58" t="e">
        <f>I20*'Conv Factors'!$C$53/'Conv Factors'!$B$7/L20/'Conv Factors'!$B$2/'Conv Factors'!$B$3/'Conv Factors'!$B$4*'Conv Factors'!$B$6</f>
        <v>#REF!</v>
      </c>
      <c r="K20" s="56"/>
      <c r="L20" s="656">
        <v>36000</v>
      </c>
      <c r="M20" s="656">
        <v>0.16</v>
      </c>
    </row>
    <row r="21" spans="1:14">
      <c r="A21" s="662" t="s">
        <v>1590</v>
      </c>
      <c r="B21" s="662" t="s">
        <v>579</v>
      </c>
      <c r="C21" s="662" t="s">
        <v>945</v>
      </c>
      <c r="D21" s="660" t="e">
        <f>#REF!</f>
        <v>#REF!</v>
      </c>
      <c r="E21" s="660" t="e">
        <f>#REF!</f>
        <v>#REF!</v>
      </c>
      <c r="F21" s="34" t="e">
        <f>#REF!</f>
        <v>#REF!</v>
      </c>
      <c r="G21" s="660"/>
      <c r="H21" s="34" t="e">
        <f t="shared" si="0"/>
        <v>#REF!</v>
      </c>
      <c r="I21" s="45" t="e">
        <f>#REF!</f>
        <v>#REF!</v>
      </c>
      <c r="J21" s="58" t="e">
        <f>I21*'Conv Factors'!$C$53/'Conv Factors'!$B$7/L21/'Conv Factors'!$B$2/'Conv Factors'!$B$3/'Conv Factors'!$B$4*'Conv Factors'!$B$6</f>
        <v>#REF!</v>
      </c>
      <c r="K21" s="41"/>
      <c r="L21" s="656">
        <v>36000</v>
      </c>
      <c r="M21" s="656">
        <v>0.16</v>
      </c>
      <c r="N21" s="660"/>
    </row>
    <row r="22" spans="1:14">
      <c r="A22" s="660"/>
      <c r="B22" s="662"/>
      <c r="C22" s="662"/>
      <c r="D22" s="660"/>
      <c r="E22" s="660"/>
      <c r="F22" s="660"/>
      <c r="G22" s="660"/>
      <c r="H22" s="34"/>
      <c r="I22" s="660"/>
      <c r="J22" s="58"/>
      <c r="K22" s="41"/>
      <c r="L22" s="56"/>
      <c r="M22" s="656"/>
      <c r="N22" s="660"/>
    </row>
    <row r="23" spans="1:14" ht="13">
      <c r="A23" s="662" t="s">
        <v>1590</v>
      </c>
      <c r="B23" s="662" t="s">
        <v>949</v>
      </c>
      <c r="C23" s="662" t="s">
        <v>950</v>
      </c>
      <c r="D23" s="660"/>
      <c r="E23" s="660"/>
      <c r="F23" s="660"/>
      <c r="G23" s="660"/>
      <c r="H23" s="59">
        <f>USDemand!C263</f>
        <v>0.81440001726150502</v>
      </c>
      <c r="I23" s="660"/>
      <c r="J23" s="58"/>
      <c r="K23" s="41"/>
      <c r="L23" s="656"/>
      <c r="M23" s="656">
        <v>0.16</v>
      </c>
      <c r="N23" s="660"/>
    </row>
    <row r="24" spans="1:14" ht="10.5" customHeight="1">
      <c r="A24" s="662" t="s">
        <v>1590</v>
      </c>
      <c r="B24" s="662" t="s">
        <v>951</v>
      </c>
      <c r="C24" s="662" t="s">
        <v>952</v>
      </c>
      <c r="D24" s="660" t="e">
        <f>#REF!</f>
        <v>#REF!</v>
      </c>
      <c r="E24" s="660" t="e">
        <f>#REF!</f>
        <v>#REF!</v>
      </c>
      <c r="F24" s="660" t="e">
        <f>#REF!</f>
        <v>#REF!</v>
      </c>
      <c r="G24" s="660"/>
      <c r="H24" s="34" t="e">
        <f t="shared" ref="H24:H27" si="3">F24</f>
        <v>#REF!</v>
      </c>
      <c r="I24" s="660" t="e">
        <f>#REF!</f>
        <v>#REF!</v>
      </c>
      <c r="J24" s="58" t="e">
        <f>I24*'Conv Factors'!$C$53/'Conv Factors'!$B$7/L24/'Conv Factors'!$B$2/'Conv Factors'!$B$3/'Conv Factors'!$B$4*'Conv Factors'!$B$6</f>
        <v>#REF!</v>
      </c>
      <c r="K24" s="41"/>
      <c r="L24" s="656">
        <v>50000</v>
      </c>
      <c r="M24" s="656">
        <v>0.16</v>
      </c>
      <c r="N24" s="660"/>
    </row>
    <row r="25" spans="1:14">
      <c r="A25" s="662" t="s">
        <v>1590</v>
      </c>
      <c r="B25" s="662" t="s">
        <v>953</v>
      </c>
      <c r="C25" s="662" t="s">
        <v>954</v>
      </c>
      <c r="D25" s="660" t="e">
        <f>#REF!</f>
        <v>#REF!</v>
      </c>
      <c r="E25" s="660" t="e">
        <f>#REF!</f>
        <v>#REF!</v>
      </c>
      <c r="F25" s="660" t="e">
        <f>#REF!</f>
        <v>#REF!</v>
      </c>
      <c r="G25" s="660"/>
      <c r="H25" s="34" t="e">
        <f t="shared" si="3"/>
        <v>#REF!</v>
      </c>
      <c r="I25" s="660" t="e">
        <f>#REF!</f>
        <v>#REF!</v>
      </c>
      <c r="J25" s="58" t="e">
        <f>I25*'Conv Factors'!$C$53/'Conv Factors'!$B$7/L25/'Conv Factors'!$B$2/'Conv Factors'!$B$3/'Conv Factors'!$B$4*'Conv Factors'!$B$6</f>
        <v>#REF!</v>
      </c>
      <c r="K25" s="41"/>
      <c r="L25" s="656">
        <v>50000</v>
      </c>
      <c r="M25" s="656">
        <v>0.16</v>
      </c>
      <c r="N25" s="660"/>
    </row>
    <row r="26" spans="1:14">
      <c r="A26" s="662" t="s">
        <v>1590</v>
      </c>
      <c r="B26" s="662" t="s">
        <v>955</v>
      </c>
      <c r="C26" s="662" t="s">
        <v>956</v>
      </c>
      <c r="D26" s="660" t="e">
        <f>#REF!</f>
        <v>#REF!</v>
      </c>
      <c r="E26" s="660" t="e">
        <f>#REF!</f>
        <v>#REF!</v>
      </c>
      <c r="F26" s="660" t="e">
        <f>#REF!</f>
        <v>#REF!</v>
      </c>
      <c r="G26" s="660"/>
      <c r="H26" s="34" t="e">
        <f t="shared" si="3"/>
        <v>#REF!</v>
      </c>
      <c r="I26" s="660" t="e">
        <f>#REF!</f>
        <v>#REF!</v>
      </c>
      <c r="J26" s="58" t="e">
        <f>I26*'Conv Factors'!$C$53/'Conv Factors'!$B$7/L26/'Conv Factors'!$B$2/'Conv Factors'!$B$3/'Conv Factors'!$B$4*'Conv Factors'!$B$6</f>
        <v>#REF!</v>
      </c>
      <c r="K26" s="41"/>
      <c r="L26" s="656">
        <v>50000</v>
      </c>
      <c r="M26" s="656">
        <v>0.16</v>
      </c>
      <c r="N26" s="660"/>
    </row>
    <row r="27" spans="1:14">
      <c r="A27" s="662" t="s">
        <v>1590</v>
      </c>
      <c r="B27" s="662" t="s">
        <v>957</v>
      </c>
      <c r="C27" s="662" t="s">
        <v>958</v>
      </c>
      <c r="D27" s="660" t="e">
        <f>#REF!</f>
        <v>#REF!</v>
      </c>
      <c r="E27" s="660" t="e">
        <f>#REF!</f>
        <v>#REF!</v>
      </c>
      <c r="F27" s="660" t="e">
        <f>#REF!</f>
        <v>#REF!</v>
      </c>
      <c r="G27" s="660"/>
      <c r="H27" s="34" t="e">
        <f t="shared" si="3"/>
        <v>#REF!</v>
      </c>
      <c r="I27" s="660" t="e">
        <f>#REF!</f>
        <v>#REF!</v>
      </c>
      <c r="J27" s="58" t="e">
        <f>I27*'Conv Factors'!$C$53/'Conv Factors'!$B$7/L27/'Conv Factors'!$B$2/'Conv Factors'!$B$3/'Conv Factors'!$B$4*'Conv Factors'!$B$6</f>
        <v>#REF!</v>
      </c>
      <c r="K27" s="41"/>
      <c r="L27" s="656">
        <v>50000</v>
      </c>
      <c r="M27" s="656">
        <v>0.16</v>
      </c>
      <c r="N27" s="660"/>
    </row>
    <row r="28" spans="1:14">
      <c r="A28" s="662" t="s">
        <v>1590</v>
      </c>
      <c r="B28" s="662" t="s">
        <v>959</v>
      </c>
      <c r="C28" s="662" t="s">
        <v>960</v>
      </c>
      <c r="D28" s="660" t="e">
        <f>#REF!</f>
        <v>#REF!</v>
      </c>
      <c r="E28" s="660" t="e">
        <f>#REF!</f>
        <v>#REF!</v>
      </c>
      <c r="F28" s="660" t="e">
        <f>#REF!</f>
        <v>#REF!</v>
      </c>
      <c r="G28" s="660"/>
      <c r="H28" s="34" t="e">
        <f t="shared" ref="H28" si="4">F28</f>
        <v>#REF!</v>
      </c>
      <c r="I28" s="660" t="e">
        <f>#REF!</f>
        <v>#REF!</v>
      </c>
      <c r="J28" s="58" t="e">
        <f>I28*'Conv Factors'!$C$53/'Conv Factors'!$B$7/L28/'Conv Factors'!$B$2/'Conv Factors'!$B$3/'Conv Factors'!$B$4*'Conv Factors'!$B$6</f>
        <v>#REF!</v>
      </c>
      <c r="K28" s="41"/>
      <c r="L28" s="656">
        <v>50000</v>
      </c>
      <c r="M28" s="656">
        <v>0.16</v>
      </c>
      <c r="N28" s="660"/>
    </row>
    <row r="29" spans="1:14">
      <c r="A29" s="660"/>
      <c r="B29" s="662"/>
      <c r="C29" s="662"/>
      <c r="D29" s="660"/>
      <c r="E29" s="660"/>
      <c r="F29" s="660"/>
      <c r="G29" s="660"/>
      <c r="H29" s="34"/>
      <c r="I29" s="660"/>
      <c r="J29" s="58"/>
      <c r="K29" s="41"/>
      <c r="L29" s="656"/>
      <c r="M29" s="656"/>
      <c r="N29" s="660"/>
    </row>
    <row r="30" spans="1:14" ht="13">
      <c r="A30" s="662" t="s">
        <v>1590</v>
      </c>
      <c r="B30" s="662" t="s">
        <v>962</v>
      </c>
      <c r="C30" s="662" t="s">
        <v>963</v>
      </c>
      <c r="D30" s="660"/>
      <c r="E30" s="660"/>
      <c r="F30" s="660"/>
      <c r="G30" s="660"/>
      <c r="H30" s="59" t="e">
        <f>#REF!</f>
        <v>#REF!</v>
      </c>
      <c r="I30" s="660"/>
      <c r="J30" s="660"/>
      <c r="K30" s="660"/>
      <c r="L30" s="656"/>
      <c r="M30" s="656">
        <v>0.16</v>
      </c>
      <c r="N30" s="660"/>
    </row>
    <row r="31" spans="1:14">
      <c r="A31" s="662" t="s">
        <v>1590</v>
      </c>
      <c r="B31" s="662" t="s">
        <v>964</v>
      </c>
      <c r="C31" s="662" t="s">
        <v>965</v>
      </c>
      <c r="D31" s="660" t="e">
        <f>#REF!</f>
        <v>#REF!</v>
      </c>
      <c r="E31" s="660" t="e">
        <f>#REF!</f>
        <v>#REF!</v>
      </c>
      <c r="F31" s="660" t="e">
        <f>#REF!</f>
        <v>#REF!</v>
      </c>
      <c r="G31" s="660"/>
      <c r="H31" s="34" t="e">
        <f>F31</f>
        <v>#REF!</v>
      </c>
      <c r="I31" s="660" t="e">
        <f>#REF!</f>
        <v>#REF!</v>
      </c>
      <c r="J31" s="58" t="e">
        <f>I31*'Conv Factors'!$C$53/'Conv Factors'!$B$7/L31/'Conv Factors'!$B$2/'Conv Factors'!$B$3/'Conv Factors'!$B$4*'Conv Factors'!$B$6</f>
        <v>#REF!</v>
      </c>
      <c r="K31" s="41"/>
      <c r="L31" s="656">
        <v>50000</v>
      </c>
      <c r="M31" s="656">
        <v>0.16</v>
      </c>
      <c r="N31" s="660"/>
    </row>
    <row r="32" spans="1:14">
      <c r="A32" s="662" t="s">
        <v>1590</v>
      </c>
      <c r="B32" s="662" t="s">
        <v>966</v>
      </c>
      <c r="C32" s="662" t="s">
        <v>967</v>
      </c>
      <c r="D32" s="660" t="e">
        <f>#REF!</f>
        <v>#REF!</v>
      </c>
      <c r="E32" s="660" t="e">
        <f>#REF!</f>
        <v>#REF!</v>
      </c>
      <c r="F32" s="660" t="e">
        <f>#REF!</f>
        <v>#REF!</v>
      </c>
      <c r="G32" s="660"/>
      <c r="H32" s="34" t="e">
        <f t="shared" ref="H32:H33" si="5">F32</f>
        <v>#REF!</v>
      </c>
      <c r="I32" s="660" t="e">
        <f>#REF!</f>
        <v>#REF!</v>
      </c>
      <c r="J32" s="58" t="e">
        <f>I32*'Conv Factors'!$C$53/'Conv Factors'!$B$7/L32/'Conv Factors'!$B$2/'Conv Factors'!$B$3/'Conv Factors'!$B$4*'Conv Factors'!$B$6</f>
        <v>#REF!</v>
      </c>
      <c r="K32" s="41"/>
      <c r="L32" s="656">
        <v>50000</v>
      </c>
      <c r="M32" s="656">
        <v>0.16</v>
      </c>
      <c r="N32" s="660"/>
    </row>
    <row r="33" spans="1:13">
      <c r="A33" s="662" t="s">
        <v>1590</v>
      </c>
      <c r="B33" s="662" t="s">
        <v>968</v>
      </c>
      <c r="C33" s="662" t="s">
        <v>969</v>
      </c>
      <c r="D33" s="660" t="e">
        <f>#REF!</f>
        <v>#REF!</v>
      </c>
      <c r="E33" s="660" t="e">
        <f>#REF!</f>
        <v>#REF!</v>
      </c>
      <c r="F33" s="660" t="e">
        <f>#REF!</f>
        <v>#REF!</v>
      </c>
      <c r="G33" s="660"/>
      <c r="H33" s="34" t="e">
        <f t="shared" si="5"/>
        <v>#REF!</v>
      </c>
      <c r="I33" s="660" t="e">
        <f>#REF!</f>
        <v>#REF!</v>
      </c>
      <c r="J33" s="58" t="e">
        <f>I33*'Conv Factors'!$C$53/'Conv Factors'!$B$7/L33/'Conv Factors'!$B$2/'Conv Factors'!$B$3/'Conv Factors'!$B$4*'Conv Factors'!$B$6</f>
        <v>#REF!</v>
      </c>
      <c r="K33" s="41"/>
      <c r="L33" s="656">
        <v>50000</v>
      </c>
      <c r="M33" s="656">
        <v>0.16</v>
      </c>
    </row>
    <row r="34" spans="1:13">
      <c r="A34" s="662" t="s">
        <v>1590</v>
      </c>
      <c r="B34" s="662" t="s">
        <v>970</v>
      </c>
      <c r="C34" s="662" t="s">
        <v>971</v>
      </c>
      <c r="D34" s="660" t="e">
        <f>#REF!</f>
        <v>#REF!</v>
      </c>
      <c r="E34" s="660" t="e">
        <f>#REF!</f>
        <v>#REF!</v>
      </c>
      <c r="F34" s="660" t="e">
        <f>#REF!</f>
        <v>#REF!</v>
      </c>
      <c r="G34" s="660"/>
      <c r="H34" s="34" t="e">
        <f>F34</f>
        <v>#REF!</v>
      </c>
      <c r="I34" s="660" t="e">
        <f>#REF!</f>
        <v>#REF!</v>
      </c>
      <c r="J34" s="58" t="e">
        <f>I34*'Conv Factors'!$C$53/'Conv Factors'!$B$7/L34/'Conv Factors'!$B$2/'Conv Factors'!$B$3/'Conv Factors'!$B$4*'Conv Factors'!$B$6</f>
        <v>#REF!</v>
      </c>
      <c r="K34" s="41"/>
      <c r="L34" s="656">
        <v>50000</v>
      </c>
      <c r="M34" s="656">
        <v>0.16</v>
      </c>
    </row>
    <row r="35" spans="1:13">
      <c r="A35" s="660"/>
      <c r="B35" s="662"/>
      <c r="C35" s="662"/>
      <c r="D35" s="660"/>
      <c r="E35" s="660"/>
      <c r="F35" s="660"/>
      <c r="G35" s="660"/>
      <c r="H35" s="34"/>
      <c r="I35" s="660"/>
      <c r="J35" s="58"/>
      <c r="K35" s="41"/>
      <c r="L35" s="656"/>
      <c r="M35" s="656"/>
    </row>
    <row r="36" spans="1:13" ht="13">
      <c r="A36" s="662" t="s">
        <v>1590</v>
      </c>
      <c r="B36" s="662" t="s">
        <v>1593</v>
      </c>
      <c r="C36" s="662" t="s">
        <v>1594</v>
      </c>
      <c r="D36" s="660"/>
      <c r="E36" s="660"/>
      <c r="F36" s="660"/>
      <c r="G36" s="660"/>
      <c r="H36" s="59" t="e">
        <f>#REF!</f>
        <v>#REF!</v>
      </c>
      <c r="I36" s="660"/>
      <c r="J36" s="58"/>
      <c r="K36" s="41"/>
      <c r="L36" s="656"/>
      <c r="M36" s="656">
        <v>0.16</v>
      </c>
    </row>
    <row r="37" spans="1:13">
      <c r="A37" s="662" t="s">
        <v>1590</v>
      </c>
      <c r="B37" s="662" t="s">
        <v>1595</v>
      </c>
      <c r="C37" s="662" t="s">
        <v>1596</v>
      </c>
      <c r="D37" s="660" t="e">
        <f>#REF!</f>
        <v>#REF!</v>
      </c>
      <c r="E37" s="660" t="e">
        <f>#REF!</f>
        <v>#REF!</v>
      </c>
      <c r="F37" s="660" t="e">
        <f>#REF!</f>
        <v>#REF!</v>
      </c>
      <c r="G37" s="660"/>
      <c r="H37" s="34" t="e">
        <f>F37</f>
        <v>#REF!</v>
      </c>
      <c r="I37" s="660" t="e">
        <f>#REF!</f>
        <v>#REF!</v>
      </c>
      <c r="J37" s="58" t="e">
        <f>I37*'Conv Factors'!$C$53/'Conv Factors'!$B$7/L37/'Conv Factors'!$B$2/'Conv Factors'!$B$3/'Conv Factors'!$B$4*'Conv Factors'!$B$6</f>
        <v>#REF!</v>
      </c>
      <c r="K37" s="41"/>
      <c r="L37" s="656">
        <v>50000</v>
      </c>
      <c r="M37" s="656">
        <v>0.16</v>
      </c>
    </row>
    <row r="38" spans="1:13">
      <c r="A38" s="662" t="s">
        <v>1590</v>
      </c>
      <c r="B38" s="662" t="s">
        <v>1597</v>
      </c>
      <c r="C38" s="662" t="s">
        <v>1598</v>
      </c>
      <c r="D38" s="660" t="e">
        <f>#REF!</f>
        <v>#REF!</v>
      </c>
      <c r="E38" s="660" t="e">
        <f>#REF!</f>
        <v>#REF!</v>
      </c>
      <c r="F38" s="660" t="e">
        <f>#REF!</f>
        <v>#REF!</v>
      </c>
      <c r="G38" s="660"/>
      <c r="H38" s="34" t="e">
        <f>F38</f>
        <v>#REF!</v>
      </c>
      <c r="I38" s="660" t="e">
        <f>#REF!</f>
        <v>#REF!</v>
      </c>
      <c r="J38" s="58" t="e">
        <f>I38*'Conv Factors'!$C$53/'Conv Factors'!$B$7/L38/'Conv Factors'!$B$2/'Conv Factors'!$B$3/'Conv Factors'!$B$4*'Conv Factors'!$B$6</f>
        <v>#REF!</v>
      </c>
      <c r="K38" s="41"/>
      <c r="L38" s="656">
        <v>50000</v>
      </c>
      <c r="M38" s="656">
        <v>0.16</v>
      </c>
    </row>
    <row r="39" spans="1:13">
      <c r="A39" s="662" t="s">
        <v>1590</v>
      </c>
      <c r="B39" s="662" t="s">
        <v>1599</v>
      </c>
      <c r="C39" s="662" t="s">
        <v>1600</v>
      </c>
      <c r="D39" s="660" t="e">
        <f>#REF!</f>
        <v>#REF!</v>
      </c>
      <c r="E39" s="660" t="e">
        <f>#REF!</f>
        <v>#REF!</v>
      </c>
      <c r="F39" s="660" t="e">
        <f>#REF!</f>
        <v>#REF!</v>
      </c>
      <c r="G39" s="660"/>
      <c r="H39" s="34" t="e">
        <f>F39</f>
        <v>#REF!</v>
      </c>
      <c r="I39" s="660" t="e">
        <f>#REF!</f>
        <v>#REF!</v>
      </c>
      <c r="J39" s="58" t="e">
        <f>I39*'Conv Factors'!$C$53/'Conv Factors'!$B$7/L39/'Conv Factors'!$B$2/'Conv Factors'!$B$3/'Conv Factors'!$B$4*'Conv Factors'!$B$6</f>
        <v>#REF!</v>
      </c>
      <c r="K39" s="41"/>
      <c r="L39" s="656">
        <v>50000</v>
      </c>
      <c r="M39" s="656">
        <v>0.16</v>
      </c>
    </row>
    <row r="40" spans="1:13">
      <c r="A40" s="662" t="s">
        <v>1590</v>
      </c>
      <c r="B40" s="662" t="s">
        <v>1601</v>
      </c>
      <c r="C40" s="662" t="s">
        <v>1602</v>
      </c>
      <c r="D40" s="660" t="e">
        <f>#REF!</f>
        <v>#REF!</v>
      </c>
      <c r="E40" s="660" t="e">
        <f>#REF!</f>
        <v>#REF!</v>
      </c>
      <c r="F40" s="660" t="e">
        <f>#REF!</f>
        <v>#REF!</v>
      </c>
      <c r="G40" s="660"/>
      <c r="H40" s="34" t="e">
        <f>F40</f>
        <v>#REF!</v>
      </c>
      <c r="I40" s="660" t="e">
        <f>#REF!</f>
        <v>#REF!</v>
      </c>
      <c r="J40" s="58" t="e">
        <f>I40*'Conv Factors'!$C$53/'Conv Factors'!$B$7/L40/'Conv Factors'!$B$2/'Conv Factors'!$B$3/'Conv Factors'!$B$4*'Conv Factors'!$B$6</f>
        <v>#REF!</v>
      </c>
      <c r="K40" s="41"/>
      <c r="L40" s="656">
        <v>50000</v>
      </c>
      <c r="M40" s="656">
        <v>0.16</v>
      </c>
    </row>
    <row r="41" spans="1:13">
      <c r="A41" s="660"/>
      <c r="B41" s="660"/>
      <c r="C41" s="660"/>
      <c r="D41" s="660"/>
      <c r="E41" s="660"/>
      <c r="F41" s="660"/>
      <c r="G41" s="660"/>
      <c r="H41" s="34"/>
      <c r="I41" s="660"/>
      <c r="J41" s="58"/>
      <c r="K41" s="41"/>
      <c r="L41" s="656"/>
      <c r="M41" s="656"/>
    </row>
    <row r="42" spans="1:13" ht="13">
      <c r="A42" s="660" t="s">
        <v>1590</v>
      </c>
      <c r="B42" s="662" t="s">
        <v>1603</v>
      </c>
      <c r="C42" s="662" t="s">
        <v>1604</v>
      </c>
      <c r="D42" s="660"/>
      <c r="E42" s="660"/>
      <c r="F42" s="660"/>
      <c r="G42" s="660"/>
      <c r="H42" s="59" t="e">
        <f>#REF!</f>
        <v>#REF!</v>
      </c>
      <c r="I42" s="660"/>
      <c r="J42" s="58"/>
      <c r="K42" s="41"/>
      <c r="L42" s="656"/>
      <c r="M42" s="656">
        <v>0.16</v>
      </c>
    </row>
    <row r="43" spans="1:13" s="37" customFormat="1" ht="13">
      <c r="A43" s="660" t="s">
        <v>1590</v>
      </c>
      <c r="B43" s="662" t="s">
        <v>1605</v>
      </c>
      <c r="C43" s="662" t="s">
        <v>1606</v>
      </c>
      <c r="D43" s="660" t="e">
        <f>#REF!</f>
        <v>#REF!</v>
      </c>
      <c r="E43" s="660" t="e">
        <f>#REF!</f>
        <v>#REF!</v>
      </c>
      <c r="F43" s="660" t="e">
        <f>#REF!</f>
        <v>#REF!</v>
      </c>
      <c r="G43" s="54"/>
      <c r="H43" s="58" t="e">
        <f t="shared" ref="H43:H46" si="6">F43</f>
        <v>#REF!</v>
      </c>
      <c r="I43" s="660" t="e">
        <f>#REF!</f>
        <v>#REF!</v>
      </c>
      <c r="J43" s="58" t="e">
        <f>I43*'Conv Factors'!$C$53/'Conv Factors'!$B$7/L43/'Conv Factors'!$B$2/'Conv Factors'!$B$3/'Conv Factors'!$B$4*'Conv Factors'!$B$6</f>
        <v>#REF!</v>
      </c>
      <c r="K43" s="56"/>
      <c r="L43" s="656">
        <v>50000</v>
      </c>
      <c r="M43" s="656">
        <v>0.16</v>
      </c>
    </row>
    <row r="44" spans="1:13">
      <c r="A44" s="660" t="s">
        <v>1590</v>
      </c>
      <c r="B44" s="662" t="s">
        <v>1607</v>
      </c>
      <c r="C44" s="662" t="s">
        <v>1608</v>
      </c>
      <c r="D44" s="660" t="e">
        <f>#REF!</f>
        <v>#REF!</v>
      </c>
      <c r="E44" s="660" t="e">
        <f>#REF!</f>
        <v>#REF!</v>
      </c>
      <c r="F44" s="660" t="e">
        <f>#REF!</f>
        <v>#REF!</v>
      </c>
      <c r="G44" s="660"/>
      <c r="H44" s="58" t="e">
        <f t="shared" si="6"/>
        <v>#REF!</v>
      </c>
      <c r="I44" s="660" t="e">
        <f>#REF!</f>
        <v>#REF!</v>
      </c>
      <c r="J44" s="58" t="e">
        <f>I44*'Conv Factors'!$C$53/'Conv Factors'!$B$7/L44/'Conv Factors'!$B$2/'Conv Factors'!$B$3/'Conv Factors'!$B$4*'Conv Factors'!$B$6</f>
        <v>#REF!</v>
      </c>
      <c r="K44" s="41"/>
      <c r="L44" s="56">
        <v>50000</v>
      </c>
      <c r="M44" s="656">
        <v>0.16</v>
      </c>
    </row>
    <row r="45" spans="1:13">
      <c r="A45" s="660" t="s">
        <v>1590</v>
      </c>
      <c r="B45" s="662" t="s">
        <v>1609</v>
      </c>
      <c r="C45" s="662" t="s">
        <v>1610</v>
      </c>
      <c r="D45" s="660" t="e">
        <f>#REF!</f>
        <v>#REF!</v>
      </c>
      <c r="E45" s="660" t="e">
        <f>#REF!</f>
        <v>#REF!</v>
      </c>
      <c r="F45" s="660" t="e">
        <f>#REF!</f>
        <v>#REF!</v>
      </c>
      <c r="G45" s="660"/>
      <c r="H45" s="58" t="e">
        <f t="shared" si="6"/>
        <v>#REF!</v>
      </c>
      <c r="I45" s="660" t="e">
        <f>#REF!</f>
        <v>#REF!</v>
      </c>
      <c r="J45" s="58" t="e">
        <f>I45*'Conv Factors'!$C$53/'Conv Factors'!$B$7/L45/'Conv Factors'!$B$2/'Conv Factors'!$B$3/'Conv Factors'!$B$4*'Conv Factors'!$B$6</f>
        <v>#REF!</v>
      </c>
      <c r="K45" s="41"/>
      <c r="L45" s="656">
        <v>50000</v>
      </c>
      <c r="M45" s="656">
        <v>0.16</v>
      </c>
    </row>
    <row r="46" spans="1:13">
      <c r="A46" s="660" t="s">
        <v>1590</v>
      </c>
      <c r="B46" s="662" t="s">
        <v>1611</v>
      </c>
      <c r="C46" s="662" t="s">
        <v>1612</v>
      </c>
      <c r="D46" s="660" t="e">
        <f>#REF!</f>
        <v>#REF!</v>
      </c>
      <c r="E46" s="660" t="e">
        <f>#REF!</f>
        <v>#REF!</v>
      </c>
      <c r="F46" s="660" t="e">
        <f>#REF!</f>
        <v>#REF!</v>
      </c>
      <c r="G46" s="660"/>
      <c r="H46" s="58" t="e">
        <f t="shared" si="6"/>
        <v>#REF!</v>
      </c>
      <c r="I46" s="660" t="e">
        <f>#REF!</f>
        <v>#REF!</v>
      </c>
      <c r="J46" s="58" t="e">
        <f>I46*'Conv Factors'!$C$53/'Conv Factors'!$B$7/L46/'Conv Factors'!$B$2/'Conv Factors'!$B$3/'Conv Factors'!$B$4*'Conv Factors'!$B$6</f>
        <v>#REF!</v>
      </c>
      <c r="K46" s="41"/>
      <c r="L46" s="656">
        <v>50000</v>
      </c>
      <c r="M46" s="656">
        <v>0.16</v>
      </c>
    </row>
    <row r="47" spans="1:13" s="37" customFormat="1" ht="13">
      <c r="A47" s="660" t="s">
        <v>1590</v>
      </c>
      <c r="B47" s="662" t="s">
        <v>1613</v>
      </c>
      <c r="C47" s="662" t="s">
        <v>1614</v>
      </c>
      <c r="D47" s="660" t="e">
        <f>#REF!</f>
        <v>#REF!</v>
      </c>
      <c r="E47" s="660" t="e">
        <f>#REF!</f>
        <v>#REF!</v>
      </c>
      <c r="F47" s="660" t="e">
        <f>#REF!</f>
        <v>#REF!</v>
      </c>
      <c r="G47" s="660"/>
      <c r="H47" s="58" t="e">
        <f t="shared" ref="H47" si="7">F47</f>
        <v>#REF!</v>
      </c>
      <c r="I47" s="660" t="e">
        <f>#REF!</f>
        <v>#REF!</v>
      </c>
      <c r="J47" s="58" t="e">
        <f>I47*'Conv Factors'!$C$53/'Conv Factors'!$B$7/L47/'Conv Factors'!$B$2/'Conv Factors'!$B$3/'Conv Factors'!$B$4*'Conv Factors'!$B$6</f>
        <v>#REF!</v>
      </c>
      <c r="K47" s="41"/>
      <c r="L47" s="656">
        <v>50000</v>
      </c>
      <c r="M47" s="656">
        <v>0.16</v>
      </c>
    </row>
    <row r="48" spans="1:13">
      <c r="A48" s="660"/>
      <c r="B48" s="662"/>
      <c r="C48" s="662"/>
      <c r="D48" s="660"/>
      <c r="E48" s="660"/>
      <c r="F48" s="660"/>
      <c r="G48" s="660"/>
      <c r="H48" s="34"/>
      <c r="I48" s="660"/>
      <c r="J48" s="58"/>
      <c r="K48" s="41"/>
      <c r="L48" s="656"/>
      <c r="M48" s="656"/>
    </row>
    <row r="49" spans="1:13" ht="13">
      <c r="A49" s="660" t="s">
        <v>1590</v>
      </c>
      <c r="B49" s="662" t="s">
        <v>974</v>
      </c>
      <c r="C49" s="662" t="s">
        <v>975</v>
      </c>
      <c r="D49" s="660"/>
      <c r="E49" s="660"/>
      <c r="F49" s="660"/>
      <c r="G49" s="660"/>
      <c r="H49" s="59">
        <f>USDemand!C264</f>
        <v>0.81739997863769498</v>
      </c>
      <c r="I49" s="660"/>
      <c r="J49" s="58"/>
      <c r="K49" s="41"/>
      <c r="L49" s="656"/>
      <c r="M49" s="656">
        <v>0.16</v>
      </c>
    </row>
    <row r="50" spans="1:13">
      <c r="A50" s="660" t="s">
        <v>1590</v>
      </c>
      <c r="B50" s="662" t="s">
        <v>976</v>
      </c>
      <c r="C50" s="662" t="s">
        <v>977</v>
      </c>
      <c r="D50" s="660" t="e">
        <f>#REF!</f>
        <v>#REF!</v>
      </c>
      <c r="E50" s="660" t="e">
        <f>#REF!</f>
        <v>#REF!</v>
      </c>
      <c r="F50" s="660" t="e">
        <f>#REF!</f>
        <v>#REF!</v>
      </c>
      <c r="G50" s="660"/>
      <c r="H50" s="34" t="e">
        <f>F50</f>
        <v>#REF!</v>
      </c>
      <c r="I50" s="660" t="e">
        <f>#REF!</f>
        <v>#REF!</v>
      </c>
      <c r="J50" s="58" t="e">
        <f>I50*'Conv Factors'!$C$53/'Conv Factors'!$B$7/L50/'Conv Factors'!$B$2/'Conv Factors'!$B$3/'Conv Factors'!$B$4*'Conv Factors'!$B$6</f>
        <v>#REF!</v>
      </c>
      <c r="K50" s="41"/>
      <c r="L50" s="656">
        <v>50000</v>
      </c>
      <c r="M50" s="656">
        <v>0.16</v>
      </c>
    </row>
    <row r="51" spans="1:13">
      <c r="A51" s="660" t="s">
        <v>1590</v>
      </c>
      <c r="B51" s="662" t="s">
        <v>978</v>
      </c>
      <c r="C51" s="662" t="s">
        <v>979</v>
      </c>
      <c r="D51" s="660" t="e">
        <f>#REF!</f>
        <v>#REF!</v>
      </c>
      <c r="E51" s="660" t="e">
        <f>#REF!</f>
        <v>#REF!</v>
      </c>
      <c r="F51" s="660" t="e">
        <f>#REF!</f>
        <v>#REF!</v>
      </c>
      <c r="G51" s="660"/>
      <c r="H51" s="34" t="e">
        <f>F51</f>
        <v>#REF!</v>
      </c>
      <c r="I51" s="660" t="e">
        <f>#REF!</f>
        <v>#REF!</v>
      </c>
      <c r="J51" s="58" t="e">
        <f>I51*'Conv Factors'!$C$53/'Conv Factors'!$B$7/L51/'Conv Factors'!$B$2/'Conv Factors'!$B$3/'Conv Factors'!$B$4*'Conv Factors'!$B$6</f>
        <v>#REF!</v>
      </c>
      <c r="K51" s="41"/>
      <c r="L51" s="656">
        <v>50000</v>
      </c>
      <c r="M51" s="656">
        <v>0.16</v>
      </c>
    </row>
    <row r="52" spans="1:13">
      <c r="A52" s="660" t="s">
        <v>1590</v>
      </c>
      <c r="B52" s="662" t="s">
        <v>980</v>
      </c>
      <c r="C52" s="662" t="s">
        <v>981</v>
      </c>
      <c r="D52" s="660" t="e">
        <f>#REF!</f>
        <v>#REF!</v>
      </c>
      <c r="E52" s="660" t="e">
        <f>#REF!</f>
        <v>#REF!</v>
      </c>
      <c r="F52" s="660" t="e">
        <f>#REF!</f>
        <v>#REF!</v>
      </c>
      <c r="G52" s="660"/>
      <c r="H52" s="34" t="e">
        <f>F52</f>
        <v>#REF!</v>
      </c>
      <c r="I52" s="660" t="e">
        <f>#REF!</f>
        <v>#REF!</v>
      </c>
      <c r="J52" s="58" t="e">
        <f>I52*'Conv Factors'!$C$53/'Conv Factors'!$B$7/L52/'Conv Factors'!$B$2/'Conv Factors'!$B$3/'Conv Factors'!$B$4*'Conv Factors'!$B$6</f>
        <v>#REF!</v>
      </c>
      <c r="K52" s="41"/>
      <c r="L52" s="656">
        <v>50000</v>
      </c>
      <c r="M52" s="656">
        <v>0.16</v>
      </c>
    </row>
    <row r="53" spans="1:13">
      <c r="A53" s="660" t="s">
        <v>1590</v>
      </c>
      <c r="B53" s="662" t="s">
        <v>982</v>
      </c>
      <c r="C53" s="662" t="s">
        <v>983</v>
      </c>
      <c r="D53" s="660" t="e">
        <f>#REF!</f>
        <v>#REF!</v>
      </c>
      <c r="E53" s="660" t="e">
        <f>#REF!</f>
        <v>#REF!</v>
      </c>
      <c r="F53" s="660" t="e">
        <f>#REF!</f>
        <v>#REF!</v>
      </c>
      <c r="G53" s="660"/>
      <c r="H53" s="34" t="e">
        <f>F53</f>
        <v>#REF!</v>
      </c>
      <c r="I53" s="660" t="e">
        <f>#REF!</f>
        <v>#REF!</v>
      </c>
      <c r="J53" s="58" t="e">
        <f>I53*'Conv Factors'!$C$53/'Conv Factors'!$B$7/L53/'Conv Factors'!$B$2/'Conv Factors'!$B$3/'Conv Factors'!$B$4*'Conv Factors'!$B$6</f>
        <v>#REF!</v>
      </c>
      <c r="K53" s="41"/>
      <c r="L53" s="656">
        <v>50000</v>
      </c>
      <c r="M53" s="656">
        <v>0.16</v>
      </c>
    </row>
    <row r="54" spans="1:13">
      <c r="A54" s="660"/>
      <c r="B54" s="660"/>
      <c r="C54" s="660"/>
      <c r="D54" s="660"/>
      <c r="E54" s="660"/>
      <c r="F54" s="660"/>
      <c r="G54" s="660"/>
      <c r="H54" s="34"/>
      <c r="I54" s="660"/>
      <c r="J54" s="58"/>
      <c r="K54" s="41"/>
      <c r="L54" s="656"/>
      <c r="M54" s="656"/>
    </row>
    <row r="55" spans="1:13" ht="13">
      <c r="A55" s="660" t="s">
        <v>1590</v>
      </c>
      <c r="B55" s="662" t="s">
        <v>985</v>
      </c>
      <c r="C55" s="662" t="s">
        <v>986</v>
      </c>
      <c r="D55" s="660"/>
      <c r="E55" s="660"/>
      <c r="F55" s="660"/>
      <c r="G55" s="660"/>
      <c r="H55" s="59" t="e">
        <f>#REF!</f>
        <v>#REF!</v>
      </c>
      <c r="I55" s="660"/>
      <c r="J55" s="58"/>
      <c r="K55" s="41"/>
      <c r="L55" s="656"/>
      <c r="M55" s="656">
        <v>0.16</v>
      </c>
    </row>
    <row r="56" spans="1:13">
      <c r="A56" s="660" t="s">
        <v>1590</v>
      </c>
      <c r="B56" s="662" t="s">
        <v>987</v>
      </c>
      <c r="C56" s="662" t="s">
        <v>988</v>
      </c>
      <c r="D56" s="660" t="e">
        <f>#REF!</f>
        <v>#REF!</v>
      </c>
      <c r="E56" s="660" t="e">
        <f>#REF!</f>
        <v>#REF!</v>
      </c>
      <c r="F56" s="660" t="e">
        <f>#REF!</f>
        <v>#REF!</v>
      </c>
      <c r="G56" s="660"/>
      <c r="H56" s="34" t="e">
        <f>H57</f>
        <v>#REF!</v>
      </c>
      <c r="I56" s="660" t="e">
        <f>#REF!</f>
        <v>#REF!</v>
      </c>
      <c r="J56" s="58" t="e">
        <f>I56*'Conv Factors'!$C$53/'Conv Factors'!$B$7/L56/'Conv Factors'!$B$2/'Conv Factors'!$B$3/'Conv Factors'!$B$4*'Conv Factors'!$B$6</f>
        <v>#REF!</v>
      </c>
      <c r="K56" s="41"/>
      <c r="L56" s="656">
        <v>36000</v>
      </c>
      <c r="M56" s="656">
        <v>0.16</v>
      </c>
    </row>
    <row r="57" spans="1:13">
      <c r="A57" s="660" t="s">
        <v>1590</v>
      </c>
      <c r="B57" s="662" t="s">
        <v>989</v>
      </c>
      <c r="C57" s="662" t="s">
        <v>990</v>
      </c>
      <c r="D57" s="660" t="e">
        <f>#REF!</f>
        <v>#REF!</v>
      </c>
      <c r="E57" s="660" t="e">
        <f>#REF!</f>
        <v>#REF!</v>
      </c>
      <c r="F57" s="660" t="e">
        <f>#REF!</f>
        <v>#REF!</v>
      </c>
      <c r="G57" s="660"/>
      <c r="H57" s="34" t="e">
        <f>H58</f>
        <v>#REF!</v>
      </c>
      <c r="I57" s="660" t="e">
        <f>#REF!</f>
        <v>#REF!</v>
      </c>
      <c r="J57" s="58" t="e">
        <f>I57*'Conv Factors'!$C$53/'Conv Factors'!$B$7/L57/'Conv Factors'!$B$2/'Conv Factors'!$B$3/'Conv Factors'!$B$4*'Conv Factors'!$B$6</f>
        <v>#REF!</v>
      </c>
      <c r="K57" s="41"/>
      <c r="L57" s="656">
        <v>36000</v>
      </c>
      <c r="M57" s="656">
        <v>0.16</v>
      </c>
    </row>
    <row r="58" spans="1:13">
      <c r="A58" s="660" t="s">
        <v>1590</v>
      </c>
      <c r="B58" s="662" t="s">
        <v>991</v>
      </c>
      <c r="C58" s="662" t="s">
        <v>992</v>
      </c>
      <c r="D58" s="660" t="e">
        <f>#REF!</f>
        <v>#REF!</v>
      </c>
      <c r="E58" s="660" t="e">
        <f>#REF!</f>
        <v>#REF!</v>
      </c>
      <c r="F58" s="660" t="e">
        <f>#REF!</f>
        <v>#REF!</v>
      </c>
      <c r="G58" s="660"/>
      <c r="H58" s="34" t="e">
        <f>F58</f>
        <v>#REF!</v>
      </c>
      <c r="I58" s="660" t="e">
        <f>#REF!</f>
        <v>#REF!</v>
      </c>
      <c r="J58" s="58" t="e">
        <f>I58*'Conv Factors'!$C$53/'Conv Factors'!$B$7/L58/'Conv Factors'!$B$2/'Conv Factors'!$B$3/'Conv Factors'!$B$4*'Conv Factors'!$B$6</f>
        <v>#REF!</v>
      </c>
      <c r="K58" s="41"/>
      <c r="L58" s="656">
        <v>36000</v>
      </c>
      <c r="M58" s="656">
        <v>0.16</v>
      </c>
    </row>
    <row r="59" spans="1:13">
      <c r="A59" s="660" t="s">
        <v>1590</v>
      </c>
      <c r="B59" s="662" t="s">
        <v>993</v>
      </c>
      <c r="C59" s="662" t="s">
        <v>994</v>
      </c>
      <c r="D59" s="660" t="e">
        <f>#REF!</f>
        <v>#REF!</v>
      </c>
      <c r="E59" s="660" t="e">
        <f>#REF!</f>
        <v>#REF!</v>
      </c>
      <c r="F59" s="660" t="e">
        <f>#REF!</f>
        <v>#REF!</v>
      </c>
      <c r="G59" s="660"/>
      <c r="H59" s="34" t="e">
        <f>F59</f>
        <v>#REF!</v>
      </c>
      <c r="I59" s="660" t="e">
        <f>#REF!</f>
        <v>#REF!</v>
      </c>
      <c r="J59" s="58" t="e">
        <f>I59*'Conv Factors'!$C$53/'Conv Factors'!$B$7/L59/'Conv Factors'!$B$2/'Conv Factors'!$B$3/'Conv Factors'!$B$4*'Conv Factors'!$B$6</f>
        <v>#REF!</v>
      </c>
      <c r="K59" s="41"/>
      <c r="L59" s="656">
        <v>36000</v>
      </c>
      <c r="M59" s="656">
        <v>0.16</v>
      </c>
    </row>
    <row r="60" spans="1:13">
      <c r="A60" s="660"/>
      <c r="B60" s="660"/>
      <c r="C60" s="660"/>
      <c r="D60" s="660"/>
      <c r="E60" s="660"/>
      <c r="F60" s="660"/>
      <c r="G60" s="660"/>
      <c r="H60" s="34"/>
      <c r="I60" s="660"/>
      <c r="J60" s="58"/>
      <c r="K60" s="41"/>
      <c r="L60" s="656"/>
      <c r="M60" s="656"/>
    </row>
    <row r="61" spans="1:13" ht="13">
      <c r="A61" s="660" t="s">
        <v>1590</v>
      </c>
      <c r="B61" s="662" t="s">
        <v>1615</v>
      </c>
      <c r="C61" s="662" t="s">
        <v>1616</v>
      </c>
      <c r="D61" s="660"/>
      <c r="E61" s="660"/>
      <c r="F61" s="660"/>
      <c r="G61" s="660"/>
      <c r="H61" s="59" t="e">
        <f>H62</f>
        <v>#REF!</v>
      </c>
      <c r="I61" s="660"/>
      <c r="J61" s="58"/>
      <c r="K61" s="41"/>
      <c r="L61" s="56"/>
      <c r="M61" s="656">
        <v>0.16</v>
      </c>
    </row>
    <row r="62" spans="1:13">
      <c r="A62" s="660" t="s">
        <v>1590</v>
      </c>
      <c r="B62" s="662" t="s">
        <v>1617</v>
      </c>
      <c r="C62" s="662" t="s">
        <v>1618</v>
      </c>
      <c r="D62" s="660" t="e">
        <f>#REF!</f>
        <v>#REF!</v>
      </c>
      <c r="E62" s="660" t="e">
        <f>#REF!</f>
        <v>#REF!</v>
      </c>
      <c r="F62" s="660" t="e">
        <f>#REF!</f>
        <v>#REF!</v>
      </c>
      <c r="G62" s="660"/>
      <c r="H62" s="34" t="e">
        <f>F62</f>
        <v>#REF!</v>
      </c>
      <c r="I62" s="660" t="e">
        <f>#REF!</f>
        <v>#REF!</v>
      </c>
      <c r="J62" s="58" t="e">
        <f>I62*'Conv Factors'!$C$53/'Conv Factors'!$B$7/L62/'Conv Factors'!$B$2/'Conv Factors'!$B$3/'Conv Factors'!$B$4*'Conv Factors'!$B$6</f>
        <v>#REF!</v>
      </c>
      <c r="K62" s="41"/>
      <c r="L62" s="56">
        <v>50000</v>
      </c>
      <c r="M62" s="656">
        <v>0.16</v>
      </c>
    </row>
    <row r="63" spans="1:13">
      <c r="A63" s="660"/>
      <c r="B63" s="660"/>
      <c r="C63" s="660"/>
      <c r="D63" s="660"/>
      <c r="E63" s="660"/>
      <c r="F63" s="660"/>
      <c r="G63" s="660"/>
      <c r="H63" s="34"/>
      <c r="I63" s="660"/>
      <c r="J63" s="58"/>
      <c r="K63" s="41"/>
      <c r="L63" s="56"/>
      <c r="M63" s="656"/>
    </row>
    <row r="64" spans="1:13" ht="13">
      <c r="A64" s="660" t="s">
        <v>1590</v>
      </c>
      <c r="B64" s="662" t="s">
        <v>581</v>
      </c>
      <c r="C64" s="662" t="s">
        <v>1619</v>
      </c>
      <c r="D64" s="660"/>
      <c r="E64" s="660"/>
      <c r="F64" s="660"/>
      <c r="G64" s="660"/>
      <c r="H64" s="59">
        <f>USDemand!C262</f>
        <v>3.2999999523162802</v>
      </c>
      <c r="I64" s="660"/>
      <c r="J64" s="58"/>
      <c r="K64" s="41"/>
      <c r="L64" s="656"/>
      <c r="M64" s="656">
        <v>0.16</v>
      </c>
    </row>
    <row r="65" spans="1:13">
      <c r="A65" s="660" t="s">
        <v>1590</v>
      </c>
      <c r="B65" s="662" t="s">
        <v>583</v>
      </c>
      <c r="C65" s="662" t="s">
        <v>1620</v>
      </c>
      <c r="D65" s="660" t="e">
        <f>#REF!</f>
        <v>#REF!</v>
      </c>
      <c r="E65" s="660" t="e">
        <f>#REF!</f>
        <v>#REF!</v>
      </c>
      <c r="F65" s="660" t="e">
        <f>#REF!</f>
        <v>#REF!</v>
      </c>
      <c r="G65" s="660"/>
      <c r="H65" s="34" t="e">
        <f t="shared" ref="H65:H66" si="8">F65</f>
        <v>#REF!</v>
      </c>
      <c r="I65" s="660" t="e">
        <f>#REF!</f>
        <v>#REF!</v>
      </c>
      <c r="J65" s="58" t="e">
        <f>I65*'Conv Factors'!$C$53/'Conv Factors'!$B$7/L65/'Conv Factors'!$B$2/'Conv Factors'!$B$3/'Conv Factors'!$B$4*'Conv Factors'!$B$6</f>
        <v>#REF!</v>
      </c>
      <c r="K65" s="41"/>
      <c r="L65" s="656">
        <v>36000</v>
      </c>
      <c r="M65" s="656">
        <v>0.16</v>
      </c>
    </row>
    <row r="66" spans="1:13">
      <c r="A66" s="660" t="s">
        <v>1590</v>
      </c>
      <c r="B66" s="662" t="s">
        <v>585</v>
      </c>
      <c r="C66" s="662" t="s">
        <v>1621</v>
      </c>
      <c r="D66" s="660" t="e">
        <f>#REF!</f>
        <v>#REF!</v>
      </c>
      <c r="E66" s="660" t="e">
        <f>#REF!</f>
        <v>#REF!</v>
      </c>
      <c r="F66" s="660" t="e">
        <f>#REF!</f>
        <v>#REF!</v>
      </c>
      <c r="G66" s="660"/>
      <c r="H66" s="34" t="e">
        <f t="shared" si="8"/>
        <v>#REF!</v>
      </c>
      <c r="I66" s="660" t="e">
        <f>#REF!</f>
        <v>#REF!</v>
      </c>
      <c r="J66" s="58" t="e">
        <f>I66*'Conv Factors'!$C$53/'Conv Factors'!$B$7/L66/'Conv Factors'!$B$2/'Conv Factors'!$B$3/'Conv Factors'!$B$4*'Conv Factors'!$B$6</f>
        <v>#REF!</v>
      </c>
      <c r="K66" s="41"/>
      <c r="L66" s="656">
        <v>36000</v>
      </c>
      <c r="M66" s="656">
        <v>0.16</v>
      </c>
    </row>
    <row r="67" spans="1:13">
      <c r="A67" s="660" t="s">
        <v>1590</v>
      </c>
      <c r="B67" s="662" t="s">
        <v>587</v>
      </c>
      <c r="C67" s="662" t="s">
        <v>1622</v>
      </c>
      <c r="D67" s="660" t="e">
        <f>#REF!</f>
        <v>#REF!</v>
      </c>
      <c r="E67" s="660" t="e">
        <f>#REF!</f>
        <v>#REF!</v>
      </c>
      <c r="F67" s="660" t="e">
        <f>#REF!</f>
        <v>#REF!</v>
      </c>
      <c r="G67" s="660"/>
      <c r="H67" s="34" t="e">
        <f t="shared" ref="H67" si="9">F67</f>
        <v>#REF!</v>
      </c>
      <c r="I67" s="660" t="e">
        <f>#REF!</f>
        <v>#REF!</v>
      </c>
      <c r="J67" s="58" t="e">
        <f>I67*'Conv Factors'!$C$53/'Conv Factors'!$B$7/L67/'Conv Factors'!$B$2/'Conv Factors'!$B$3/'Conv Factors'!$B$4*'Conv Factors'!$B$6</f>
        <v>#REF!</v>
      </c>
      <c r="K67" s="41"/>
      <c r="L67" s="656">
        <v>36000</v>
      </c>
      <c r="M67" s="656">
        <v>0.16</v>
      </c>
    </row>
    <row r="68" spans="1:13">
      <c r="A68" s="660"/>
      <c r="B68" s="662"/>
      <c r="C68" s="662"/>
      <c r="D68" s="660"/>
      <c r="E68" s="660"/>
      <c r="F68" s="660"/>
      <c r="G68" s="660"/>
      <c r="H68" s="34"/>
      <c r="I68" s="660"/>
      <c r="J68" s="58"/>
      <c r="K68" s="41"/>
      <c r="L68" s="656"/>
      <c r="M68" s="656"/>
    </row>
    <row r="69" spans="1:13" ht="13">
      <c r="A69" s="660" t="s">
        <v>1590</v>
      </c>
      <c r="B69" s="662" t="s">
        <v>589</v>
      </c>
      <c r="C69" s="662" t="s">
        <v>996</v>
      </c>
      <c r="D69" s="660"/>
      <c r="E69" s="660"/>
      <c r="F69" s="660"/>
      <c r="G69" s="660"/>
      <c r="H69" s="59">
        <f>USDemand!C261</f>
        <v>1.29999995231628</v>
      </c>
      <c r="I69" s="660"/>
      <c r="J69" s="58"/>
      <c r="K69" s="41"/>
      <c r="L69" s="656"/>
      <c r="M69" s="656">
        <v>0.16</v>
      </c>
    </row>
    <row r="70" spans="1:13">
      <c r="A70" s="660" t="s">
        <v>1590</v>
      </c>
      <c r="B70" s="662" t="s">
        <v>591</v>
      </c>
      <c r="C70" s="662" t="s">
        <v>997</v>
      </c>
      <c r="D70" s="660" t="e">
        <f>#REF!</f>
        <v>#REF!</v>
      </c>
      <c r="E70" s="660" t="e">
        <f>#REF!</f>
        <v>#REF!</v>
      </c>
      <c r="F70" s="660" t="e">
        <f>#REF!</f>
        <v>#REF!</v>
      </c>
      <c r="G70" s="660"/>
      <c r="H70" s="34" t="e">
        <f>F70</f>
        <v>#REF!</v>
      </c>
      <c r="I70" s="660" t="e">
        <f>#REF!</f>
        <v>#REF!</v>
      </c>
      <c r="J70" s="58" t="e">
        <f>I70*'Conv Factors'!$C$53/'Conv Factors'!$B$7/L70/'Conv Factors'!$B$2/'Conv Factors'!$B$3/'Conv Factors'!$B$4*'Conv Factors'!$B$6</f>
        <v>#REF!</v>
      </c>
      <c r="K70" s="41"/>
      <c r="L70" s="656">
        <v>36000</v>
      </c>
      <c r="M70" s="656">
        <v>0.16</v>
      </c>
    </row>
    <row r="71" spans="1:13">
      <c r="A71" s="660" t="s">
        <v>1590</v>
      </c>
      <c r="B71" s="662" t="s">
        <v>593</v>
      </c>
      <c r="C71" s="662" t="s">
        <v>998</v>
      </c>
      <c r="D71" s="660" t="e">
        <f>#REF!</f>
        <v>#REF!</v>
      </c>
      <c r="E71" s="660" t="e">
        <f>#REF!</f>
        <v>#REF!</v>
      </c>
      <c r="F71" s="660" t="e">
        <f>#REF!</f>
        <v>#REF!</v>
      </c>
      <c r="G71" s="660"/>
      <c r="H71" s="34" t="e">
        <f>F71</f>
        <v>#REF!</v>
      </c>
      <c r="I71" s="660" t="e">
        <f>#REF!</f>
        <v>#REF!</v>
      </c>
      <c r="J71" s="58" t="e">
        <f>I71*'Conv Factors'!$C$53/'Conv Factors'!$B$7/L71/'Conv Factors'!$B$2/'Conv Factors'!$B$3/'Conv Factors'!$B$4*'Conv Factors'!$B$6</f>
        <v>#REF!</v>
      </c>
      <c r="K71" s="41"/>
      <c r="L71" s="656">
        <v>36000</v>
      </c>
      <c r="M71" s="656">
        <v>0.16</v>
      </c>
    </row>
    <row r="72" spans="1:13">
      <c r="A72" s="660"/>
      <c r="B72" s="662"/>
      <c r="C72" s="662"/>
      <c r="D72" s="660"/>
      <c r="E72" s="660"/>
      <c r="F72" s="660"/>
      <c r="G72" s="660"/>
      <c r="H72" s="34"/>
      <c r="I72" s="660"/>
      <c r="J72" s="58"/>
      <c r="K72" s="41"/>
      <c r="L72" s="656"/>
      <c r="M72" s="656"/>
    </row>
    <row r="73" spans="1:13" ht="13">
      <c r="A73" s="660" t="s">
        <v>1590</v>
      </c>
      <c r="B73" s="662" t="s">
        <v>1000</v>
      </c>
      <c r="C73" s="662" t="s">
        <v>1001</v>
      </c>
      <c r="D73" s="660"/>
      <c r="E73" s="660"/>
      <c r="F73" s="660"/>
      <c r="G73" s="660"/>
      <c r="H73" s="59">
        <f>USDemand!C276</f>
        <v>2.7435958263219513</v>
      </c>
      <c r="I73" s="660"/>
      <c r="J73" s="58"/>
      <c r="K73" s="41"/>
      <c r="L73" s="656"/>
      <c r="M73" s="656">
        <v>0.15</v>
      </c>
    </row>
    <row r="74" spans="1:13">
      <c r="A74" s="660" t="s">
        <v>1590</v>
      </c>
      <c r="B74" s="662" t="s">
        <v>1002</v>
      </c>
      <c r="C74" s="662" t="s">
        <v>1003</v>
      </c>
      <c r="D74" s="660" t="e">
        <f>#REF!</f>
        <v>#REF!</v>
      </c>
      <c r="E74" s="660" t="e">
        <f>#REF!</f>
        <v>#REF!</v>
      </c>
      <c r="F74" s="660" t="e">
        <f>#REF!</f>
        <v>#REF!</v>
      </c>
      <c r="G74" s="660"/>
      <c r="H74" s="34" t="e">
        <f>F74</f>
        <v>#REF!</v>
      </c>
      <c r="I74" s="660" t="e">
        <f>#REF!</f>
        <v>#REF!</v>
      </c>
      <c r="J74" s="58" t="e">
        <f>I74*'Conv Factors'!$C$53/'Conv Factors'!$B$7/L74/'Conv Factors'!$B$2/'Conv Factors'!$B$3/'Conv Factors'!$B$4*'Conv Factors'!$B$6</f>
        <v>#REF!</v>
      </c>
      <c r="K74" s="41"/>
      <c r="L74" s="656">
        <v>10000</v>
      </c>
      <c r="M74" s="656">
        <v>0.15</v>
      </c>
    </row>
    <row r="75" spans="1:13">
      <c r="A75" s="660" t="s">
        <v>1590</v>
      </c>
      <c r="B75" s="662" t="s">
        <v>1004</v>
      </c>
      <c r="C75" s="662" t="s">
        <v>1005</v>
      </c>
      <c r="D75" s="660" t="e">
        <f>#REF!</f>
        <v>#REF!</v>
      </c>
      <c r="E75" s="660" t="e">
        <f>#REF!</f>
        <v>#REF!</v>
      </c>
      <c r="F75" s="660" t="e">
        <f>#REF!</f>
        <v>#REF!</v>
      </c>
      <c r="G75" s="660"/>
      <c r="H75" s="34" t="e">
        <f t="shared" ref="H75:H79" si="10">F75</f>
        <v>#REF!</v>
      </c>
      <c r="I75" s="660" t="e">
        <f>#REF!</f>
        <v>#REF!</v>
      </c>
      <c r="J75" s="58" t="e">
        <f>I75*'Conv Factors'!$C$53/'Conv Factors'!$B$7/L75/'Conv Factors'!$B$2/'Conv Factors'!$B$3/'Conv Factors'!$B$4*'Conv Factors'!$B$6</f>
        <v>#REF!</v>
      </c>
      <c r="K75" s="41"/>
      <c r="L75" s="656">
        <v>10000</v>
      </c>
      <c r="M75" s="656">
        <v>0.15</v>
      </c>
    </row>
    <row r="76" spans="1:13">
      <c r="A76" s="660" t="s">
        <v>1590</v>
      </c>
      <c r="B76" s="662" t="s">
        <v>1006</v>
      </c>
      <c r="C76" s="662" t="s">
        <v>1007</v>
      </c>
      <c r="D76" s="660" t="e">
        <f>#REF!</f>
        <v>#REF!</v>
      </c>
      <c r="E76" s="660" t="e">
        <f>#REF!</f>
        <v>#REF!</v>
      </c>
      <c r="F76" s="660" t="e">
        <f>#REF!</f>
        <v>#REF!</v>
      </c>
      <c r="G76" s="660"/>
      <c r="H76" s="34" t="e">
        <f t="shared" si="10"/>
        <v>#REF!</v>
      </c>
      <c r="I76" s="660" t="e">
        <f>#REF!</f>
        <v>#REF!</v>
      </c>
      <c r="J76" s="58" t="e">
        <f>I76*'Conv Factors'!$C$53/'Conv Factors'!$B$7/L76/'Conv Factors'!$B$2/'Conv Factors'!$B$3/'Conv Factors'!$B$4*'Conv Factors'!$B$6</f>
        <v>#REF!</v>
      </c>
      <c r="K76" s="41"/>
      <c r="L76" s="656">
        <v>10000</v>
      </c>
      <c r="M76" s="656">
        <v>0.15</v>
      </c>
    </row>
    <row r="77" spans="1:13">
      <c r="A77" s="660" t="s">
        <v>1590</v>
      </c>
      <c r="B77" s="662" t="s">
        <v>1008</v>
      </c>
      <c r="C77" s="662" t="s">
        <v>1009</v>
      </c>
      <c r="D77" s="660" t="e">
        <f>#REF!</f>
        <v>#REF!</v>
      </c>
      <c r="E77" s="660" t="e">
        <f>#REF!</f>
        <v>#REF!</v>
      </c>
      <c r="F77" s="660" t="e">
        <f>#REF!</f>
        <v>#REF!</v>
      </c>
      <c r="G77" s="660"/>
      <c r="H77" s="34" t="e">
        <f t="shared" si="10"/>
        <v>#REF!</v>
      </c>
      <c r="I77" s="660" t="e">
        <f>#REF!</f>
        <v>#REF!</v>
      </c>
      <c r="J77" s="58" t="e">
        <f>I77*'Conv Factors'!$C$53/'Conv Factors'!$B$7/L77/'Conv Factors'!$B$2/'Conv Factors'!$B$3/'Conv Factors'!$B$4*'Conv Factors'!$B$6</f>
        <v>#REF!</v>
      </c>
      <c r="K77" s="41"/>
      <c r="L77" s="656">
        <v>10000</v>
      </c>
      <c r="M77" s="656">
        <v>0.15</v>
      </c>
    </row>
    <row r="78" spans="1:13">
      <c r="A78" s="660" t="s">
        <v>1590</v>
      </c>
      <c r="B78" s="662" t="s">
        <v>1010</v>
      </c>
      <c r="C78" s="662" t="s">
        <v>1011</v>
      </c>
      <c r="D78" s="660" t="e">
        <f>#REF!</f>
        <v>#REF!</v>
      </c>
      <c r="E78" s="660" t="e">
        <f>#REF!</f>
        <v>#REF!</v>
      </c>
      <c r="F78" s="660" t="e">
        <f>#REF!</f>
        <v>#REF!</v>
      </c>
      <c r="G78" s="660"/>
      <c r="H78" s="34" t="e">
        <f t="shared" si="10"/>
        <v>#REF!</v>
      </c>
      <c r="I78" s="660" t="e">
        <f>#REF!</f>
        <v>#REF!</v>
      </c>
      <c r="J78" s="58" t="e">
        <f>I78*'Conv Factors'!$C$53/'Conv Factors'!$B$7/L78/'Conv Factors'!$B$2/'Conv Factors'!$B$3/'Conv Factors'!$B$4*'Conv Factors'!$B$6</f>
        <v>#REF!</v>
      </c>
      <c r="K78" s="41"/>
      <c r="L78" s="656">
        <v>10000</v>
      </c>
      <c r="M78" s="656">
        <v>0.15</v>
      </c>
    </row>
    <row r="79" spans="1:13">
      <c r="A79" s="660" t="s">
        <v>1590</v>
      </c>
      <c r="B79" s="662" t="s">
        <v>1012</v>
      </c>
      <c r="C79" s="662" t="s">
        <v>1013</v>
      </c>
      <c r="D79" s="660" t="e">
        <f>#REF!</f>
        <v>#REF!</v>
      </c>
      <c r="E79" s="660" t="e">
        <f>#REF!</f>
        <v>#REF!</v>
      </c>
      <c r="F79" s="660" t="e">
        <f>#REF!</f>
        <v>#REF!</v>
      </c>
      <c r="G79" s="660"/>
      <c r="H79" s="34" t="e">
        <f t="shared" si="10"/>
        <v>#REF!</v>
      </c>
      <c r="I79" s="660" t="e">
        <f>#REF!</f>
        <v>#REF!</v>
      </c>
      <c r="J79" s="58" t="e">
        <f>I79*'Conv Factors'!$C$53/'Conv Factors'!$B$7/L79/'Conv Factors'!$B$2/'Conv Factors'!$B$3/'Conv Factors'!$B$4*'Conv Factors'!$B$6</f>
        <v>#REF!</v>
      </c>
      <c r="K79" s="41"/>
      <c r="L79" s="656">
        <v>10000</v>
      </c>
      <c r="M79" s="656">
        <v>0.15</v>
      </c>
    </row>
    <row r="80" spans="1:13">
      <c r="A80" s="660"/>
      <c r="B80" s="662"/>
      <c r="C80" s="662"/>
      <c r="D80" s="660"/>
      <c r="E80" s="660"/>
      <c r="F80" s="660"/>
      <c r="G80" s="660"/>
      <c r="H80" s="34"/>
      <c r="I80" s="660"/>
      <c r="J80" s="58"/>
      <c r="K80" s="41"/>
      <c r="L80" s="656"/>
      <c r="M80" s="656"/>
    </row>
    <row r="81" spans="1:13" ht="13">
      <c r="A81" s="660" t="s">
        <v>1590</v>
      </c>
      <c r="B81" s="662" t="s">
        <v>1015</v>
      </c>
      <c r="C81" s="662" t="s">
        <v>1016</v>
      </c>
      <c r="D81" s="660"/>
      <c r="E81" s="660"/>
      <c r="F81" s="660"/>
      <c r="G81" s="660"/>
      <c r="H81" s="59">
        <f>USDemand!C274</f>
        <v>2.9175658769245518</v>
      </c>
      <c r="I81" s="660"/>
      <c r="J81" s="58"/>
      <c r="K81" s="41"/>
      <c r="L81" s="656"/>
      <c r="M81" s="656">
        <v>0.15</v>
      </c>
    </row>
    <row r="82" spans="1:13">
      <c r="A82" s="660" t="s">
        <v>1590</v>
      </c>
      <c r="B82" s="662" t="s">
        <v>1017</v>
      </c>
      <c r="C82" s="662" t="s">
        <v>1018</v>
      </c>
      <c r="D82" s="660" t="e">
        <f>#REF!</f>
        <v>#REF!</v>
      </c>
      <c r="E82" s="660" t="e">
        <f>#REF!</f>
        <v>#REF!</v>
      </c>
      <c r="F82" s="660" t="e">
        <f>#REF!</f>
        <v>#REF!</v>
      </c>
      <c r="G82" s="660"/>
      <c r="H82" s="34" t="e">
        <f t="shared" ref="H82:H89" si="11">F82</f>
        <v>#REF!</v>
      </c>
      <c r="I82" s="660" t="e">
        <f>#REF!</f>
        <v>#REF!</v>
      </c>
      <c r="J82" s="58" t="e">
        <f>I82*'Conv Factors'!$C$53/'Conv Factors'!$B$7/L82/'Conv Factors'!$B$2/'Conv Factors'!$B$3/'Conv Factors'!$B$4*'Conv Factors'!$B$6</f>
        <v>#REF!</v>
      </c>
      <c r="K82" s="41"/>
      <c r="L82" s="656">
        <v>36000</v>
      </c>
      <c r="M82" s="656">
        <v>0.15</v>
      </c>
    </row>
    <row r="83" spans="1:13">
      <c r="A83" s="660" t="s">
        <v>1019</v>
      </c>
      <c r="B83" s="662" t="s">
        <v>1020</v>
      </c>
      <c r="C83" s="662" t="s">
        <v>1021</v>
      </c>
      <c r="D83" s="660" t="e">
        <f>#REF!</f>
        <v>#REF!</v>
      </c>
      <c r="E83" s="660" t="e">
        <f>#REF!</f>
        <v>#REF!</v>
      </c>
      <c r="F83" s="660" t="e">
        <f>#REF!</f>
        <v>#REF!</v>
      </c>
      <c r="G83" s="660"/>
      <c r="H83" s="34" t="e">
        <f t="shared" ref="H83:H84" si="12">F83</f>
        <v>#REF!</v>
      </c>
      <c r="I83" s="660" t="e">
        <f>#REF!</f>
        <v>#REF!</v>
      </c>
      <c r="J83" s="58" t="e">
        <f>I83*'Conv Factors'!$C$53/'Conv Factors'!$B$7/L83/'Conv Factors'!$B$2/'Conv Factors'!$B$3/'Conv Factors'!$B$4*'Conv Factors'!$B$6</f>
        <v>#REF!</v>
      </c>
      <c r="K83" s="41"/>
      <c r="L83" s="656">
        <v>36000</v>
      </c>
      <c r="M83" s="656">
        <v>0.15</v>
      </c>
    </row>
    <row r="84" spans="1:13">
      <c r="A84" s="660" t="s">
        <v>1590</v>
      </c>
      <c r="B84" s="662" t="s">
        <v>1022</v>
      </c>
      <c r="C84" s="662" t="s">
        <v>1023</v>
      </c>
      <c r="D84" s="660" t="e">
        <f>#REF!</f>
        <v>#REF!</v>
      </c>
      <c r="E84" s="660" t="e">
        <f>#REF!</f>
        <v>#REF!</v>
      </c>
      <c r="F84" s="660" t="e">
        <f>#REF!</f>
        <v>#REF!</v>
      </c>
      <c r="G84" s="660"/>
      <c r="H84" s="34" t="e">
        <f t="shared" si="12"/>
        <v>#REF!</v>
      </c>
      <c r="I84" s="660" t="e">
        <f>#REF!</f>
        <v>#REF!</v>
      </c>
      <c r="J84" s="58" t="e">
        <f>I84*'Conv Factors'!$C$53/'Conv Factors'!$B$7/L84/'Conv Factors'!$B$2/'Conv Factors'!$B$3/'Conv Factors'!$B$4*'Conv Factors'!$B$6</f>
        <v>#REF!</v>
      </c>
      <c r="K84" s="41"/>
      <c r="L84" s="656">
        <v>36000</v>
      </c>
      <c r="M84" s="656">
        <v>0.15</v>
      </c>
    </row>
    <row r="85" spans="1:13">
      <c r="A85" s="660" t="s">
        <v>1590</v>
      </c>
      <c r="B85" s="662" t="s">
        <v>1024</v>
      </c>
      <c r="C85" s="662" t="s">
        <v>1025</v>
      </c>
      <c r="D85" s="660" t="e">
        <f>#REF!</f>
        <v>#REF!</v>
      </c>
      <c r="E85" s="660" t="e">
        <f>#REF!</f>
        <v>#REF!</v>
      </c>
      <c r="F85" s="660" t="e">
        <f>#REF!</f>
        <v>#REF!</v>
      </c>
      <c r="G85" s="660"/>
      <c r="H85" s="34" t="e">
        <f t="shared" si="11"/>
        <v>#REF!</v>
      </c>
      <c r="I85" s="660" t="e">
        <f>#REF!</f>
        <v>#REF!</v>
      </c>
      <c r="J85" s="58" t="e">
        <f>I85*'Conv Factors'!$C$53/'Conv Factors'!$B$7/L85/'Conv Factors'!$B$2/'Conv Factors'!$B$3/'Conv Factors'!$B$4*'Conv Factors'!$B$6</f>
        <v>#REF!</v>
      </c>
      <c r="K85" s="41"/>
      <c r="L85" s="656">
        <v>36000</v>
      </c>
      <c r="M85" s="656">
        <v>0.15</v>
      </c>
    </row>
    <row r="86" spans="1:13">
      <c r="A86" s="660" t="s">
        <v>1590</v>
      </c>
      <c r="B86" s="662" t="s">
        <v>1026</v>
      </c>
      <c r="C86" s="662" t="s">
        <v>1027</v>
      </c>
      <c r="D86" s="660" t="e">
        <f>#REF!</f>
        <v>#REF!</v>
      </c>
      <c r="E86" s="660" t="e">
        <f>#REF!</f>
        <v>#REF!</v>
      </c>
      <c r="F86" s="660" t="e">
        <f>#REF!</f>
        <v>#REF!</v>
      </c>
      <c r="G86" s="660"/>
      <c r="H86" s="34" t="e">
        <f t="shared" si="11"/>
        <v>#REF!</v>
      </c>
      <c r="I86" s="660" t="e">
        <f>#REF!</f>
        <v>#REF!</v>
      </c>
      <c r="J86" s="58" t="e">
        <f>I86*'Conv Factors'!$C$53/'Conv Factors'!$B$7/L86/'Conv Factors'!$B$2/'Conv Factors'!$B$3/'Conv Factors'!$B$4*'Conv Factors'!$B$6</f>
        <v>#REF!</v>
      </c>
      <c r="K86" s="41"/>
      <c r="L86" s="656">
        <v>36000</v>
      </c>
      <c r="M86" s="656">
        <v>0.15</v>
      </c>
    </row>
    <row r="87" spans="1:13">
      <c r="A87" s="660" t="s">
        <v>1590</v>
      </c>
      <c r="B87" s="662" t="s">
        <v>1028</v>
      </c>
      <c r="C87" s="662" t="s">
        <v>1029</v>
      </c>
      <c r="D87" s="660" t="e">
        <f>#REF!</f>
        <v>#REF!</v>
      </c>
      <c r="E87" s="660" t="e">
        <f>#REF!</f>
        <v>#REF!</v>
      </c>
      <c r="F87" s="34" t="e">
        <f>#REF!</f>
        <v>#REF!</v>
      </c>
      <c r="G87" s="660"/>
      <c r="H87" s="34" t="e">
        <f t="shared" si="11"/>
        <v>#REF!</v>
      </c>
      <c r="I87" s="45" t="e">
        <f>#REF!</f>
        <v>#REF!</v>
      </c>
      <c r="J87" s="58" t="e">
        <f>I87*'Conv Factors'!$C$53/'Conv Factors'!$B$7/L87/'Conv Factors'!$B$2/'Conv Factors'!$B$3/'Conv Factors'!$B$4*'Conv Factors'!$B$6</f>
        <v>#REF!</v>
      </c>
      <c r="K87" s="41"/>
      <c r="L87" s="656">
        <v>36000</v>
      </c>
      <c r="M87" s="656">
        <v>0.15</v>
      </c>
    </row>
    <row r="88" spans="1:13">
      <c r="A88" s="660" t="s">
        <v>1590</v>
      </c>
      <c r="B88" s="662" t="s">
        <v>1030</v>
      </c>
      <c r="C88" s="662" t="s">
        <v>1031</v>
      </c>
      <c r="D88" s="660" t="e">
        <f>#REF!</f>
        <v>#REF!</v>
      </c>
      <c r="E88" s="660" t="e">
        <f>#REF!</f>
        <v>#REF!</v>
      </c>
      <c r="F88" s="34" t="e">
        <f>#REF!</f>
        <v>#REF!</v>
      </c>
      <c r="G88" s="660"/>
      <c r="H88" s="34" t="e">
        <f t="shared" si="11"/>
        <v>#REF!</v>
      </c>
      <c r="I88" s="45" t="e">
        <f>#REF!</f>
        <v>#REF!</v>
      </c>
      <c r="J88" s="58" t="e">
        <f>I88*'Conv Factors'!$C$53/'Conv Factors'!$B$7/L88/'Conv Factors'!$B$2/'Conv Factors'!$B$3/'Conv Factors'!$B$4*'Conv Factors'!$B$6</f>
        <v>#REF!</v>
      </c>
      <c r="K88" s="41"/>
      <c r="L88" s="656">
        <v>36000</v>
      </c>
      <c r="M88" s="656">
        <v>0.15</v>
      </c>
    </row>
    <row r="89" spans="1:13">
      <c r="A89" s="660" t="s">
        <v>1590</v>
      </c>
      <c r="B89" s="662" t="s">
        <v>1032</v>
      </c>
      <c r="C89" s="662" t="s">
        <v>1033</v>
      </c>
      <c r="D89" s="660" t="e">
        <f>#REF!</f>
        <v>#REF!</v>
      </c>
      <c r="E89" s="660" t="e">
        <f>#REF!</f>
        <v>#REF!</v>
      </c>
      <c r="F89" s="34" t="e">
        <f>#REF!</f>
        <v>#REF!</v>
      </c>
      <c r="G89" s="660"/>
      <c r="H89" s="34" t="e">
        <f t="shared" si="11"/>
        <v>#REF!</v>
      </c>
      <c r="I89" s="45" t="e">
        <f>#REF!</f>
        <v>#REF!</v>
      </c>
      <c r="J89" s="58" t="e">
        <f>I89*'Conv Factors'!$C$53/'Conv Factors'!$B$7/L89/'Conv Factors'!$B$2/'Conv Factors'!$B$3/'Conv Factors'!$B$4*'Conv Factors'!$B$6</f>
        <v>#REF!</v>
      </c>
      <c r="K89" s="41"/>
      <c r="L89" s="656">
        <v>36000</v>
      </c>
      <c r="M89" s="656">
        <v>0.15</v>
      </c>
    </row>
    <row r="90" spans="1:13">
      <c r="A90" s="660"/>
      <c r="B90" s="660"/>
      <c r="C90" s="660"/>
      <c r="D90" s="660"/>
      <c r="E90" s="660"/>
      <c r="F90" s="660"/>
      <c r="G90" s="660"/>
      <c r="H90" s="34"/>
      <c r="I90" s="660"/>
      <c r="J90" s="58"/>
      <c r="K90" s="41"/>
      <c r="L90" s="656"/>
      <c r="M90" s="656"/>
    </row>
    <row r="91" spans="1:13" ht="13">
      <c r="A91" s="660" t="s">
        <v>1590</v>
      </c>
      <c r="B91" s="662" t="s">
        <v>556</v>
      </c>
      <c r="C91" s="662" t="s">
        <v>1034</v>
      </c>
      <c r="D91" s="660"/>
      <c r="E91" s="660"/>
      <c r="F91" s="660"/>
      <c r="G91" s="660"/>
      <c r="H91" s="59">
        <f>USDemand!C269</f>
        <v>2.9980069977321731</v>
      </c>
      <c r="I91" s="660"/>
      <c r="J91" s="58"/>
      <c r="K91" s="41"/>
      <c r="L91" s="656"/>
      <c r="M91" s="656">
        <v>0.15</v>
      </c>
    </row>
    <row r="92" spans="1:13">
      <c r="A92" s="660" t="s">
        <v>1590</v>
      </c>
      <c r="B92" s="662" t="s">
        <v>558</v>
      </c>
      <c r="C92" s="662" t="s">
        <v>1035</v>
      </c>
      <c r="D92" s="660" t="e">
        <f>#REF!</f>
        <v>#REF!</v>
      </c>
      <c r="E92" s="660" t="e">
        <f>#REF!</f>
        <v>#REF!</v>
      </c>
      <c r="F92" s="660" t="e">
        <f>#REF!</f>
        <v>#REF!</v>
      </c>
      <c r="G92" s="660"/>
      <c r="H92" s="34" t="e">
        <f t="shared" ref="H92:H102" si="13">F92</f>
        <v>#REF!</v>
      </c>
      <c r="I92" s="660" t="e">
        <f>#REF!</f>
        <v>#REF!</v>
      </c>
      <c r="J92" s="58" t="e">
        <f>I92*'Conv Factors'!$C$53/'Conv Factors'!$B$7/L92/'Conv Factors'!$B$2/'Conv Factors'!$B$3/'Conv Factors'!$B$4*'Conv Factors'!$B$6</f>
        <v>#REF!</v>
      </c>
      <c r="K92" s="43"/>
      <c r="L92" s="656">
        <v>36000</v>
      </c>
      <c r="M92" s="656">
        <v>0.15</v>
      </c>
    </row>
    <row r="93" spans="1:13">
      <c r="A93" s="660" t="s">
        <v>1590</v>
      </c>
      <c r="B93" s="662" t="s">
        <v>560</v>
      </c>
      <c r="C93" s="662" t="s">
        <v>1036</v>
      </c>
      <c r="D93" s="660" t="e">
        <f>#REF!</f>
        <v>#REF!</v>
      </c>
      <c r="E93" s="660" t="e">
        <f>#REF!</f>
        <v>#REF!</v>
      </c>
      <c r="F93" s="660" t="e">
        <f>#REF!</f>
        <v>#REF!</v>
      </c>
      <c r="G93" s="660"/>
      <c r="H93" s="34" t="e">
        <f t="shared" si="13"/>
        <v>#REF!</v>
      </c>
      <c r="I93" s="660" t="e">
        <f>#REF!</f>
        <v>#REF!</v>
      </c>
      <c r="J93" s="58" t="e">
        <f>I93*'Conv Factors'!$C$53/'Conv Factors'!$B$7/L93/'Conv Factors'!$B$2/'Conv Factors'!$B$3/'Conv Factors'!$B$4*'Conv Factors'!$B$6</f>
        <v>#REF!</v>
      </c>
      <c r="K93" s="43"/>
      <c r="L93" s="656">
        <v>36000</v>
      </c>
      <c r="M93" s="656">
        <v>0.15</v>
      </c>
    </row>
    <row r="94" spans="1:13">
      <c r="A94" s="660" t="s">
        <v>1590</v>
      </c>
      <c r="B94" s="662" t="s">
        <v>562</v>
      </c>
      <c r="C94" s="662" t="s">
        <v>1037</v>
      </c>
      <c r="D94" s="660" t="e">
        <f>#REF!</f>
        <v>#REF!</v>
      </c>
      <c r="E94" s="660" t="e">
        <f>#REF!</f>
        <v>#REF!</v>
      </c>
      <c r="F94" s="660" t="e">
        <f>#REF!</f>
        <v>#REF!</v>
      </c>
      <c r="G94" s="660"/>
      <c r="H94" s="34" t="e">
        <f t="shared" si="13"/>
        <v>#REF!</v>
      </c>
      <c r="I94" s="660" t="e">
        <f>#REF!</f>
        <v>#REF!</v>
      </c>
      <c r="J94" s="58" t="e">
        <f>I94*'Conv Factors'!$C$53/'Conv Factors'!$B$7/L94/'Conv Factors'!$B$2/'Conv Factors'!$B$3/'Conv Factors'!$B$4*'Conv Factors'!$B$6</f>
        <v>#REF!</v>
      </c>
      <c r="K94" s="43"/>
      <c r="L94" s="656">
        <v>36000</v>
      </c>
      <c r="M94" s="656">
        <v>0.15</v>
      </c>
    </row>
    <row r="95" spans="1:13">
      <c r="A95" s="660" t="s">
        <v>1590</v>
      </c>
      <c r="B95" s="662" t="s">
        <v>564</v>
      </c>
      <c r="C95" s="662" t="s">
        <v>1038</v>
      </c>
      <c r="D95" s="660" t="e">
        <f>#REF!</f>
        <v>#REF!</v>
      </c>
      <c r="E95" s="660" t="e">
        <f>#REF!</f>
        <v>#REF!</v>
      </c>
      <c r="F95" s="660" t="e">
        <f>#REF!</f>
        <v>#REF!</v>
      </c>
      <c r="G95" s="660"/>
      <c r="H95" s="34" t="e">
        <f t="shared" si="13"/>
        <v>#REF!</v>
      </c>
      <c r="I95" s="660" t="e">
        <f>#REF!</f>
        <v>#REF!</v>
      </c>
      <c r="J95" s="58" t="e">
        <f>I95*'Conv Factors'!$C$53/'Conv Factors'!$B$7/L95/'Conv Factors'!$B$2/'Conv Factors'!$B$3/'Conv Factors'!$B$4*'Conv Factors'!$B$6</f>
        <v>#REF!</v>
      </c>
      <c r="K95" s="43"/>
      <c r="L95" s="656">
        <v>36000</v>
      </c>
      <c r="M95" s="656">
        <v>0.15</v>
      </c>
    </row>
    <row r="96" spans="1:13">
      <c r="A96" s="660" t="s">
        <v>1590</v>
      </c>
      <c r="B96" s="662" t="s">
        <v>566</v>
      </c>
      <c r="C96" s="662" t="s">
        <v>1039</v>
      </c>
      <c r="D96" s="660" t="e">
        <f>#REF!</f>
        <v>#REF!</v>
      </c>
      <c r="E96" s="660" t="e">
        <f>#REF!</f>
        <v>#REF!</v>
      </c>
      <c r="F96" s="34" t="e">
        <f>#REF!</f>
        <v>#REF!</v>
      </c>
      <c r="G96" s="660"/>
      <c r="H96" s="34" t="e">
        <f t="shared" si="13"/>
        <v>#REF!</v>
      </c>
      <c r="I96" s="45" t="e">
        <f>#REF!</f>
        <v>#REF!</v>
      </c>
      <c r="J96" s="58" t="e">
        <f>I96*'Conv Factors'!$C$53/'Conv Factors'!$B$7/L96/'Conv Factors'!$B$2/'Conv Factors'!$B$3/'Conv Factors'!$B$4*'Conv Factors'!$B$6</f>
        <v>#REF!</v>
      </c>
      <c r="K96" s="43"/>
      <c r="L96" s="656">
        <v>36000</v>
      </c>
      <c r="M96" s="656">
        <v>0.15</v>
      </c>
    </row>
    <row r="97" spans="1:13">
      <c r="A97" s="660" t="s">
        <v>1590</v>
      </c>
      <c r="B97" s="662" t="s">
        <v>568</v>
      </c>
      <c r="C97" s="662" t="s">
        <v>1040</v>
      </c>
      <c r="D97" s="660" t="e">
        <f>#REF!</f>
        <v>#REF!</v>
      </c>
      <c r="E97" s="660" t="e">
        <f>#REF!</f>
        <v>#REF!</v>
      </c>
      <c r="F97" s="34" t="e">
        <f>#REF!</f>
        <v>#REF!</v>
      </c>
      <c r="G97" s="660"/>
      <c r="H97" s="34" t="e">
        <f t="shared" si="13"/>
        <v>#REF!</v>
      </c>
      <c r="I97" s="45" t="e">
        <f>#REF!</f>
        <v>#REF!</v>
      </c>
      <c r="J97" s="58" t="e">
        <f>I97*'Conv Factors'!$C$53/'Conv Factors'!$B$7/L97/'Conv Factors'!$B$2/'Conv Factors'!$B$3/'Conv Factors'!$B$4*'Conv Factors'!$B$6</f>
        <v>#REF!</v>
      </c>
      <c r="K97" s="43"/>
      <c r="L97" s="656">
        <v>36000</v>
      </c>
      <c r="M97" s="656">
        <v>0.15</v>
      </c>
    </row>
    <row r="98" spans="1:13">
      <c r="A98" s="660" t="s">
        <v>1590</v>
      </c>
      <c r="B98" s="662" t="s">
        <v>570</v>
      </c>
      <c r="C98" s="662" t="s">
        <v>1041</v>
      </c>
      <c r="D98" s="660" t="e">
        <f>#REF!</f>
        <v>#REF!</v>
      </c>
      <c r="E98" s="660" t="e">
        <f>#REF!</f>
        <v>#REF!</v>
      </c>
      <c r="F98" s="34" t="e">
        <f>#REF!</f>
        <v>#REF!</v>
      </c>
      <c r="G98" s="660"/>
      <c r="H98" s="34" t="e">
        <f t="shared" ref="H98" si="14">F98</f>
        <v>#REF!</v>
      </c>
      <c r="I98" s="45" t="e">
        <f>#REF!</f>
        <v>#REF!</v>
      </c>
      <c r="J98" s="58" t="e">
        <f>I98*'Conv Factors'!$C$53/'Conv Factors'!$B$7/L98/'Conv Factors'!$B$2/'Conv Factors'!$B$3/'Conv Factors'!$B$4*'Conv Factors'!$B$6</f>
        <v>#REF!</v>
      </c>
      <c r="K98" s="43"/>
      <c r="L98" s="656">
        <v>36000</v>
      </c>
      <c r="M98" s="656">
        <v>0.15</v>
      </c>
    </row>
    <row r="99" spans="1:13">
      <c r="A99" s="660" t="s">
        <v>1590</v>
      </c>
      <c r="B99" s="662" t="s">
        <v>572</v>
      </c>
      <c r="C99" s="662" t="s">
        <v>1042</v>
      </c>
      <c r="D99" s="660" t="e">
        <f>#REF!</f>
        <v>#REF!</v>
      </c>
      <c r="E99" s="660" t="e">
        <f>#REF!</f>
        <v>#REF!</v>
      </c>
      <c r="F99" s="34" t="e">
        <f>#REF!</f>
        <v>#REF!</v>
      </c>
      <c r="G99" s="660"/>
      <c r="H99" s="34" t="e">
        <f t="shared" ref="H99" si="15">F99</f>
        <v>#REF!</v>
      </c>
      <c r="I99" s="45" t="e">
        <f>#REF!</f>
        <v>#REF!</v>
      </c>
      <c r="J99" s="58" t="e">
        <f>I99*'Conv Factors'!$C$53/'Conv Factors'!$B$7/L99/'Conv Factors'!$B$2/'Conv Factors'!$B$3/'Conv Factors'!$B$4*'Conv Factors'!$B$6</f>
        <v>#REF!</v>
      </c>
      <c r="K99" s="43"/>
      <c r="L99" s="656">
        <v>36000</v>
      </c>
      <c r="M99" s="656">
        <v>0.15</v>
      </c>
    </row>
    <row r="100" spans="1:13">
      <c r="A100" s="660" t="s">
        <v>1590</v>
      </c>
      <c r="B100" s="662" t="s">
        <v>574</v>
      </c>
      <c r="C100" s="662" t="s">
        <v>1043</v>
      </c>
      <c r="D100" s="660" t="e">
        <f>#REF!</f>
        <v>#REF!</v>
      </c>
      <c r="E100" s="660" t="e">
        <f>#REF!</f>
        <v>#REF!</v>
      </c>
      <c r="F100" s="34" t="e">
        <f>#REF!</f>
        <v>#REF!</v>
      </c>
      <c r="G100" s="660"/>
      <c r="H100" s="34" t="e">
        <f t="shared" si="13"/>
        <v>#REF!</v>
      </c>
      <c r="I100" s="45" t="e">
        <f>#REF!</f>
        <v>#REF!</v>
      </c>
      <c r="J100" s="58" t="e">
        <f>I100*'Conv Factors'!$C$53/'Conv Factors'!$B$7/L100/'Conv Factors'!$B$2/'Conv Factors'!$B$3/'Conv Factors'!$B$4*'Conv Factors'!$B$6</f>
        <v>#REF!</v>
      </c>
      <c r="K100" s="43"/>
      <c r="L100" s="656">
        <v>36000</v>
      </c>
      <c r="M100" s="656">
        <v>0.15</v>
      </c>
    </row>
    <row r="101" spans="1:13">
      <c r="A101" s="660" t="s">
        <v>1590</v>
      </c>
      <c r="B101" s="662" t="s">
        <v>576</v>
      </c>
      <c r="C101" s="662" t="s">
        <v>1044</v>
      </c>
      <c r="D101" s="660" t="e">
        <f>#REF!</f>
        <v>#REF!</v>
      </c>
      <c r="E101" s="660" t="e">
        <f>#REF!</f>
        <v>#REF!</v>
      </c>
      <c r="F101" s="660" t="e">
        <f>#REF!</f>
        <v>#REF!</v>
      </c>
      <c r="G101" s="660"/>
      <c r="H101" s="34" t="e">
        <f t="shared" si="13"/>
        <v>#REF!</v>
      </c>
      <c r="I101" s="660" t="e">
        <f>#REF!</f>
        <v>#REF!</v>
      </c>
      <c r="J101" s="58" t="e">
        <f>I101*'Conv Factors'!$C$53/'Conv Factors'!$B$7/L101/'Conv Factors'!$B$2/'Conv Factors'!$B$3/'Conv Factors'!$B$4*'Conv Factors'!$B$6</f>
        <v>#REF!</v>
      </c>
      <c r="K101" s="43"/>
      <c r="L101" s="656">
        <v>36000</v>
      </c>
      <c r="M101" s="656">
        <v>0.15</v>
      </c>
    </row>
    <row r="102" spans="1:13">
      <c r="A102" s="660" t="s">
        <v>1590</v>
      </c>
      <c r="B102" s="662" t="s">
        <v>578</v>
      </c>
      <c r="C102" s="662" t="s">
        <v>1045</v>
      </c>
      <c r="D102" s="660" t="e">
        <f>#REF!</f>
        <v>#REF!</v>
      </c>
      <c r="E102" s="660" t="e">
        <f>#REF!</f>
        <v>#REF!</v>
      </c>
      <c r="F102" s="660" t="e">
        <f>#REF!</f>
        <v>#REF!</v>
      </c>
      <c r="G102" s="660"/>
      <c r="H102" s="34" t="e">
        <f t="shared" si="13"/>
        <v>#REF!</v>
      </c>
      <c r="I102" s="660" t="e">
        <f>#REF!</f>
        <v>#REF!</v>
      </c>
      <c r="J102" s="58" t="e">
        <f>I102*'Conv Factors'!$C$53/'Conv Factors'!$B$7/L102/'Conv Factors'!$B$2/'Conv Factors'!$B$3/'Conv Factors'!$B$4*'Conv Factors'!$B$6</f>
        <v>#REF!</v>
      </c>
      <c r="K102" s="43"/>
      <c r="L102" s="656">
        <v>36000</v>
      </c>
      <c r="M102" s="656">
        <v>0.15</v>
      </c>
    </row>
    <row r="103" spans="1:13">
      <c r="A103" s="660" t="s">
        <v>1590</v>
      </c>
      <c r="B103" s="662" t="s">
        <v>580</v>
      </c>
      <c r="C103" s="662" t="s">
        <v>1046</v>
      </c>
      <c r="D103" s="660" t="e">
        <f>#REF!</f>
        <v>#REF!</v>
      </c>
      <c r="E103" s="660" t="e">
        <f>#REF!</f>
        <v>#REF!</v>
      </c>
      <c r="F103" s="660" t="e">
        <f>#REF!</f>
        <v>#REF!</v>
      </c>
      <c r="G103" s="660"/>
      <c r="H103" s="34" t="e">
        <f t="shared" ref="H103" si="16">F103</f>
        <v>#REF!</v>
      </c>
      <c r="I103" s="660" t="e">
        <f>#REF!</f>
        <v>#REF!</v>
      </c>
      <c r="J103" s="58" t="e">
        <f>I103*'Conv Factors'!$C$53/'Conv Factors'!$B$7/L103/'Conv Factors'!$B$2/'Conv Factors'!$B$3/'Conv Factors'!$B$4*'Conv Factors'!$B$6</f>
        <v>#REF!</v>
      </c>
      <c r="K103" s="43"/>
      <c r="L103" s="656">
        <v>36000</v>
      </c>
      <c r="M103" s="656">
        <v>0.15</v>
      </c>
    </row>
    <row r="104" spans="1:13">
      <c r="A104" s="660"/>
      <c r="B104" s="660"/>
      <c r="C104" s="660"/>
      <c r="D104" s="660"/>
      <c r="E104" s="660"/>
      <c r="F104" s="660"/>
      <c r="G104" s="660"/>
      <c r="H104" s="34"/>
      <c r="I104" s="660"/>
      <c r="J104" s="58"/>
      <c r="K104" s="43"/>
      <c r="L104" s="656"/>
      <c r="M104" s="656"/>
    </row>
    <row r="105" spans="1:13" ht="13">
      <c r="A105" s="660" t="s">
        <v>1590</v>
      </c>
      <c r="B105" s="662" t="s">
        <v>582</v>
      </c>
      <c r="C105" s="662" t="s">
        <v>1623</v>
      </c>
      <c r="D105" s="660"/>
      <c r="E105" s="660"/>
      <c r="F105" s="660"/>
      <c r="G105" s="660"/>
      <c r="H105" s="59">
        <f>USDemand!C272</f>
        <v>4.0433636656123353</v>
      </c>
      <c r="I105" s="660"/>
      <c r="J105" s="58"/>
      <c r="K105" s="43"/>
      <c r="L105" s="656"/>
      <c r="M105" s="656">
        <v>0.15</v>
      </c>
    </row>
    <row r="106" spans="1:13">
      <c r="A106" s="660" t="s">
        <v>1590</v>
      </c>
      <c r="B106" s="662" t="s">
        <v>584</v>
      </c>
      <c r="C106" s="662" t="s">
        <v>1624</v>
      </c>
      <c r="D106" s="660" t="e">
        <f>#REF!</f>
        <v>#REF!</v>
      </c>
      <c r="E106" s="660" t="e">
        <f>#REF!</f>
        <v>#REF!</v>
      </c>
      <c r="F106" s="660" t="e">
        <f>#REF!</f>
        <v>#REF!</v>
      </c>
      <c r="G106" s="660"/>
      <c r="H106" s="34" t="e">
        <f t="shared" ref="H106:H107" si="17">F106/3.413</f>
        <v>#REF!</v>
      </c>
      <c r="I106" s="660" t="e">
        <f>#REF!</f>
        <v>#REF!</v>
      </c>
      <c r="J106" s="58" t="e">
        <f>I106*'Conv Factors'!$C$53/'Conv Factors'!$B$7/L106/'Conv Factors'!$B$2/'Conv Factors'!$B$3/'Conv Factors'!$B$4*'Conv Factors'!$B$6</f>
        <v>#REF!</v>
      </c>
      <c r="K106" s="43"/>
      <c r="L106" s="656">
        <v>36000</v>
      </c>
      <c r="M106" s="656">
        <v>0.15</v>
      </c>
    </row>
    <row r="107" spans="1:13">
      <c r="A107" s="660" t="s">
        <v>1590</v>
      </c>
      <c r="B107" s="662" t="s">
        <v>586</v>
      </c>
      <c r="C107" s="662" t="s">
        <v>1625</v>
      </c>
      <c r="D107" s="660" t="e">
        <f>#REF!</f>
        <v>#REF!</v>
      </c>
      <c r="E107" s="660" t="e">
        <f>#REF!</f>
        <v>#REF!</v>
      </c>
      <c r="F107" s="660" t="e">
        <f>#REF!</f>
        <v>#REF!</v>
      </c>
      <c r="G107" s="660"/>
      <c r="H107" s="34" t="e">
        <f t="shared" si="17"/>
        <v>#REF!</v>
      </c>
      <c r="I107" s="660" t="e">
        <f>#REF!</f>
        <v>#REF!</v>
      </c>
      <c r="J107" s="58" t="e">
        <f>I107*'Conv Factors'!$C$53/'Conv Factors'!$B$7/L107/'Conv Factors'!$B$2/'Conv Factors'!$B$3/'Conv Factors'!$B$4*'Conv Factors'!$B$6</f>
        <v>#REF!</v>
      </c>
      <c r="K107" s="43"/>
      <c r="L107" s="656">
        <v>36000</v>
      </c>
      <c r="M107" s="656">
        <v>0.15</v>
      </c>
    </row>
    <row r="108" spans="1:13">
      <c r="A108" s="660" t="s">
        <v>1590</v>
      </c>
      <c r="B108" s="662" t="s">
        <v>588</v>
      </c>
      <c r="C108" s="662" t="s">
        <v>1626</v>
      </c>
      <c r="D108" s="660" t="e">
        <f>#REF!</f>
        <v>#REF!</v>
      </c>
      <c r="E108" s="660" t="e">
        <f>#REF!</f>
        <v>#REF!</v>
      </c>
      <c r="F108" s="660" t="e">
        <f>#REF!</f>
        <v>#REF!</v>
      </c>
      <c r="G108" s="660"/>
      <c r="H108" s="34" t="e">
        <f t="shared" ref="H108" si="18">F108/3.413</f>
        <v>#REF!</v>
      </c>
      <c r="I108" s="660" t="e">
        <f>#REF!</f>
        <v>#REF!</v>
      </c>
      <c r="J108" s="58" t="e">
        <f>I108*'Conv Factors'!$C$53/'Conv Factors'!$B$7/L108/'Conv Factors'!$B$2/'Conv Factors'!$B$3/'Conv Factors'!$B$4*'Conv Factors'!$B$6</f>
        <v>#REF!</v>
      </c>
      <c r="K108" s="43"/>
      <c r="L108" s="656">
        <v>36000</v>
      </c>
      <c r="M108" s="656">
        <v>0.15</v>
      </c>
    </row>
    <row r="109" spans="1:13">
      <c r="A109" s="660"/>
      <c r="B109" s="660"/>
      <c r="C109" s="660"/>
      <c r="D109" s="660"/>
      <c r="E109" s="660"/>
      <c r="F109" s="660"/>
      <c r="G109" s="660"/>
      <c r="H109" s="34"/>
      <c r="I109" s="660"/>
      <c r="J109" s="58"/>
      <c r="K109" s="43"/>
      <c r="L109" s="656"/>
      <c r="M109" s="43"/>
    </row>
    <row r="110" spans="1:13" ht="13">
      <c r="A110" s="660" t="s">
        <v>1590</v>
      </c>
      <c r="B110" s="662" t="s">
        <v>590</v>
      </c>
      <c r="C110" s="662" t="s">
        <v>1047</v>
      </c>
      <c r="D110" s="660"/>
      <c r="E110" s="660"/>
      <c r="F110" s="660"/>
      <c r="G110" s="660"/>
      <c r="H110" s="59">
        <f>USDemand!C270</f>
        <v>0.67000001668930098</v>
      </c>
      <c r="I110" s="660"/>
      <c r="J110" s="58"/>
      <c r="K110" s="43"/>
      <c r="L110" s="656"/>
      <c r="M110" s="656">
        <v>0.15</v>
      </c>
    </row>
    <row r="111" spans="1:13">
      <c r="A111" s="660" t="s">
        <v>1590</v>
      </c>
      <c r="B111" s="662" t="s">
        <v>592</v>
      </c>
      <c r="C111" s="662" t="s">
        <v>1048</v>
      </c>
      <c r="D111" s="660" t="e">
        <f>#REF!</f>
        <v>#REF!</v>
      </c>
      <c r="E111" s="660" t="e">
        <f>#REF!</f>
        <v>#REF!</v>
      </c>
      <c r="F111" s="660" t="e">
        <f>#REF!</f>
        <v>#REF!</v>
      </c>
      <c r="G111" s="660"/>
      <c r="H111" s="34" t="e">
        <f>F111</f>
        <v>#REF!</v>
      </c>
      <c r="I111" s="660" t="e">
        <f>#REF!</f>
        <v>#REF!</v>
      </c>
      <c r="J111" s="58" t="e">
        <f>I111*'Conv Factors'!$C$53/'Conv Factors'!$B$7/L111/'Conv Factors'!$B$2/'Conv Factors'!$B$3/'Conv Factors'!$B$4*'Conv Factors'!$B$6</f>
        <v>#REF!</v>
      </c>
      <c r="K111" s="41"/>
      <c r="L111" s="656">
        <v>36000</v>
      </c>
      <c r="M111" s="656">
        <v>0.15</v>
      </c>
    </row>
    <row r="112" spans="1:13">
      <c r="A112" s="660" t="s">
        <v>1590</v>
      </c>
      <c r="B112" s="662" t="s">
        <v>594</v>
      </c>
      <c r="C112" s="662" t="s">
        <v>1049</v>
      </c>
      <c r="D112" s="660" t="e">
        <f>#REF!</f>
        <v>#REF!</v>
      </c>
      <c r="E112" s="660" t="e">
        <f>#REF!</f>
        <v>#REF!</v>
      </c>
      <c r="F112" s="660" t="e">
        <f>#REF!</f>
        <v>#REF!</v>
      </c>
      <c r="G112" s="660"/>
      <c r="H112" s="34" t="e">
        <f>F112</f>
        <v>#REF!</v>
      </c>
      <c r="I112" s="660" t="e">
        <f>#REF!</f>
        <v>#REF!</v>
      </c>
      <c r="J112" s="58" t="e">
        <f>I112*'Conv Factors'!$C$53/'Conv Factors'!$B$7/L112/'Conv Factors'!$B$2/'Conv Factors'!$B$3/'Conv Factors'!$B$4*'Conv Factors'!$B$6</f>
        <v>#REF!</v>
      </c>
      <c r="K112" s="41"/>
      <c r="L112" s="656">
        <v>36000</v>
      </c>
      <c r="M112" s="656">
        <v>0.15</v>
      </c>
    </row>
    <row r="113" spans="1:13">
      <c r="A113" s="660"/>
      <c r="B113" s="662"/>
      <c r="C113" s="662"/>
      <c r="D113" s="660"/>
      <c r="E113" s="660"/>
      <c r="F113" s="660"/>
      <c r="G113" s="660"/>
      <c r="H113" s="34"/>
      <c r="I113" s="660"/>
      <c r="J113" s="58"/>
      <c r="K113" s="41"/>
      <c r="L113" s="656"/>
      <c r="M113" s="43"/>
    </row>
    <row r="114" spans="1:13" ht="13">
      <c r="A114" s="660" t="s">
        <v>1590</v>
      </c>
      <c r="B114" s="662" t="s">
        <v>1050</v>
      </c>
      <c r="C114" s="662" t="s">
        <v>1051</v>
      </c>
      <c r="D114" s="660"/>
      <c r="E114" s="660"/>
      <c r="F114" s="660"/>
      <c r="G114" s="660"/>
      <c r="H114" s="59">
        <f>USDemand!C282</f>
        <v>0.57569998502731301</v>
      </c>
      <c r="I114" s="660"/>
      <c r="J114" s="58"/>
      <c r="K114" s="43"/>
      <c r="L114" s="656"/>
      <c r="M114" s="43">
        <v>0.1</v>
      </c>
    </row>
    <row r="115" spans="1:13">
      <c r="A115" s="660" t="s">
        <v>1590</v>
      </c>
      <c r="B115" s="662" t="s">
        <v>1052</v>
      </c>
      <c r="C115" s="662" t="s">
        <v>1053</v>
      </c>
      <c r="D115" s="660" t="e">
        <f>#REF!</f>
        <v>#REF!</v>
      </c>
      <c r="E115" s="660" t="e">
        <f>#REF!</f>
        <v>#REF!</v>
      </c>
      <c r="F115" s="660" t="e">
        <f>#REF!</f>
        <v>#REF!</v>
      </c>
      <c r="G115" s="660"/>
      <c r="H115" s="34" t="e">
        <f t="shared" ref="H115:H120" si="19">F115</f>
        <v>#REF!</v>
      </c>
      <c r="I115" s="660" t="e">
        <f>#REF!</f>
        <v>#REF!</v>
      </c>
      <c r="J115" s="58" t="e">
        <f>I115*'Conv Factors'!$C$53/'Conv Factors'!$B$7/#REF!*'Conv Factors'!$B$11*M115</f>
        <v>#REF!</v>
      </c>
      <c r="K115" s="43"/>
      <c r="L115" s="656"/>
      <c r="M115" s="43">
        <v>0.1</v>
      </c>
    </row>
    <row r="116" spans="1:13">
      <c r="A116" s="660" t="s">
        <v>1590</v>
      </c>
      <c r="B116" s="662" t="s">
        <v>1054</v>
      </c>
      <c r="C116" s="662" t="s">
        <v>837</v>
      </c>
      <c r="D116" s="660" t="e">
        <f>#REF!</f>
        <v>#REF!</v>
      </c>
      <c r="E116" s="660" t="e">
        <f>#REF!</f>
        <v>#REF!</v>
      </c>
      <c r="F116" s="660" t="e">
        <f>#REF!</f>
        <v>#REF!</v>
      </c>
      <c r="G116" s="660"/>
      <c r="H116" s="34" t="e">
        <f t="shared" ref="H116" si="20">F116</f>
        <v>#REF!</v>
      </c>
      <c r="I116" s="660" t="e">
        <f>#REF!</f>
        <v>#REF!</v>
      </c>
      <c r="J116" s="58" t="e">
        <f>I116*'Conv Factors'!$C$53/'Conv Factors'!$B$7/#REF!*'Conv Factors'!$B$11*M116</f>
        <v>#REF!</v>
      </c>
      <c r="K116" s="43"/>
      <c r="L116" s="656"/>
      <c r="M116" s="43">
        <v>0.1</v>
      </c>
    </row>
    <row r="117" spans="1:13">
      <c r="A117" s="660" t="s">
        <v>1590</v>
      </c>
      <c r="B117" s="662" t="s">
        <v>1055</v>
      </c>
      <c r="C117" s="662" t="s">
        <v>1056</v>
      </c>
      <c r="D117" s="660" t="e">
        <f>#REF!</f>
        <v>#REF!</v>
      </c>
      <c r="E117" s="660" t="e">
        <f>#REF!</f>
        <v>#REF!</v>
      </c>
      <c r="F117" s="660" t="e">
        <f>#REF!</f>
        <v>#REF!</v>
      </c>
      <c r="G117" s="660"/>
      <c r="H117" s="34" t="e">
        <f t="shared" si="19"/>
        <v>#REF!</v>
      </c>
      <c r="I117" s="660" t="e">
        <f>#REF!</f>
        <v>#REF!</v>
      </c>
      <c r="J117" s="58" t="e">
        <f>I117*'Conv Factors'!$C$53/'Conv Factors'!$B$7/#REF!*'Conv Factors'!$B$11*M117</f>
        <v>#REF!</v>
      </c>
      <c r="K117" s="43"/>
      <c r="L117" s="656"/>
      <c r="M117" s="43">
        <v>0.1</v>
      </c>
    </row>
    <row r="118" spans="1:13">
      <c r="A118" s="660" t="s">
        <v>1590</v>
      </c>
      <c r="B118" s="662" t="s">
        <v>1057</v>
      </c>
      <c r="C118" s="662" t="s">
        <v>1058</v>
      </c>
      <c r="D118" s="660" t="e">
        <f>#REF!</f>
        <v>#REF!</v>
      </c>
      <c r="E118" s="660" t="e">
        <f>#REF!</f>
        <v>#REF!</v>
      </c>
      <c r="F118" s="660" t="e">
        <f>#REF!</f>
        <v>#REF!</v>
      </c>
      <c r="G118" s="660"/>
      <c r="H118" s="34" t="e">
        <f t="shared" ref="H118" si="21">F118</f>
        <v>#REF!</v>
      </c>
      <c r="I118" s="660" t="e">
        <f>#REF!</f>
        <v>#REF!</v>
      </c>
      <c r="J118" s="58" t="e">
        <f>I118*'Conv Factors'!$C$53/'Conv Factors'!$B$7/#REF!*'Conv Factors'!$B$11*M118</f>
        <v>#REF!</v>
      </c>
      <c r="K118" s="43"/>
      <c r="L118" s="656"/>
      <c r="M118" s="43">
        <v>0.1</v>
      </c>
    </row>
    <row r="119" spans="1:13">
      <c r="A119" s="660" t="s">
        <v>1590</v>
      </c>
      <c r="B119" s="662" t="s">
        <v>1059</v>
      </c>
      <c r="C119" s="662" t="s">
        <v>1060</v>
      </c>
      <c r="D119" s="660" t="e">
        <f>#REF!</f>
        <v>#REF!</v>
      </c>
      <c r="E119" s="660" t="e">
        <f>#REF!</f>
        <v>#REF!</v>
      </c>
      <c r="F119" s="660" t="e">
        <f>#REF!</f>
        <v>#REF!</v>
      </c>
      <c r="G119" s="660"/>
      <c r="H119" s="34" t="e">
        <f t="shared" ref="H119" si="22">F119</f>
        <v>#REF!</v>
      </c>
      <c r="I119" s="660" t="e">
        <f>#REF!</f>
        <v>#REF!</v>
      </c>
      <c r="J119" s="58" t="e">
        <f>I119*'Conv Factors'!$C$53/'Conv Factors'!$B$7/#REF!*'Conv Factors'!$B$11*M119</f>
        <v>#REF!</v>
      </c>
      <c r="K119" s="43"/>
      <c r="L119" s="656"/>
      <c r="M119" s="43">
        <v>0.1</v>
      </c>
    </row>
    <row r="120" spans="1:13">
      <c r="A120" s="660" t="s">
        <v>1590</v>
      </c>
      <c r="B120" s="662" t="s">
        <v>1061</v>
      </c>
      <c r="C120" s="662" t="s">
        <v>1062</v>
      </c>
      <c r="D120" s="660" t="e">
        <f>#REF!</f>
        <v>#REF!</v>
      </c>
      <c r="E120" s="660" t="e">
        <f>#REF!</f>
        <v>#REF!</v>
      </c>
      <c r="F120" s="660" t="e">
        <f>#REF!</f>
        <v>#REF!</v>
      </c>
      <c r="G120" s="42"/>
      <c r="H120" s="34" t="e">
        <f t="shared" si="19"/>
        <v>#REF!</v>
      </c>
      <c r="I120" s="660" t="e">
        <f>#REF!</f>
        <v>#REF!</v>
      </c>
      <c r="J120" s="58" t="e">
        <f>I120*'Conv Factors'!$C$53/'Conv Factors'!$B$7/#REF!*'Conv Factors'!$B$11*M120</f>
        <v>#REF!</v>
      </c>
      <c r="K120" s="660"/>
      <c r="L120" s="656"/>
      <c r="M120" s="43">
        <v>0.1</v>
      </c>
    </row>
    <row r="121" spans="1:13">
      <c r="A121" s="660"/>
      <c r="B121" s="660"/>
      <c r="C121" s="660"/>
      <c r="D121" s="660"/>
      <c r="E121" s="660"/>
      <c r="F121" s="660"/>
      <c r="G121" s="42"/>
      <c r="H121" s="34"/>
      <c r="I121" s="660"/>
      <c r="J121" s="58"/>
      <c r="K121" s="60"/>
      <c r="L121" s="656"/>
      <c r="M121" s="43"/>
    </row>
    <row r="122" spans="1:13" ht="13">
      <c r="A122" s="660" t="s">
        <v>1590</v>
      </c>
      <c r="B122" s="662" t="s">
        <v>1063</v>
      </c>
      <c r="C122" s="662" t="s">
        <v>1064</v>
      </c>
      <c r="D122" s="660"/>
      <c r="E122" s="660"/>
      <c r="F122" s="660"/>
      <c r="G122" s="42"/>
      <c r="H122" s="59">
        <f>USDemand!C281</f>
        <v>0.88819998502731301</v>
      </c>
      <c r="I122" s="660"/>
      <c r="J122" s="58"/>
      <c r="K122" s="60"/>
      <c r="L122" s="656"/>
      <c r="M122" s="43">
        <v>0.1</v>
      </c>
    </row>
    <row r="123" spans="1:13">
      <c r="A123" s="660" t="s">
        <v>1590</v>
      </c>
      <c r="B123" s="662" t="s">
        <v>1065</v>
      </c>
      <c r="C123" s="662" t="s">
        <v>1066</v>
      </c>
      <c r="D123" s="660" t="e">
        <f>#REF!</f>
        <v>#REF!</v>
      </c>
      <c r="E123" s="660" t="e">
        <f>#REF!</f>
        <v>#REF!</v>
      </c>
      <c r="F123" s="660" t="e">
        <f>#REF!</f>
        <v>#REF!</v>
      </c>
      <c r="G123" s="42"/>
      <c r="H123" s="34" t="e">
        <f t="shared" ref="H123:H127" si="23">F123</f>
        <v>#REF!</v>
      </c>
      <c r="I123" s="660" t="e">
        <f>#REF!</f>
        <v>#REF!</v>
      </c>
      <c r="J123" s="58" t="e">
        <f>I123*'Conv Factors'!$C$53/'Conv Factors'!$B$7/#REF!*'Conv Factors'!$B$11*M123</f>
        <v>#REF!</v>
      </c>
      <c r="K123" s="60"/>
      <c r="L123" s="656"/>
      <c r="M123" s="43">
        <v>0.1</v>
      </c>
    </row>
    <row r="124" spans="1:13">
      <c r="A124" s="660" t="s">
        <v>1590</v>
      </c>
      <c r="B124" s="662" t="s">
        <v>1067</v>
      </c>
      <c r="C124" s="662" t="s">
        <v>1068</v>
      </c>
      <c r="D124" s="660" t="e">
        <f>#REF!</f>
        <v>#REF!</v>
      </c>
      <c r="E124" s="660" t="e">
        <f>#REF!</f>
        <v>#REF!</v>
      </c>
      <c r="F124" s="660" t="e">
        <f>#REF!</f>
        <v>#REF!</v>
      </c>
      <c r="G124" s="42"/>
      <c r="H124" s="34" t="e">
        <f t="shared" si="23"/>
        <v>#REF!</v>
      </c>
      <c r="I124" s="660" t="e">
        <f>#REF!</f>
        <v>#REF!</v>
      </c>
      <c r="J124" s="58" t="e">
        <f>I124*'Conv Factors'!$C$53/'Conv Factors'!$B$7/#REF!*'Conv Factors'!$B$11*M124</f>
        <v>#REF!</v>
      </c>
      <c r="K124" s="60"/>
      <c r="L124" s="656"/>
      <c r="M124" s="43">
        <v>0.1</v>
      </c>
    </row>
    <row r="125" spans="1:13">
      <c r="A125" s="660" t="s">
        <v>1590</v>
      </c>
      <c r="B125" s="662" t="s">
        <v>1069</v>
      </c>
      <c r="C125" s="662" t="s">
        <v>1070</v>
      </c>
      <c r="D125" s="660" t="e">
        <f>#REF!</f>
        <v>#REF!</v>
      </c>
      <c r="E125" s="660" t="e">
        <f>#REF!</f>
        <v>#REF!</v>
      </c>
      <c r="F125" s="660" t="e">
        <f>#REF!</f>
        <v>#REF!</v>
      </c>
      <c r="G125" s="42"/>
      <c r="H125" s="34" t="e">
        <f t="shared" si="23"/>
        <v>#REF!</v>
      </c>
      <c r="I125" s="660" t="e">
        <f>#REF!</f>
        <v>#REF!</v>
      </c>
      <c r="J125" s="58" t="e">
        <f>I125*'Conv Factors'!$C$53/'Conv Factors'!$B$7/#REF!*'Conv Factors'!$B$11*M125</f>
        <v>#REF!</v>
      </c>
      <c r="K125" s="60"/>
      <c r="L125" s="656"/>
      <c r="M125" s="43">
        <v>0.1</v>
      </c>
    </row>
    <row r="126" spans="1:13">
      <c r="A126" s="660" t="s">
        <v>1590</v>
      </c>
      <c r="B126" s="662" t="s">
        <v>1071</v>
      </c>
      <c r="C126" s="662" t="s">
        <v>1072</v>
      </c>
      <c r="D126" s="660" t="e">
        <f>#REF!</f>
        <v>#REF!</v>
      </c>
      <c r="E126" s="660" t="e">
        <f>#REF!</f>
        <v>#REF!</v>
      </c>
      <c r="F126" s="660" t="e">
        <f>#REF!</f>
        <v>#REF!</v>
      </c>
      <c r="G126" s="42"/>
      <c r="H126" s="34" t="e">
        <f t="shared" si="23"/>
        <v>#REF!</v>
      </c>
      <c r="I126" s="660" t="e">
        <f>#REF!</f>
        <v>#REF!</v>
      </c>
      <c r="J126" s="58" t="e">
        <f>I126*'Conv Factors'!$C$53/'Conv Factors'!$B$7/#REF!*'Conv Factors'!$B$11*M126</f>
        <v>#REF!</v>
      </c>
      <c r="K126" s="60"/>
      <c r="L126" s="656"/>
      <c r="M126" s="43">
        <v>0.1</v>
      </c>
    </row>
    <row r="127" spans="1:13">
      <c r="A127" s="660" t="s">
        <v>1590</v>
      </c>
      <c r="B127" s="662" t="s">
        <v>1073</v>
      </c>
      <c r="C127" s="662" t="s">
        <v>1074</v>
      </c>
      <c r="D127" s="660" t="e">
        <f>#REF!</f>
        <v>#REF!</v>
      </c>
      <c r="E127" s="660" t="e">
        <f>#REF!</f>
        <v>#REF!</v>
      </c>
      <c r="F127" s="660" t="e">
        <f>#REF!</f>
        <v>#REF!</v>
      </c>
      <c r="G127" s="42"/>
      <c r="H127" s="34" t="e">
        <f t="shared" si="23"/>
        <v>#REF!</v>
      </c>
      <c r="I127" s="660" t="e">
        <f>#REF!</f>
        <v>#REF!</v>
      </c>
      <c r="J127" s="58" t="e">
        <f>I127*'Conv Factors'!$C$53/'Conv Factors'!$B$7/#REF!*'Conv Factors'!$B$11*M127</f>
        <v>#REF!</v>
      </c>
      <c r="K127" s="60"/>
      <c r="L127" s="656"/>
      <c r="M127" s="43">
        <v>0.1</v>
      </c>
    </row>
    <row r="128" spans="1:13">
      <c r="A128" s="660" t="s">
        <v>1590</v>
      </c>
      <c r="B128" s="662" t="s">
        <v>1075</v>
      </c>
      <c r="C128" s="662" t="s">
        <v>1076</v>
      </c>
      <c r="D128" s="660" t="e">
        <f>#REF!</f>
        <v>#REF!</v>
      </c>
      <c r="E128" s="660" t="e">
        <f>#REF!</f>
        <v>#REF!</v>
      </c>
      <c r="F128" s="660" t="e">
        <f>#REF!</f>
        <v>#REF!</v>
      </c>
      <c r="G128" s="42"/>
      <c r="H128" s="34" t="e">
        <f t="shared" ref="H128:H129" si="24">F128</f>
        <v>#REF!</v>
      </c>
      <c r="I128" s="660" t="e">
        <f>#REF!</f>
        <v>#REF!</v>
      </c>
      <c r="J128" s="58" t="e">
        <f>I128*'Conv Factors'!$C$53/'Conv Factors'!$B$7/#REF!*'Conv Factors'!$B$11*M128</f>
        <v>#REF!</v>
      </c>
      <c r="K128" s="60"/>
      <c r="L128" s="656"/>
      <c r="M128" s="43">
        <v>0.1</v>
      </c>
    </row>
    <row r="129" spans="1:13">
      <c r="A129" s="660" t="s">
        <v>1590</v>
      </c>
      <c r="B129" s="662" t="s">
        <v>1077</v>
      </c>
      <c r="C129" s="662" t="s">
        <v>1078</v>
      </c>
      <c r="D129" s="660" t="e">
        <f>#REF!</f>
        <v>#REF!</v>
      </c>
      <c r="E129" s="660" t="e">
        <f>#REF!</f>
        <v>#REF!</v>
      </c>
      <c r="F129" s="660" t="e">
        <f>#REF!</f>
        <v>#REF!</v>
      </c>
      <c r="G129" s="660"/>
      <c r="H129" s="34" t="e">
        <f t="shared" si="24"/>
        <v>#REF!</v>
      </c>
      <c r="I129" s="660" t="e">
        <f>#REF!</f>
        <v>#REF!</v>
      </c>
      <c r="J129" s="58" t="e">
        <f>I129*'Conv Factors'!$C$53/'Conv Factors'!$B$7/#REF!*'Conv Factors'!$B$11*M129</f>
        <v>#REF!</v>
      </c>
      <c r="K129" s="660"/>
      <c r="L129" s="656"/>
      <c r="M129" s="43">
        <v>0.1</v>
      </c>
    </row>
    <row r="130" spans="1:13">
      <c r="A130" s="660"/>
      <c r="B130" s="660"/>
      <c r="C130" s="660"/>
      <c r="D130" s="660"/>
      <c r="E130" s="660"/>
      <c r="F130" s="660"/>
      <c r="G130" s="660"/>
      <c r="H130" s="34"/>
      <c r="I130" s="660"/>
      <c r="J130" s="58"/>
      <c r="K130" s="660"/>
      <c r="L130" s="656"/>
      <c r="M130" s="43"/>
    </row>
    <row r="131" spans="1:13" ht="13">
      <c r="A131" s="660" t="s">
        <v>1590</v>
      </c>
      <c r="B131" s="662" t="s">
        <v>1079</v>
      </c>
      <c r="C131" s="662" t="s">
        <v>1080</v>
      </c>
      <c r="D131" s="660"/>
      <c r="E131" s="660"/>
      <c r="F131" s="660"/>
      <c r="G131" s="660"/>
      <c r="H131" s="59">
        <f>USDemand!C283</f>
        <v>0.54500001668930098</v>
      </c>
      <c r="I131" s="660"/>
      <c r="J131" s="58"/>
      <c r="K131" s="660"/>
      <c r="L131" s="656"/>
      <c r="M131" s="43"/>
    </row>
    <row r="132" spans="1:13">
      <c r="A132" s="660" t="s">
        <v>1590</v>
      </c>
      <c r="B132" s="662" t="s">
        <v>1081</v>
      </c>
      <c r="C132" s="662" t="s">
        <v>1082</v>
      </c>
      <c r="D132" s="660" t="e">
        <f>#REF!</f>
        <v>#REF!</v>
      </c>
      <c r="E132" s="660" t="e">
        <f>#REF!</f>
        <v>#REF!</v>
      </c>
      <c r="F132" s="660" t="e">
        <f>#REF!</f>
        <v>#REF!</v>
      </c>
      <c r="G132" s="660"/>
      <c r="H132" s="34" t="e">
        <f>F132</f>
        <v>#REF!</v>
      </c>
      <c r="I132" s="660" t="e">
        <f>#REF!</f>
        <v>#REF!</v>
      </c>
      <c r="J132" s="58" t="e">
        <f>I132*'Conv Factors'!$C$53/'Conv Factors'!$B$7/#REF!*'Conv Factors'!$B$11*M132</f>
        <v>#REF!</v>
      </c>
      <c r="K132" s="660"/>
      <c r="L132" s="660"/>
      <c r="M132" s="43">
        <v>0.1</v>
      </c>
    </row>
    <row r="133" spans="1:13">
      <c r="A133" s="660" t="s">
        <v>1590</v>
      </c>
      <c r="B133" s="662" t="s">
        <v>1083</v>
      </c>
      <c r="C133" s="662" t="s">
        <v>1084</v>
      </c>
      <c r="D133" s="660" t="e">
        <f>#REF!</f>
        <v>#REF!</v>
      </c>
      <c r="E133" s="660" t="e">
        <f>#REF!</f>
        <v>#REF!</v>
      </c>
      <c r="F133" s="660" t="e">
        <f>#REF!</f>
        <v>#REF!</v>
      </c>
      <c r="G133" s="660"/>
      <c r="H133" s="34" t="e">
        <f>F133</f>
        <v>#REF!</v>
      </c>
      <c r="I133" s="660" t="e">
        <f>#REF!</f>
        <v>#REF!</v>
      </c>
      <c r="J133" s="58" t="e">
        <f>I133*'Conv Factors'!$C$53/'Conv Factors'!$B$7/#REF!*'Conv Factors'!$B$11*M133</f>
        <v>#REF!</v>
      </c>
      <c r="K133" s="660"/>
      <c r="L133" s="660"/>
      <c r="M133" s="43">
        <v>0.1</v>
      </c>
    </row>
    <row r="134" spans="1:13">
      <c r="A134" s="660" t="s">
        <v>1590</v>
      </c>
      <c r="B134" s="662" t="s">
        <v>1085</v>
      </c>
      <c r="C134" s="662" t="s">
        <v>1086</v>
      </c>
      <c r="D134" s="660" t="e">
        <f>#REF!</f>
        <v>#REF!</v>
      </c>
      <c r="E134" s="660" t="e">
        <f>#REF!</f>
        <v>#REF!</v>
      </c>
      <c r="F134" s="660" t="e">
        <f>#REF!</f>
        <v>#REF!</v>
      </c>
      <c r="G134" s="660"/>
      <c r="H134" s="34" t="e">
        <f>F134</f>
        <v>#REF!</v>
      </c>
      <c r="I134" s="660" t="e">
        <f>#REF!</f>
        <v>#REF!</v>
      </c>
      <c r="J134" s="58" t="e">
        <f>I134*'Conv Factors'!$C$53/'Conv Factors'!$B$7/#REF!*'Conv Factors'!$B$11*M134</f>
        <v>#REF!</v>
      </c>
      <c r="K134" s="660"/>
      <c r="L134" s="660"/>
      <c r="M134" s="43">
        <v>0.1</v>
      </c>
    </row>
    <row r="135" spans="1:13">
      <c r="A135" s="660"/>
      <c r="B135" s="662"/>
      <c r="C135" s="662"/>
      <c r="D135" s="660"/>
      <c r="E135" s="660"/>
      <c r="F135" s="660"/>
      <c r="G135" s="660"/>
      <c r="H135" s="34"/>
      <c r="I135" s="660"/>
      <c r="J135" s="58"/>
      <c r="K135" s="660"/>
      <c r="L135" s="660"/>
      <c r="M135" s="43"/>
    </row>
    <row r="136" spans="1:13" ht="13">
      <c r="A136" s="660" t="s">
        <v>1590</v>
      </c>
      <c r="B136" s="662" t="s">
        <v>1627</v>
      </c>
      <c r="C136" s="662" t="s">
        <v>1628</v>
      </c>
      <c r="D136" s="660"/>
      <c r="E136" s="660"/>
      <c r="F136" s="660"/>
      <c r="G136" s="660"/>
      <c r="H136" s="59">
        <f>USDemand!C284</f>
        <v>0.57480001449585005</v>
      </c>
      <c r="I136" s="660"/>
      <c r="J136" s="58"/>
      <c r="K136" s="660"/>
      <c r="L136" s="660"/>
      <c r="M136" s="43">
        <v>0.1</v>
      </c>
    </row>
    <row r="137" spans="1:13">
      <c r="A137" s="660" t="s">
        <v>1590</v>
      </c>
      <c r="B137" s="662" t="s">
        <v>1629</v>
      </c>
      <c r="C137" s="662" t="s">
        <v>1630</v>
      </c>
      <c r="D137" s="660" t="e">
        <f>#REF!</f>
        <v>#REF!</v>
      </c>
      <c r="E137" s="660" t="e">
        <f>#REF!</f>
        <v>#REF!</v>
      </c>
      <c r="F137" s="660" t="e">
        <f>#REF!</f>
        <v>#REF!</v>
      </c>
      <c r="G137" s="660"/>
      <c r="H137" s="34" t="e">
        <f t="shared" ref="H137:H143" si="25">F137</f>
        <v>#REF!</v>
      </c>
      <c r="I137" s="660" t="e">
        <f>#REF!</f>
        <v>#REF!</v>
      </c>
      <c r="J137" s="58" t="e">
        <f>I137*'Conv Factors'!$C$53/'Conv Factors'!$B$7/#REF!*'Conv Factors'!$B$11*M137</f>
        <v>#REF!</v>
      </c>
      <c r="K137" s="660"/>
      <c r="L137" s="660"/>
      <c r="M137" s="43">
        <v>0.1</v>
      </c>
    </row>
    <row r="138" spans="1:13">
      <c r="A138" s="660" t="s">
        <v>1590</v>
      </c>
      <c r="B138" s="662" t="s">
        <v>1631</v>
      </c>
      <c r="C138" s="662" t="s">
        <v>1632</v>
      </c>
      <c r="D138" s="660" t="e">
        <f>#REF!</f>
        <v>#REF!</v>
      </c>
      <c r="E138" s="660" t="e">
        <f>#REF!</f>
        <v>#REF!</v>
      </c>
      <c r="F138" s="660" t="e">
        <f>#REF!</f>
        <v>#REF!</v>
      </c>
      <c r="G138" s="660"/>
      <c r="H138" s="34" t="e">
        <f t="shared" ref="H138:H139" si="26">F138</f>
        <v>#REF!</v>
      </c>
      <c r="I138" s="660" t="e">
        <f>#REF!</f>
        <v>#REF!</v>
      </c>
      <c r="J138" s="58" t="e">
        <f>I138*'Conv Factors'!$C$53/'Conv Factors'!$B$7/#REF!*'Conv Factors'!$B$11*M138</f>
        <v>#REF!</v>
      </c>
      <c r="K138" s="660"/>
      <c r="L138" s="660"/>
      <c r="M138" s="43">
        <v>0.1</v>
      </c>
    </row>
    <row r="139" spans="1:13">
      <c r="A139" s="660" t="s">
        <v>1590</v>
      </c>
      <c r="B139" s="662" t="s">
        <v>1633</v>
      </c>
      <c r="C139" s="662" t="s">
        <v>1634</v>
      </c>
      <c r="D139" s="660" t="e">
        <f>#REF!</f>
        <v>#REF!</v>
      </c>
      <c r="E139" s="660" t="e">
        <f>#REF!</f>
        <v>#REF!</v>
      </c>
      <c r="F139" s="660" t="e">
        <f>#REF!</f>
        <v>#REF!</v>
      </c>
      <c r="G139" s="660"/>
      <c r="H139" s="34" t="e">
        <f t="shared" si="26"/>
        <v>#REF!</v>
      </c>
      <c r="I139" s="660" t="e">
        <f>#REF!</f>
        <v>#REF!</v>
      </c>
      <c r="J139" s="58" t="e">
        <f>I139*'Conv Factors'!$C$53/'Conv Factors'!$B$7/#REF!*'Conv Factors'!$B$11*M139</f>
        <v>#REF!</v>
      </c>
      <c r="K139" s="660"/>
      <c r="L139" s="660"/>
      <c r="M139" s="43">
        <v>0.1</v>
      </c>
    </row>
    <row r="140" spans="1:13">
      <c r="A140" s="660" t="s">
        <v>1590</v>
      </c>
      <c r="B140" s="662" t="s">
        <v>1635</v>
      </c>
      <c r="C140" s="662" t="s">
        <v>1636</v>
      </c>
      <c r="D140" s="660" t="e">
        <f>#REF!</f>
        <v>#REF!</v>
      </c>
      <c r="E140" s="660" t="e">
        <f>#REF!</f>
        <v>#REF!</v>
      </c>
      <c r="F140" s="660" t="e">
        <f>#REF!</f>
        <v>#REF!</v>
      </c>
      <c r="G140" s="660"/>
      <c r="H140" s="34" t="e">
        <f t="shared" si="25"/>
        <v>#REF!</v>
      </c>
      <c r="I140" s="660" t="e">
        <f>#REF!</f>
        <v>#REF!</v>
      </c>
      <c r="J140" s="58" t="e">
        <f>I140*'Conv Factors'!$C$53/'Conv Factors'!$B$7/#REF!*'Conv Factors'!$B$11*M140</f>
        <v>#REF!</v>
      </c>
      <c r="K140" s="660"/>
      <c r="L140" s="660"/>
      <c r="M140" s="43">
        <v>0.1</v>
      </c>
    </row>
    <row r="141" spans="1:13">
      <c r="A141" s="660" t="s">
        <v>1590</v>
      </c>
      <c r="B141" s="662" t="s">
        <v>1637</v>
      </c>
      <c r="C141" s="662" t="s">
        <v>1638</v>
      </c>
      <c r="D141" s="660" t="e">
        <f>#REF!</f>
        <v>#REF!</v>
      </c>
      <c r="E141" s="660" t="e">
        <f>#REF!</f>
        <v>#REF!</v>
      </c>
      <c r="F141" s="660" t="e">
        <f>#REF!</f>
        <v>#REF!</v>
      </c>
      <c r="G141" s="660"/>
      <c r="H141" s="34" t="e">
        <f t="shared" ref="H141" si="27">F141</f>
        <v>#REF!</v>
      </c>
      <c r="I141" s="660" t="e">
        <f>#REF!</f>
        <v>#REF!</v>
      </c>
      <c r="J141" s="58" t="e">
        <f>I141*'Conv Factors'!$C$53/'Conv Factors'!$B$7/#REF!*'Conv Factors'!$B$11*M141</f>
        <v>#REF!</v>
      </c>
      <c r="K141" s="660"/>
      <c r="L141" s="660"/>
      <c r="M141" s="43">
        <v>0.1</v>
      </c>
    </row>
    <row r="142" spans="1:13">
      <c r="A142" s="660" t="s">
        <v>1590</v>
      </c>
      <c r="B142" s="662" t="s">
        <v>1639</v>
      </c>
      <c r="C142" s="662" t="s">
        <v>1640</v>
      </c>
      <c r="D142" s="660" t="e">
        <f>#REF!</f>
        <v>#REF!</v>
      </c>
      <c r="E142" s="660" t="e">
        <f>#REF!</f>
        <v>#REF!</v>
      </c>
      <c r="F142" s="660" t="e">
        <f>#REF!</f>
        <v>#REF!</v>
      </c>
      <c r="G142" s="660"/>
      <c r="H142" s="34" t="e">
        <f t="shared" si="25"/>
        <v>#REF!</v>
      </c>
      <c r="I142" s="660" t="e">
        <f>#REF!</f>
        <v>#REF!</v>
      </c>
      <c r="J142" s="58" t="e">
        <f>I142*'Conv Factors'!$C$53/'Conv Factors'!$B$7/#REF!*'Conv Factors'!$B$11*M142</f>
        <v>#REF!</v>
      </c>
      <c r="K142" s="660"/>
      <c r="L142" s="660"/>
      <c r="M142" s="43">
        <v>0.1</v>
      </c>
    </row>
    <row r="143" spans="1:13">
      <c r="A143" s="660" t="s">
        <v>1590</v>
      </c>
      <c r="B143" s="662" t="s">
        <v>1641</v>
      </c>
      <c r="C143" s="662" t="s">
        <v>1642</v>
      </c>
      <c r="D143" s="660" t="e">
        <f>#REF!</f>
        <v>#REF!</v>
      </c>
      <c r="E143" s="660" t="e">
        <f>#REF!</f>
        <v>#REF!</v>
      </c>
      <c r="F143" s="660" t="e">
        <f>#REF!</f>
        <v>#REF!</v>
      </c>
      <c r="G143" s="660"/>
      <c r="H143" s="34" t="e">
        <f t="shared" si="25"/>
        <v>#REF!</v>
      </c>
      <c r="I143" s="660" t="e">
        <f>#REF!</f>
        <v>#REF!</v>
      </c>
      <c r="J143" s="58" t="e">
        <f>I143*'Conv Factors'!$C$53/'Conv Factors'!$B$7/#REF!*'Conv Factors'!$B$11*M143</f>
        <v>#REF!</v>
      </c>
      <c r="K143" s="660"/>
      <c r="L143" s="660"/>
      <c r="M143" s="43">
        <v>0.1</v>
      </c>
    </row>
    <row r="144" spans="1:13">
      <c r="A144" s="660"/>
      <c r="B144" s="660"/>
      <c r="C144" s="660"/>
      <c r="D144" s="660"/>
      <c r="E144" s="660"/>
      <c r="F144" s="660"/>
      <c r="G144" s="660"/>
      <c r="H144" s="42"/>
      <c r="I144" s="660"/>
      <c r="J144" s="58"/>
      <c r="K144" s="660"/>
      <c r="L144" s="660"/>
      <c r="M144" s="656"/>
    </row>
    <row r="145" spans="1:20" ht="13">
      <c r="A145" s="660" t="s">
        <v>1590</v>
      </c>
      <c r="B145" s="662" t="s">
        <v>897</v>
      </c>
      <c r="C145" s="662" t="s">
        <v>898</v>
      </c>
      <c r="D145" s="660" t="e">
        <f>#REF!</f>
        <v>#REF!</v>
      </c>
      <c r="E145" s="660" t="e">
        <f>#REF!</f>
        <v>#REF!</v>
      </c>
      <c r="F145" s="660" t="e">
        <f>#REF!</f>
        <v>#REF!</v>
      </c>
      <c r="G145" s="660"/>
      <c r="H145" s="59" t="e">
        <f t="shared" ref="H145:H146" si="28">F145</f>
        <v>#REF!</v>
      </c>
      <c r="I145" s="660" t="e">
        <f>#REF!</f>
        <v>#REF!</v>
      </c>
      <c r="J145" s="58" t="e">
        <f>I145*'Conv Factors'!$C$53/'Conv Factors'!$B$7/#REF!*'Conv Factors'!$B$11*M145</f>
        <v>#REF!</v>
      </c>
      <c r="K145" s="660"/>
      <c r="L145" s="660"/>
      <c r="M145" s="43">
        <v>0.1</v>
      </c>
      <c r="N145" s="660"/>
      <c r="O145" s="660"/>
      <c r="P145" s="660"/>
      <c r="Q145" s="660"/>
      <c r="R145" s="660"/>
      <c r="S145" s="660"/>
      <c r="T145" s="660"/>
    </row>
    <row r="146" spans="1:20">
      <c r="A146" s="660" t="s">
        <v>1590</v>
      </c>
      <c r="B146" s="662" t="s">
        <v>902</v>
      </c>
      <c r="C146" s="662" t="s">
        <v>903</v>
      </c>
      <c r="D146" s="660" t="e">
        <f>#REF!</f>
        <v>#REF!</v>
      </c>
      <c r="E146" s="660" t="e">
        <f>#REF!</f>
        <v>#REF!</v>
      </c>
      <c r="F146" s="660" t="e">
        <f>#REF!</f>
        <v>#REF!</v>
      </c>
      <c r="G146" s="660"/>
      <c r="H146" s="42" t="e">
        <f t="shared" si="28"/>
        <v>#REF!</v>
      </c>
      <c r="I146" s="660" t="e">
        <f>#REF!</f>
        <v>#REF!</v>
      </c>
      <c r="J146" s="58" t="e">
        <f>I146*'Conv Factors'!$C$53/'Conv Factors'!$B$7/#REF!*'Conv Factors'!$B$11*M146</f>
        <v>#REF!</v>
      </c>
      <c r="K146" s="660"/>
      <c r="L146" s="660"/>
      <c r="M146" s="43">
        <v>0.1</v>
      </c>
      <c r="N146" s="660"/>
      <c r="O146" s="660"/>
      <c r="P146" s="660"/>
      <c r="Q146" s="660"/>
      <c r="R146" s="660"/>
      <c r="S146" s="660"/>
      <c r="T146" s="660"/>
    </row>
    <row r="147" spans="1:20">
      <c r="A147" s="660" t="s">
        <v>1590</v>
      </c>
      <c r="B147" s="662" t="s">
        <v>906</v>
      </c>
      <c r="C147" s="662" t="s">
        <v>907</v>
      </c>
      <c r="D147" s="660" t="e">
        <f>#REF!</f>
        <v>#REF!</v>
      </c>
      <c r="E147" s="660" t="e">
        <f>#REF!</f>
        <v>#REF!</v>
      </c>
      <c r="F147" s="660" t="e">
        <f>#REF!</f>
        <v>#REF!</v>
      </c>
      <c r="G147" s="660"/>
      <c r="H147" s="42" t="e">
        <f t="shared" ref="H147" si="29">F147</f>
        <v>#REF!</v>
      </c>
      <c r="I147" s="660" t="e">
        <f>#REF!</f>
        <v>#REF!</v>
      </c>
      <c r="J147" s="58" t="e">
        <f>I147*'Conv Factors'!$C$53/'Conv Factors'!$B$7/#REF!*'Conv Factors'!$B$11*M147</f>
        <v>#REF!</v>
      </c>
      <c r="K147" s="660"/>
      <c r="L147" s="660"/>
      <c r="M147" s="43">
        <v>0.1</v>
      </c>
      <c r="N147" s="660"/>
      <c r="O147" s="660"/>
      <c r="P147" s="660"/>
      <c r="Q147" s="660"/>
      <c r="R147" s="660"/>
      <c r="S147" s="660"/>
      <c r="T147" s="660"/>
    </row>
    <row r="148" spans="1:20">
      <c r="A148" s="660"/>
      <c r="B148" s="662"/>
      <c r="C148" s="662"/>
      <c r="D148" s="660"/>
      <c r="E148" s="660"/>
      <c r="F148" s="660"/>
      <c r="G148" s="660"/>
      <c r="H148" s="42"/>
      <c r="I148" s="660"/>
      <c r="J148" s="58"/>
      <c r="K148" s="660"/>
      <c r="L148" s="660"/>
      <c r="M148" s="656"/>
      <c r="N148" s="660"/>
      <c r="O148" s="660"/>
      <c r="P148" s="660"/>
      <c r="Q148" s="660"/>
      <c r="R148" s="660"/>
      <c r="S148" s="660"/>
      <c r="T148" s="660"/>
    </row>
    <row r="149" spans="1:20" ht="13">
      <c r="A149" s="660" t="s">
        <v>1590</v>
      </c>
      <c r="B149" s="662" t="s">
        <v>1643</v>
      </c>
      <c r="C149" s="662" t="s">
        <v>160</v>
      </c>
      <c r="D149" s="660"/>
      <c r="E149" s="660"/>
      <c r="F149" s="660"/>
      <c r="G149" s="42">
        <f>'Conv Factors'!$B$10/USDemand!C288*'Conv Factors'!$B$6/'Conv Factors'!$B$11</f>
        <v>0.41274057243344064</v>
      </c>
      <c r="H149" s="59">
        <f t="shared" ref="H149:H150" si="30">G149</f>
        <v>0.41274057243344064</v>
      </c>
      <c r="I149" s="660"/>
      <c r="J149" s="58"/>
      <c r="K149" s="60"/>
      <c r="L149" s="660"/>
      <c r="M149" s="660">
        <v>1</v>
      </c>
      <c r="N149" s="660"/>
      <c r="O149" s="660"/>
      <c r="P149" s="660"/>
      <c r="Q149" s="660"/>
      <c r="R149" s="42"/>
      <c r="S149" s="42"/>
      <c r="T149" s="42"/>
    </row>
    <row r="150" spans="1:20">
      <c r="A150" s="660" t="s">
        <v>1590</v>
      </c>
      <c r="B150" s="662" t="s">
        <v>1644</v>
      </c>
      <c r="C150" s="662" t="s">
        <v>164</v>
      </c>
      <c r="D150" s="660" t="e">
        <f>#REF!</f>
        <v>#REF!</v>
      </c>
      <c r="E150" s="660" t="e">
        <f>#REF!</f>
        <v>#REF!</v>
      </c>
      <c r="F150" s="42"/>
      <c r="G150" s="42" t="e">
        <f>'Conv Factors'!$B$10/#REF!*'Conv Factors'!$B$6/'Conv Factors'!$B$11</f>
        <v>#REF!</v>
      </c>
      <c r="H150" s="42" t="e">
        <f t="shared" si="30"/>
        <v>#REF!</v>
      </c>
      <c r="I150" s="660" t="e">
        <f>#REF!</f>
        <v>#REF!</v>
      </c>
      <c r="J150" s="58"/>
      <c r="K150" s="60" t="e">
        <f>I150*'Conv Factors'!$C$53*'Conv Factors'!$B$11/'Conv Factors'!$B$7</f>
        <v>#REF!</v>
      </c>
      <c r="L150" s="660"/>
      <c r="M150" s="660">
        <v>1</v>
      </c>
      <c r="N150" s="660"/>
      <c r="O150" s="660"/>
      <c r="P150" s="660"/>
      <c r="Q150" s="660"/>
      <c r="R150" s="42"/>
      <c r="S150" s="42"/>
      <c r="T150" s="42"/>
    </row>
    <row r="151" spans="1:20">
      <c r="A151" s="660" t="s">
        <v>1590</v>
      </c>
      <c r="B151" s="662" t="s">
        <v>166</v>
      </c>
      <c r="C151" s="662" t="s">
        <v>167</v>
      </c>
      <c r="D151" s="660" t="e">
        <f>#REF!</f>
        <v>#REF!</v>
      </c>
      <c r="E151" s="660" t="e">
        <f>#REF!</f>
        <v>#REF!</v>
      </c>
      <c r="F151" s="42"/>
      <c r="G151" s="42" t="e">
        <f>'Conv Factors'!$B$10/#REF!*'Conv Factors'!$B$6/'Conv Factors'!$B$11</f>
        <v>#REF!</v>
      </c>
      <c r="H151" s="42" t="e">
        <f t="shared" ref="H151:H152" si="31">G151</f>
        <v>#REF!</v>
      </c>
      <c r="I151" s="660" t="e">
        <f>#REF!</f>
        <v>#REF!</v>
      </c>
      <c r="J151" s="58"/>
      <c r="K151" s="60" t="e">
        <f>I151*'Conv Factors'!$C$53*'Conv Factors'!$B$11/'Conv Factors'!$B$7</f>
        <v>#REF!</v>
      </c>
      <c r="L151" s="660"/>
      <c r="M151" s="660">
        <v>1</v>
      </c>
      <c r="N151" s="660"/>
      <c r="O151" s="660"/>
      <c r="P151" s="660"/>
      <c r="Q151" s="660"/>
      <c r="R151" s="42"/>
      <c r="S151" s="42"/>
      <c r="T151" s="42"/>
    </row>
    <row r="152" spans="1:20">
      <c r="A152" s="660" t="s">
        <v>1590</v>
      </c>
      <c r="B152" s="662" t="s">
        <v>1645</v>
      </c>
      <c r="C152" s="662" t="s">
        <v>170</v>
      </c>
      <c r="D152" s="660" t="e">
        <f>#REF!</f>
        <v>#REF!</v>
      </c>
      <c r="E152" s="660" t="e">
        <f>#REF!</f>
        <v>#REF!</v>
      </c>
      <c r="F152" s="42"/>
      <c r="G152" s="42" t="e">
        <f>'Conv Factors'!$B$10/#REF!*'Conv Factors'!$B$6/'Conv Factors'!$B$11</f>
        <v>#REF!</v>
      </c>
      <c r="H152" s="42" t="e">
        <f t="shared" si="31"/>
        <v>#REF!</v>
      </c>
      <c r="I152" s="660" t="e">
        <f>#REF!</f>
        <v>#REF!</v>
      </c>
      <c r="J152" s="58"/>
      <c r="K152" s="60" t="e">
        <f>I152*'Conv Factors'!$C$53*'Conv Factors'!$B$11/'Conv Factors'!$B$7</f>
        <v>#REF!</v>
      </c>
      <c r="L152" s="660"/>
      <c r="M152" s="660">
        <v>1</v>
      </c>
      <c r="N152" s="660"/>
      <c r="O152" s="660"/>
      <c r="P152" s="660"/>
      <c r="Q152" s="660"/>
      <c r="R152" s="42"/>
      <c r="S152" s="42"/>
      <c r="T152" s="42"/>
    </row>
    <row r="153" spans="1:20">
      <c r="A153" s="660" t="s">
        <v>1590</v>
      </c>
      <c r="B153" s="662" t="s">
        <v>171</v>
      </c>
      <c r="C153" s="662" t="s">
        <v>172</v>
      </c>
      <c r="D153" s="660" t="e">
        <f>#REF!</f>
        <v>#REF!</v>
      </c>
      <c r="E153" s="660" t="e">
        <f>#REF!</f>
        <v>#REF!</v>
      </c>
      <c r="F153" s="42"/>
      <c r="G153" s="42" t="e">
        <f>'Conv Factors'!$B$10/#REF!*'Conv Factors'!$B$6/'Conv Factors'!$B$11</f>
        <v>#REF!</v>
      </c>
      <c r="H153" s="42" t="e">
        <f t="shared" ref="H153:H154" si="32">G153</f>
        <v>#REF!</v>
      </c>
      <c r="I153" s="660" t="e">
        <f>#REF!</f>
        <v>#REF!</v>
      </c>
      <c r="J153" s="58"/>
      <c r="K153" s="60" t="e">
        <f>I153*'Conv Factors'!$C$53*'Conv Factors'!$B$11/'Conv Factors'!$B$7</f>
        <v>#REF!</v>
      </c>
      <c r="L153" s="660"/>
      <c r="M153" s="660">
        <v>1</v>
      </c>
      <c r="N153" s="660"/>
      <c r="O153" s="660"/>
      <c r="P153" s="660"/>
      <c r="Q153" s="660"/>
      <c r="R153" s="42"/>
      <c r="S153" s="42"/>
      <c r="T153" s="42"/>
    </row>
    <row r="154" spans="1:20">
      <c r="A154" s="660" t="s">
        <v>1590</v>
      </c>
      <c r="B154" s="662" t="s">
        <v>1646</v>
      </c>
      <c r="C154" s="662" t="s">
        <v>174</v>
      </c>
      <c r="D154" s="660" t="e">
        <f>#REF!</f>
        <v>#REF!</v>
      </c>
      <c r="E154" s="660" t="e">
        <f>#REF!</f>
        <v>#REF!</v>
      </c>
      <c r="F154" s="42"/>
      <c r="G154" s="42" t="e">
        <f>'Conv Factors'!$B$10/#REF!*'Conv Factors'!$B$6/'Conv Factors'!$B$11</f>
        <v>#REF!</v>
      </c>
      <c r="H154" s="42" t="e">
        <f t="shared" si="32"/>
        <v>#REF!</v>
      </c>
      <c r="I154" s="660" t="e">
        <f>#REF!</f>
        <v>#REF!</v>
      </c>
      <c r="J154" s="58"/>
      <c r="K154" s="60" t="e">
        <f>I154*'Conv Factors'!$C$53*'Conv Factors'!$B$11/'Conv Factors'!$B$7</f>
        <v>#REF!</v>
      </c>
      <c r="L154" s="660"/>
      <c r="M154" s="660">
        <v>1</v>
      </c>
      <c r="N154" s="660"/>
      <c r="O154" s="660"/>
      <c r="P154" s="660"/>
      <c r="Q154" s="660"/>
      <c r="R154" s="42"/>
      <c r="S154" s="42"/>
      <c r="T154" s="42"/>
    </row>
    <row r="155" spans="1:20">
      <c r="A155" s="660" t="s">
        <v>1590</v>
      </c>
      <c r="B155" s="662" t="s">
        <v>175</v>
      </c>
      <c r="C155" s="662" t="s">
        <v>176</v>
      </c>
      <c r="D155" s="660" t="e">
        <f>#REF!</f>
        <v>#REF!</v>
      </c>
      <c r="E155" s="660" t="e">
        <f>#REF!</f>
        <v>#REF!</v>
      </c>
      <c r="F155" s="42"/>
      <c r="G155" s="42" t="e">
        <f>'Conv Factors'!$B$10/#REF!*'Conv Factors'!$B$6/'Conv Factors'!$B$11</f>
        <v>#REF!</v>
      </c>
      <c r="H155" s="42" t="e">
        <f t="shared" ref="H155:H161" si="33">G155</f>
        <v>#REF!</v>
      </c>
      <c r="I155" s="660" t="e">
        <f>#REF!</f>
        <v>#REF!</v>
      </c>
      <c r="J155" s="58"/>
      <c r="K155" s="60" t="e">
        <f>I155*'Conv Factors'!$C$53*'Conv Factors'!$B$11/'Conv Factors'!$B$7</f>
        <v>#REF!</v>
      </c>
      <c r="L155" s="660"/>
      <c r="M155" s="660">
        <v>1</v>
      </c>
      <c r="N155" s="660"/>
      <c r="O155" s="660"/>
      <c r="P155" s="660"/>
      <c r="Q155" s="660"/>
      <c r="R155" s="42"/>
      <c r="S155" s="42"/>
      <c r="T155" s="42"/>
    </row>
    <row r="156" spans="1:20">
      <c r="A156" s="660" t="s">
        <v>1590</v>
      </c>
      <c r="B156" s="662" t="s">
        <v>1647</v>
      </c>
      <c r="C156" s="662" t="s">
        <v>178</v>
      </c>
      <c r="D156" s="660" t="e">
        <f>#REF!</f>
        <v>#REF!</v>
      </c>
      <c r="E156" s="660" t="e">
        <f>#REF!</f>
        <v>#REF!</v>
      </c>
      <c r="F156" s="42"/>
      <c r="G156" s="42" t="e">
        <f>'Conv Factors'!$B$10/#REF!*'Conv Factors'!$B$6/'Conv Factors'!$B$11</f>
        <v>#REF!</v>
      </c>
      <c r="H156" s="42" t="e">
        <f t="shared" si="33"/>
        <v>#REF!</v>
      </c>
      <c r="I156" s="660" t="e">
        <f>#REF!</f>
        <v>#REF!</v>
      </c>
      <c r="J156" s="58"/>
      <c r="K156" s="60" t="e">
        <f>I156*'Conv Factors'!$C$53*'Conv Factors'!$B$11/'Conv Factors'!$B$7</f>
        <v>#REF!</v>
      </c>
      <c r="L156" s="660"/>
      <c r="M156" s="660">
        <v>1</v>
      </c>
      <c r="N156" s="660"/>
      <c r="O156" s="660"/>
      <c r="P156" s="660"/>
      <c r="Q156" s="660"/>
      <c r="R156" s="42"/>
      <c r="S156" s="42"/>
      <c r="T156" s="42"/>
    </row>
    <row r="157" spans="1:20">
      <c r="A157" s="660" t="s">
        <v>1590</v>
      </c>
      <c r="B157" s="662" t="s">
        <v>1648</v>
      </c>
      <c r="C157" s="662" t="s">
        <v>180</v>
      </c>
      <c r="D157" s="660" t="e">
        <f>#REF!</f>
        <v>#REF!</v>
      </c>
      <c r="E157" s="660" t="e">
        <f>#REF!</f>
        <v>#REF!</v>
      </c>
      <c r="F157" s="42"/>
      <c r="G157" s="42" t="e">
        <f>'Conv Factors'!$B$10/#REF!*'Conv Factors'!$B$6/'Conv Factors'!$B$11</f>
        <v>#REF!</v>
      </c>
      <c r="H157" s="42" t="e">
        <f t="shared" si="33"/>
        <v>#REF!</v>
      </c>
      <c r="I157" s="660" t="e">
        <f>#REF!</f>
        <v>#REF!</v>
      </c>
      <c r="J157" s="58"/>
      <c r="K157" s="60" t="e">
        <f>I157*'Conv Factors'!$C$53*'Conv Factors'!$B$11/'Conv Factors'!$B$7</f>
        <v>#REF!</v>
      </c>
      <c r="L157" s="660"/>
      <c r="M157" s="660">
        <v>1</v>
      </c>
      <c r="N157" s="660"/>
      <c r="O157" s="660"/>
      <c r="P157" s="660"/>
      <c r="Q157" s="660"/>
      <c r="R157" s="42"/>
      <c r="S157" s="42"/>
      <c r="T157" s="42"/>
    </row>
    <row r="158" spans="1:20">
      <c r="A158" s="660" t="s">
        <v>1590</v>
      </c>
      <c r="B158" s="662" t="s">
        <v>181</v>
      </c>
      <c r="C158" s="662" t="s">
        <v>182</v>
      </c>
      <c r="D158" s="660" t="e">
        <f>#REF!</f>
        <v>#REF!</v>
      </c>
      <c r="E158" s="660" t="e">
        <f>#REF!</f>
        <v>#REF!</v>
      </c>
      <c r="F158" s="42"/>
      <c r="G158" s="42" t="e">
        <f>'Conv Factors'!$B$10/#REF!*'Conv Factors'!$B$6/'Conv Factors'!$B$11</f>
        <v>#REF!</v>
      </c>
      <c r="H158" s="42" t="e">
        <f t="shared" si="33"/>
        <v>#REF!</v>
      </c>
      <c r="I158" s="660" t="e">
        <f>#REF!</f>
        <v>#REF!</v>
      </c>
      <c r="J158" s="58"/>
      <c r="K158" s="60" t="e">
        <f>I158*'Conv Factors'!$C$53*'Conv Factors'!$B$11/'Conv Factors'!$B$7</f>
        <v>#REF!</v>
      </c>
      <c r="L158" s="660"/>
      <c r="M158" s="660">
        <v>1</v>
      </c>
      <c r="N158" s="660"/>
      <c r="O158" s="660"/>
      <c r="P158" s="660"/>
      <c r="Q158" s="660"/>
      <c r="R158" s="42"/>
      <c r="S158" s="42"/>
      <c r="T158" s="42"/>
    </row>
    <row r="159" spans="1:20">
      <c r="A159" s="660" t="s">
        <v>1590</v>
      </c>
      <c r="B159" s="662" t="s">
        <v>1649</v>
      </c>
      <c r="C159" s="662" t="s">
        <v>184</v>
      </c>
      <c r="D159" s="660" t="e">
        <f>#REF!</f>
        <v>#REF!</v>
      </c>
      <c r="E159" s="660" t="e">
        <f>#REF!</f>
        <v>#REF!</v>
      </c>
      <c r="F159" s="42"/>
      <c r="G159" s="42" t="e">
        <f>'Conv Factors'!$B$10/#REF!*'Conv Factors'!$B$6/'Conv Factors'!$B$11</f>
        <v>#REF!</v>
      </c>
      <c r="H159" s="42" t="e">
        <f t="shared" si="33"/>
        <v>#REF!</v>
      </c>
      <c r="I159" s="660" t="e">
        <f>#REF!</f>
        <v>#REF!</v>
      </c>
      <c r="J159" s="58"/>
      <c r="K159" s="60" t="e">
        <f>I159*'Conv Factors'!$C$53*'Conv Factors'!$B$11/'Conv Factors'!$B$7</f>
        <v>#REF!</v>
      </c>
      <c r="L159" s="660"/>
      <c r="M159" s="660">
        <v>1</v>
      </c>
      <c r="N159" s="660"/>
      <c r="O159" s="660"/>
      <c r="P159" s="660"/>
      <c r="Q159" s="660"/>
      <c r="R159" s="42"/>
      <c r="S159" s="42"/>
      <c r="T159" s="42"/>
    </row>
    <row r="160" spans="1:20">
      <c r="A160" s="660" t="s">
        <v>1590</v>
      </c>
      <c r="B160" s="662" t="s">
        <v>1650</v>
      </c>
      <c r="C160" s="662" t="s">
        <v>186</v>
      </c>
      <c r="D160" s="660" t="e">
        <f>#REF!</f>
        <v>#REF!</v>
      </c>
      <c r="E160" s="660" t="e">
        <f>#REF!</f>
        <v>#REF!</v>
      </c>
      <c r="F160" s="42"/>
      <c r="G160" s="42" t="e">
        <f>'Conv Factors'!$B$10/#REF!*'Conv Factors'!$B$6/'Conv Factors'!$B$11</f>
        <v>#REF!</v>
      </c>
      <c r="H160" s="42" t="e">
        <f t="shared" si="33"/>
        <v>#REF!</v>
      </c>
      <c r="I160" s="660" t="e">
        <f>#REF!</f>
        <v>#REF!</v>
      </c>
      <c r="J160" s="58"/>
      <c r="K160" s="60" t="e">
        <f>I160*'Conv Factors'!$C$53*'Conv Factors'!$B$11/'Conv Factors'!$B$7</f>
        <v>#REF!</v>
      </c>
      <c r="L160" s="660"/>
      <c r="M160" s="660">
        <v>1</v>
      </c>
      <c r="N160" s="660"/>
      <c r="O160" s="660"/>
      <c r="P160" s="660"/>
      <c r="Q160" s="660"/>
      <c r="R160" s="660"/>
      <c r="S160" s="660"/>
      <c r="T160" s="660"/>
    </row>
    <row r="161" spans="1:30">
      <c r="A161" s="660" t="s">
        <v>1590</v>
      </c>
      <c r="B161" s="662" t="s">
        <v>187</v>
      </c>
      <c r="C161" s="662" t="s">
        <v>188</v>
      </c>
      <c r="D161" s="660" t="e">
        <f>#REF!</f>
        <v>#REF!</v>
      </c>
      <c r="E161" s="660" t="e">
        <f>#REF!</f>
        <v>#REF!</v>
      </c>
      <c r="F161" s="42"/>
      <c r="G161" s="42" t="e">
        <f>'Conv Factors'!$B$10/#REF!*'Conv Factors'!$B$6/'Conv Factors'!$B$11</f>
        <v>#REF!</v>
      </c>
      <c r="H161" s="42" t="e">
        <f t="shared" si="33"/>
        <v>#REF!</v>
      </c>
      <c r="I161" s="660" t="e">
        <f>#REF!</f>
        <v>#REF!</v>
      </c>
      <c r="J161" s="58"/>
      <c r="K161" s="60" t="e">
        <f>I161*'Conv Factors'!$C$53*'Conv Factors'!$B$11/'Conv Factors'!$B$7</f>
        <v>#REF!</v>
      </c>
      <c r="L161" s="660"/>
      <c r="M161" s="660">
        <v>1</v>
      </c>
      <c r="N161" s="660"/>
      <c r="O161" s="42"/>
      <c r="P161" s="42"/>
      <c r="Q161" s="42"/>
      <c r="R161" s="42"/>
      <c r="S161" s="42"/>
      <c r="T161" s="42"/>
      <c r="U161" s="49"/>
      <c r="V161" s="45"/>
      <c r="W161" s="45"/>
      <c r="X161" s="45"/>
      <c r="Y161" s="45"/>
      <c r="Z161" s="45"/>
      <c r="AA161" s="45"/>
      <c r="AB161" s="45"/>
      <c r="AC161" s="45"/>
      <c r="AD161" s="45"/>
    </row>
    <row r="162" spans="1:30">
      <c r="A162" s="660"/>
      <c r="B162" s="660"/>
      <c r="C162" s="660"/>
      <c r="D162" s="660"/>
      <c r="E162" s="660"/>
      <c r="F162" s="660"/>
      <c r="G162" s="42"/>
      <c r="H162" s="42"/>
      <c r="I162" s="660"/>
      <c r="J162" s="58"/>
      <c r="K162" s="60"/>
      <c r="L162" s="660"/>
      <c r="M162" s="660"/>
      <c r="N162" s="660"/>
      <c r="O162" s="42"/>
      <c r="P162" s="42"/>
      <c r="Q162" s="42"/>
      <c r="R162" s="42"/>
      <c r="S162" s="42"/>
      <c r="T162" s="42"/>
      <c r="U162" s="49"/>
      <c r="V162" s="45"/>
      <c r="W162" s="45"/>
      <c r="X162" s="45"/>
      <c r="Y162" s="45"/>
      <c r="Z162" s="45"/>
      <c r="AA162" s="45"/>
      <c r="AB162" s="45"/>
      <c r="AC162" s="45"/>
      <c r="AD162" s="45"/>
    </row>
    <row r="163" spans="1:30" ht="13">
      <c r="A163" s="660" t="s">
        <v>1590</v>
      </c>
      <c r="B163" s="662" t="s">
        <v>1651</v>
      </c>
      <c r="C163" s="662" t="s">
        <v>190</v>
      </c>
      <c r="D163" s="660"/>
      <c r="E163" s="660"/>
      <c r="F163" s="660"/>
      <c r="G163" s="42">
        <f>'Conv Factors'!$B$10/USDemand!C289*'Conv Factors'!$B$6/'Conv Factors'!$B$11</f>
        <v>0.57705489683795952</v>
      </c>
      <c r="H163" s="59">
        <f>G163</f>
        <v>0.57705489683795952</v>
      </c>
      <c r="I163" s="660"/>
      <c r="J163" s="58"/>
      <c r="K163" s="60"/>
      <c r="L163" s="660"/>
      <c r="M163" s="660">
        <v>1</v>
      </c>
      <c r="N163" s="660"/>
      <c r="O163" s="660"/>
      <c r="P163" s="660"/>
      <c r="Q163" s="660"/>
      <c r="R163" s="42"/>
      <c r="S163" s="42"/>
      <c r="T163" s="42"/>
      <c r="U163" s="660"/>
      <c r="V163" s="660"/>
      <c r="W163" s="660"/>
      <c r="X163" s="45"/>
      <c r="Y163" s="45"/>
      <c r="Z163" s="45"/>
      <c r="AA163" s="45"/>
      <c r="AB163" s="45"/>
      <c r="AC163" s="45"/>
      <c r="AD163" s="45"/>
    </row>
    <row r="164" spans="1:30">
      <c r="A164" s="660" t="s">
        <v>1590</v>
      </c>
      <c r="B164" s="662" t="s">
        <v>1652</v>
      </c>
      <c r="C164" s="662" t="s">
        <v>193</v>
      </c>
      <c r="D164" s="660" t="e">
        <f>#REF!</f>
        <v>#REF!</v>
      </c>
      <c r="E164" s="660" t="e">
        <f>#REF!</f>
        <v>#REF!</v>
      </c>
      <c r="F164" s="42"/>
      <c r="G164" s="42" t="e">
        <f>'Conv Factors'!$B$10/#REF!*'Conv Factors'!$B$6/'Conv Factors'!$B$11</f>
        <v>#REF!</v>
      </c>
      <c r="H164" s="42" t="e">
        <f>G164</f>
        <v>#REF!</v>
      </c>
      <c r="I164" s="660" t="e">
        <f>#REF!</f>
        <v>#REF!</v>
      </c>
      <c r="J164" s="58"/>
      <c r="K164" s="60" t="e">
        <f>I164*'Conv Factors'!$C$53*'Conv Factors'!$B$11/'Conv Factors'!$B$7</f>
        <v>#REF!</v>
      </c>
      <c r="L164" s="660"/>
      <c r="M164" s="660">
        <v>1</v>
      </c>
      <c r="N164" s="660"/>
      <c r="O164" s="660"/>
      <c r="P164" s="660"/>
      <c r="Q164" s="660"/>
      <c r="R164" s="42"/>
      <c r="S164" s="42"/>
      <c r="T164" s="42"/>
      <c r="U164" s="660"/>
      <c r="V164" s="660"/>
      <c r="W164" s="660"/>
      <c r="X164" s="660"/>
      <c r="Y164" s="660"/>
      <c r="Z164" s="660"/>
      <c r="AA164" s="45"/>
      <c r="AB164" s="45"/>
      <c r="AC164" s="45"/>
      <c r="AD164" s="45"/>
    </row>
    <row r="165" spans="1:30">
      <c r="A165" s="660" t="s">
        <v>1590</v>
      </c>
      <c r="B165" s="662" t="s">
        <v>1653</v>
      </c>
      <c r="C165" s="662" t="s">
        <v>195</v>
      </c>
      <c r="D165" s="660" t="e">
        <f>#REF!</f>
        <v>#REF!</v>
      </c>
      <c r="E165" s="660" t="e">
        <f>#REF!</f>
        <v>#REF!</v>
      </c>
      <c r="F165" s="42"/>
      <c r="G165" s="42" t="e">
        <f>'Conv Factors'!$B$10/#REF!*'Conv Factors'!$B$6/'Conv Factors'!$B$11</f>
        <v>#REF!</v>
      </c>
      <c r="H165" s="42" t="e">
        <f t="shared" ref="H165:H169" si="34">G165</f>
        <v>#REF!</v>
      </c>
      <c r="I165" s="660" t="e">
        <f>#REF!</f>
        <v>#REF!</v>
      </c>
      <c r="J165" s="58"/>
      <c r="K165" s="60" t="e">
        <f>I165*'Conv Factors'!$C$53*'Conv Factors'!$B$11/'Conv Factors'!$B$7</f>
        <v>#REF!</v>
      </c>
      <c r="L165" s="660"/>
      <c r="M165" s="660">
        <v>1</v>
      </c>
      <c r="N165" s="660"/>
      <c r="O165" s="660"/>
      <c r="P165" s="660"/>
      <c r="Q165" s="660"/>
      <c r="R165" s="42"/>
      <c r="S165" s="42"/>
      <c r="T165" s="42"/>
      <c r="U165" s="660"/>
      <c r="V165" s="660"/>
      <c r="W165" s="660"/>
      <c r="X165" s="660"/>
      <c r="Y165" s="660"/>
      <c r="Z165" s="660"/>
      <c r="AA165" s="45"/>
      <c r="AB165" s="45"/>
      <c r="AC165" s="45"/>
      <c r="AD165" s="45"/>
    </row>
    <row r="166" spans="1:30">
      <c r="A166" s="660" t="s">
        <v>1590</v>
      </c>
      <c r="B166" s="662" t="s">
        <v>196</v>
      </c>
      <c r="C166" s="662" t="s">
        <v>197</v>
      </c>
      <c r="D166" s="660" t="e">
        <f>#REF!</f>
        <v>#REF!</v>
      </c>
      <c r="E166" s="660" t="e">
        <f>#REF!</f>
        <v>#REF!</v>
      </c>
      <c r="F166" s="42"/>
      <c r="G166" s="42" t="e">
        <f>'Conv Factors'!$B$10/#REF!*'Conv Factors'!$B$6/'Conv Factors'!$B$11</f>
        <v>#REF!</v>
      </c>
      <c r="H166" s="42" t="e">
        <f t="shared" si="34"/>
        <v>#REF!</v>
      </c>
      <c r="I166" s="660" t="e">
        <f>#REF!</f>
        <v>#REF!</v>
      </c>
      <c r="J166" s="58"/>
      <c r="K166" s="60" t="e">
        <f>I166*'Conv Factors'!$C$53*'Conv Factors'!$B$11/'Conv Factors'!$B$7</f>
        <v>#REF!</v>
      </c>
      <c r="L166" s="660"/>
      <c r="M166" s="660">
        <v>1</v>
      </c>
      <c r="N166" s="660"/>
      <c r="O166" s="660"/>
      <c r="P166" s="660"/>
      <c r="Q166" s="660"/>
      <c r="R166" s="42"/>
      <c r="S166" s="42"/>
      <c r="T166" s="42"/>
      <c r="U166" s="660"/>
      <c r="V166" s="660"/>
      <c r="W166" s="660"/>
      <c r="X166" s="660"/>
      <c r="Y166" s="660"/>
      <c r="Z166" s="660"/>
      <c r="AA166" s="45"/>
      <c r="AB166" s="45"/>
      <c r="AC166" s="45"/>
      <c r="AD166" s="45"/>
    </row>
    <row r="167" spans="1:30">
      <c r="A167" s="660" t="s">
        <v>1590</v>
      </c>
      <c r="B167" s="662" t="s">
        <v>1654</v>
      </c>
      <c r="C167" s="662" t="s">
        <v>199</v>
      </c>
      <c r="D167" s="660" t="e">
        <f>#REF!</f>
        <v>#REF!</v>
      </c>
      <c r="E167" s="660" t="e">
        <f>#REF!</f>
        <v>#REF!</v>
      </c>
      <c r="F167" s="42"/>
      <c r="G167" s="42" t="e">
        <f>'Conv Factors'!$B$10/#REF!*'Conv Factors'!$B$6/'Conv Factors'!$B$11</f>
        <v>#REF!</v>
      </c>
      <c r="H167" s="42" t="e">
        <f t="shared" si="34"/>
        <v>#REF!</v>
      </c>
      <c r="I167" s="660" t="e">
        <f>#REF!</f>
        <v>#REF!</v>
      </c>
      <c r="J167" s="58"/>
      <c r="K167" s="60" t="e">
        <f>I167*'Conv Factors'!$C$53*'Conv Factors'!$B$11/'Conv Factors'!$B$7</f>
        <v>#REF!</v>
      </c>
      <c r="L167" s="660"/>
      <c r="M167" s="660">
        <v>1</v>
      </c>
      <c r="N167" s="660"/>
      <c r="O167" s="660"/>
      <c r="P167" s="660"/>
      <c r="Q167" s="660"/>
      <c r="R167" s="42"/>
      <c r="S167" s="42"/>
      <c r="T167" s="42"/>
      <c r="U167" s="660"/>
      <c r="V167" s="660"/>
      <c r="W167" s="660"/>
      <c r="X167" s="660"/>
      <c r="Y167" s="660"/>
      <c r="Z167" s="660"/>
      <c r="AA167" s="45"/>
      <c r="AB167" s="45"/>
      <c r="AC167" s="45"/>
      <c r="AD167" s="45"/>
    </row>
    <row r="168" spans="1:30">
      <c r="A168" s="660" t="s">
        <v>1590</v>
      </c>
      <c r="B168" s="662" t="s">
        <v>1655</v>
      </c>
      <c r="C168" s="662" t="s">
        <v>201</v>
      </c>
      <c r="D168" s="660" t="e">
        <f>#REF!</f>
        <v>#REF!</v>
      </c>
      <c r="E168" s="660" t="e">
        <f>#REF!</f>
        <v>#REF!</v>
      </c>
      <c r="F168" s="42"/>
      <c r="G168" s="42" t="e">
        <f>'Conv Factors'!$B$10/#REF!*'Conv Factors'!$B$6/'Conv Factors'!$B$11</f>
        <v>#REF!</v>
      </c>
      <c r="H168" s="42" t="e">
        <f t="shared" si="34"/>
        <v>#REF!</v>
      </c>
      <c r="I168" s="660" t="e">
        <f>#REF!</f>
        <v>#REF!</v>
      </c>
      <c r="J168" s="58"/>
      <c r="K168" s="60" t="e">
        <f>I168*'Conv Factors'!$C$53*'Conv Factors'!$B$11/'Conv Factors'!$B$7</f>
        <v>#REF!</v>
      </c>
      <c r="L168" s="660"/>
      <c r="M168" s="660">
        <v>1</v>
      </c>
      <c r="N168" s="660"/>
      <c r="O168" s="660"/>
      <c r="P168" s="660"/>
      <c r="Q168" s="660"/>
      <c r="R168" s="42"/>
      <c r="S168" s="42"/>
      <c r="T168" s="42"/>
      <c r="U168" s="660"/>
      <c r="V168" s="660"/>
      <c r="W168" s="660"/>
      <c r="X168" s="660"/>
      <c r="Y168" s="660"/>
      <c r="Z168" s="660"/>
      <c r="AA168" s="660"/>
      <c r="AB168" s="660"/>
      <c r="AC168" s="660"/>
      <c r="AD168" s="660"/>
    </row>
    <row r="169" spans="1:30">
      <c r="A169" s="660" t="s">
        <v>1590</v>
      </c>
      <c r="B169" s="662" t="s">
        <v>202</v>
      </c>
      <c r="C169" s="662" t="s">
        <v>203</v>
      </c>
      <c r="D169" s="660" t="e">
        <f>#REF!</f>
        <v>#REF!</v>
      </c>
      <c r="E169" s="660" t="e">
        <f>#REF!</f>
        <v>#REF!</v>
      </c>
      <c r="F169" s="42"/>
      <c r="G169" s="42" t="e">
        <f>'Conv Factors'!$B$10/#REF!*'Conv Factors'!$B$6/'Conv Factors'!$B$11</f>
        <v>#REF!</v>
      </c>
      <c r="H169" s="42" t="e">
        <f t="shared" si="34"/>
        <v>#REF!</v>
      </c>
      <c r="I169" s="660" t="e">
        <f>#REF!</f>
        <v>#REF!</v>
      </c>
      <c r="J169" s="58"/>
      <c r="K169" s="60" t="e">
        <f>I169*'Conv Factors'!$C$53*'Conv Factors'!$B$11/'Conv Factors'!$B$7</f>
        <v>#REF!</v>
      </c>
      <c r="L169" s="660"/>
      <c r="M169" s="660">
        <v>1</v>
      </c>
      <c r="N169" s="660"/>
      <c r="O169" s="660"/>
      <c r="P169" s="660"/>
      <c r="Q169" s="660"/>
      <c r="R169" s="42"/>
      <c r="S169" s="42"/>
      <c r="T169" s="42"/>
      <c r="U169" s="660"/>
      <c r="V169" s="660"/>
      <c r="W169" s="660"/>
      <c r="X169" s="660"/>
      <c r="Y169" s="660"/>
      <c r="Z169" s="660"/>
      <c r="AA169" s="660"/>
      <c r="AB169" s="660"/>
      <c r="AC169" s="660"/>
      <c r="AD169" s="660"/>
    </row>
    <row r="170" spans="1:30">
      <c r="A170" s="660"/>
      <c r="B170" s="660"/>
      <c r="C170" s="660"/>
      <c r="D170" s="660"/>
      <c r="E170" s="660"/>
      <c r="F170" s="660"/>
      <c r="G170" s="660"/>
      <c r="H170" s="660"/>
      <c r="I170" s="660"/>
      <c r="J170" s="660"/>
      <c r="K170" s="660"/>
      <c r="L170" s="660"/>
      <c r="M170" s="660"/>
      <c r="N170" s="660"/>
      <c r="O170" s="660"/>
      <c r="P170" s="660"/>
      <c r="Q170" s="660"/>
      <c r="R170" s="42"/>
      <c r="S170" s="42"/>
      <c r="T170" s="42"/>
      <c r="U170" s="660"/>
      <c r="V170" s="660"/>
      <c r="W170" s="660"/>
      <c r="X170" s="660"/>
      <c r="Y170" s="660"/>
      <c r="Z170" s="660"/>
      <c r="AA170" s="660"/>
      <c r="AB170" s="660"/>
      <c r="AC170" s="660"/>
      <c r="AD170" s="660"/>
    </row>
    <row r="171" spans="1:30">
      <c r="A171" s="660"/>
      <c r="B171" s="660"/>
      <c r="C171" s="660"/>
      <c r="D171" s="660"/>
      <c r="E171" s="660"/>
      <c r="F171" s="660"/>
      <c r="G171" s="660"/>
      <c r="H171" s="660"/>
      <c r="I171" s="660"/>
      <c r="J171" s="660"/>
      <c r="K171" s="660"/>
      <c r="L171" s="660"/>
      <c r="M171" s="660"/>
      <c r="N171" s="660"/>
      <c r="O171" s="660"/>
      <c r="P171" s="660"/>
      <c r="Q171" s="660"/>
      <c r="R171" s="42"/>
      <c r="S171" s="42"/>
      <c r="T171" s="42"/>
      <c r="U171" s="660"/>
      <c r="V171" s="660"/>
      <c r="W171" s="660"/>
      <c r="X171" s="660"/>
      <c r="Y171" s="660"/>
      <c r="Z171" s="660"/>
      <c r="AA171" s="660"/>
      <c r="AB171" s="660"/>
      <c r="AC171" s="660"/>
      <c r="AD171" s="660"/>
    </row>
    <row r="172" spans="1:30">
      <c r="A172" s="660"/>
      <c r="B172" s="660"/>
      <c r="C172" s="660"/>
      <c r="D172" s="660"/>
      <c r="E172" s="660"/>
      <c r="F172" s="660"/>
      <c r="G172" s="660"/>
      <c r="H172" s="660"/>
      <c r="I172" s="660"/>
      <c r="J172" s="660"/>
      <c r="K172" s="660"/>
      <c r="L172" s="660"/>
      <c r="M172" s="660"/>
      <c r="N172" s="660"/>
      <c r="O172" s="660"/>
      <c r="P172" s="660"/>
      <c r="Q172" s="660"/>
      <c r="R172" s="42"/>
      <c r="S172" s="42"/>
      <c r="T172" s="42"/>
      <c r="U172" s="660"/>
      <c r="V172" s="660"/>
      <c r="W172" s="660"/>
      <c r="X172" s="660"/>
      <c r="Y172" s="660"/>
      <c r="Z172" s="660"/>
      <c r="AA172" s="660"/>
      <c r="AB172" s="660"/>
      <c r="AC172" s="660"/>
      <c r="AD172" s="660"/>
    </row>
    <row r="173" spans="1:30" ht="13">
      <c r="A173" s="660"/>
      <c r="B173" s="660"/>
      <c r="C173" s="660"/>
      <c r="D173" s="660"/>
      <c r="E173" s="656"/>
      <c r="F173" s="664" t="s">
        <v>1582</v>
      </c>
      <c r="G173" s="664" t="s">
        <v>79</v>
      </c>
      <c r="H173" s="664" t="s">
        <v>1656</v>
      </c>
      <c r="I173" s="664" t="s">
        <v>634</v>
      </c>
      <c r="J173" s="664" t="s">
        <v>1657</v>
      </c>
      <c r="K173" s="664" t="s">
        <v>632</v>
      </c>
      <c r="L173" s="660"/>
      <c r="M173" s="660"/>
      <c r="N173" s="660"/>
      <c r="O173" s="660"/>
      <c r="P173" s="660"/>
      <c r="Q173" s="660"/>
      <c r="R173" s="42"/>
      <c r="S173" s="42"/>
      <c r="T173" s="42"/>
      <c r="U173" s="660"/>
      <c r="V173" s="660"/>
      <c r="W173" s="660"/>
      <c r="X173" s="660"/>
      <c r="Y173" s="660"/>
      <c r="Z173" s="660"/>
      <c r="AA173" s="660"/>
      <c r="AB173" s="660"/>
      <c r="AC173" s="660"/>
      <c r="AD173" s="660"/>
    </row>
    <row r="174" spans="1:30" ht="13">
      <c r="A174" s="660"/>
      <c r="B174" s="652" t="s">
        <v>1658</v>
      </c>
      <c r="C174" s="660"/>
      <c r="D174" s="660"/>
      <c r="E174" s="656"/>
      <c r="F174" s="664" t="s">
        <v>1659</v>
      </c>
      <c r="G174" s="664" t="s">
        <v>1660</v>
      </c>
      <c r="H174" s="664" t="s">
        <v>1661</v>
      </c>
      <c r="I174" s="664" t="s">
        <v>1662</v>
      </c>
      <c r="J174" s="664" t="s">
        <v>1663</v>
      </c>
      <c r="K174" s="664" t="s">
        <v>1664</v>
      </c>
      <c r="L174" s="660"/>
      <c r="M174" s="656"/>
      <c r="N174" s="660"/>
      <c r="O174" s="660"/>
      <c r="P174" s="660"/>
      <c r="Q174" s="660"/>
      <c r="R174" s="660"/>
      <c r="S174" s="660"/>
      <c r="T174" s="660"/>
      <c r="U174" s="660"/>
      <c r="V174" s="660"/>
      <c r="W174" s="660"/>
      <c r="X174" s="660"/>
      <c r="Y174" s="660"/>
      <c r="Z174" s="660"/>
      <c r="AA174" s="660"/>
      <c r="AB174" s="660"/>
      <c r="AC174" s="660"/>
      <c r="AD174" s="660"/>
    </row>
    <row r="175" spans="1:30" ht="13">
      <c r="A175" s="660"/>
      <c r="B175" s="652" t="s">
        <v>1665</v>
      </c>
      <c r="C175" s="660"/>
      <c r="D175" s="660"/>
      <c r="E175" s="656"/>
      <c r="F175" s="656"/>
      <c r="G175" s="656"/>
      <c r="H175" s="660"/>
      <c r="I175" s="660"/>
      <c r="J175" s="660"/>
      <c r="K175" s="660"/>
      <c r="L175" s="660"/>
      <c r="M175" s="656"/>
      <c r="N175" s="660"/>
      <c r="O175" s="660"/>
      <c r="P175" s="660"/>
      <c r="Q175" s="660"/>
      <c r="R175" s="660"/>
      <c r="S175" s="660"/>
      <c r="T175" s="660"/>
      <c r="U175" s="660"/>
      <c r="V175" s="660"/>
      <c r="W175" s="660"/>
      <c r="X175" s="660"/>
      <c r="Y175" s="660"/>
      <c r="Z175" s="660"/>
      <c r="AA175" s="660"/>
      <c r="AB175" s="660"/>
      <c r="AC175" s="660"/>
      <c r="AD175" s="660"/>
    </row>
    <row r="176" spans="1:30">
      <c r="A176" s="660"/>
      <c r="B176" s="660" t="s">
        <v>1666</v>
      </c>
      <c r="C176" s="660" t="s">
        <v>1667</v>
      </c>
      <c r="D176" s="660" t="s">
        <v>1668</v>
      </c>
      <c r="E176" s="656"/>
      <c r="F176" s="43">
        <f>F177*0.98</f>
        <v>14.209999999999999</v>
      </c>
      <c r="G176" s="61">
        <f>F176/'Conv Factors'!$B$5/'Conv Factors'!$B$2/'Conv Factors'!$B$3/'Conv Factors'!$B$9/'Conv Factors'!$B$4*'Conv Factors'!$B$6</f>
        <v>0.45061478552228867</v>
      </c>
      <c r="H176" s="43"/>
      <c r="I176" s="41"/>
      <c r="J176" s="62">
        <f>J177</f>
        <v>0.85</v>
      </c>
      <c r="K176" s="41">
        <f>J176*1000/'Conv Factors'!$B$14/'Conv Factors'!$B$3</f>
        <v>1.1643835616438356</v>
      </c>
      <c r="L176" s="660"/>
      <c r="M176" s="656"/>
      <c r="N176" s="660"/>
      <c r="O176" s="660"/>
      <c r="P176" s="660"/>
      <c r="Q176" s="660"/>
      <c r="R176" s="660"/>
      <c r="S176" s="660"/>
      <c r="T176" s="660"/>
      <c r="U176" s="660"/>
      <c r="V176" s="660"/>
      <c r="W176" s="660"/>
      <c r="X176" s="660"/>
      <c r="Y176" s="660"/>
      <c r="Z176" s="660"/>
      <c r="AA176" s="660"/>
      <c r="AB176" s="660"/>
      <c r="AC176" s="660"/>
      <c r="AD176" s="660"/>
    </row>
    <row r="177" spans="2:11">
      <c r="B177" s="660" t="str">
        <f>'AEO14 RLT Techs'!K36</f>
        <v>RLTGINC10</v>
      </c>
      <c r="C177" s="660" t="str">
        <f>'AEO14 RLT Techs'!L36</f>
        <v>RLT.GSL.INC.10</v>
      </c>
      <c r="D177" s="660" t="s">
        <v>1668</v>
      </c>
      <c r="E177" s="656"/>
      <c r="F177" s="43">
        <f>'AEO14 RLT Techs'!D36</f>
        <v>14.5</v>
      </c>
      <c r="G177" s="61">
        <f>F177/'Conv Factors'!$B$5/'Conv Factors'!$B$2/'Conv Factors'!$B$3/'Conv Factors'!$B$9/'Conv Factors'!$B$4*'Conv Factors'!$B$6</f>
        <v>0.45981100563498845</v>
      </c>
      <c r="H177" s="43">
        <f>'AEO14 RLT Techs'!C36</f>
        <v>0.33</v>
      </c>
      <c r="I177" s="41">
        <f>H177*'Conv Factors'!$C$53/1000/'Conv Factors'!$B$7*'Conv Factors'!$B$9</f>
        <v>0.29993805021193348</v>
      </c>
      <c r="J177" s="62">
        <f>'AEO14 RLT Techs'!F36/1000</f>
        <v>0.85</v>
      </c>
      <c r="K177" s="41">
        <f>J177*1000/'Conv Factors'!$B$14/'Conv Factors'!$B$3</f>
        <v>1.1643835616438356</v>
      </c>
    </row>
    <row r="178" spans="2:11">
      <c r="B178" s="660" t="str">
        <f>'AEO14 RLT Techs'!K38</f>
        <v>RLTGINC15</v>
      </c>
      <c r="C178" s="660" t="str">
        <f>'AEO14 RLT Techs'!L38</f>
        <v>RLT.GSL.INC.15</v>
      </c>
      <c r="D178" s="660" t="s">
        <v>1668</v>
      </c>
      <c r="E178" s="656"/>
      <c r="F178" s="43">
        <f>'AEO14 RLT Techs'!D38</f>
        <v>19.8</v>
      </c>
      <c r="G178" s="61">
        <f>F178/'Conv Factors'!$B$5/'Conv Factors'!$B$2/'Conv Factors'!$B$3/'Conv Factors'!$B$9/'Conv Factors'!$B$4*'Conv Factors'!$B$6</f>
        <v>0.62787985597053608</v>
      </c>
      <c r="H178" s="43">
        <f>'AEO14 RLT Techs'!C38</f>
        <v>1.71</v>
      </c>
      <c r="I178" s="41">
        <f>H178*'Conv Factors'!$C$53/1000/'Conv Factors'!$B$7*'Conv Factors'!$B$9</f>
        <v>1.5542244420072919</v>
      </c>
      <c r="J178" s="62">
        <f>'AEO14 RLT Techs'!F38/1000</f>
        <v>1</v>
      </c>
      <c r="K178" s="41">
        <f>J178*1000/'Conv Factors'!$B$14/'Conv Factors'!$B$3</f>
        <v>1.3698630136986301</v>
      </c>
    </row>
    <row r="179" spans="2:11" ht="13">
      <c r="B179" s="652" t="s">
        <v>1669</v>
      </c>
      <c r="C179" s="660"/>
      <c r="D179" s="660"/>
      <c r="E179" s="656"/>
      <c r="F179" s="43"/>
      <c r="G179" s="61"/>
      <c r="H179" s="656"/>
      <c r="I179" s="656"/>
      <c r="J179" s="62"/>
      <c r="K179" s="656"/>
    </row>
    <row r="180" spans="2:11">
      <c r="B180" s="660" t="s">
        <v>1670</v>
      </c>
      <c r="C180" s="660" t="s">
        <v>1671</v>
      </c>
      <c r="D180" s="660" t="s">
        <v>1668</v>
      </c>
      <c r="E180" s="656"/>
      <c r="F180" s="43">
        <f>F181*0.95</f>
        <v>63.839999999999996</v>
      </c>
      <c r="G180" s="61">
        <f>F180/'Conv Factors'!$B$5/'Conv Factors'!$B$2/'Conv Factors'!$B$3/'Conv Factors'!$B$9/'Conv Factors'!$B$4*'Conv Factors'!$B$6</f>
        <v>2.0244368689474248</v>
      </c>
      <c r="H180" s="43"/>
      <c r="I180" s="41"/>
      <c r="J180" s="62">
        <f>J181</f>
        <v>10</v>
      </c>
      <c r="K180" s="41">
        <f>J180*1000/'Conv Factors'!$B$14/'Conv Factors'!$B$3</f>
        <v>13.698630136986301</v>
      </c>
    </row>
    <row r="181" spans="2:11">
      <c r="B181" s="660" t="str">
        <f>'AEO14 RLT Techs'!K41</f>
        <v>RLTGCFL10</v>
      </c>
      <c r="C181" s="660" t="str">
        <f>'AEO14 RLT Techs'!L41</f>
        <v>RLT.GSL.CFL.10</v>
      </c>
      <c r="D181" s="660" t="s">
        <v>1668</v>
      </c>
      <c r="E181" s="660"/>
      <c r="F181" s="43">
        <f>'AEO14 RLT Techs'!D41</f>
        <v>67.2</v>
      </c>
      <c r="G181" s="61">
        <f>F181/'Conv Factors'!$B$5/'Conv Factors'!$B$2/'Conv Factors'!$B$3/'Conv Factors'!$B$9/'Conv Factors'!$B$4*'Conv Factors'!$B$6</f>
        <v>2.1309861778393948</v>
      </c>
      <c r="H181" s="43">
        <f>'AEO14 RLT Techs'!C41</f>
        <v>3.07</v>
      </c>
      <c r="I181" s="41">
        <f>H181*'Conv Factors'!$C$53/1000/'Conv Factors'!$B$7*'Conv Factors'!$B$9</f>
        <v>2.7903327701534422</v>
      </c>
      <c r="J181" s="62">
        <f>'AEO14 RLT Techs'!F41/1000</f>
        <v>10</v>
      </c>
      <c r="K181" s="41">
        <f>J181*1000/'Conv Factors'!$B$14/'Conv Factors'!$B$3</f>
        <v>13.698630136986301</v>
      </c>
    </row>
    <row r="182" spans="2:11">
      <c r="B182" s="660" t="str">
        <f>'AEO14 RLT Techs'!K42</f>
        <v>RLTGCFL15</v>
      </c>
      <c r="C182" s="660" t="str">
        <f>'AEO14 RLT Techs'!L42</f>
        <v>RLT.GSL.CFL.15</v>
      </c>
      <c r="D182" s="660" t="s">
        <v>1668</v>
      </c>
      <c r="E182" s="660"/>
      <c r="F182" s="43">
        <f>'AEO14 RLT Techs'!D42</f>
        <v>67.2</v>
      </c>
      <c r="G182" s="61">
        <f>F182/'Conv Factors'!$B$5/'Conv Factors'!$B$2/'Conv Factors'!$B$3/'Conv Factors'!$B$9/'Conv Factors'!$B$4*'Conv Factors'!$B$6</f>
        <v>2.1309861778393948</v>
      </c>
      <c r="H182" s="43">
        <f>'AEO14 RLT Techs'!C42</f>
        <v>2.33</v>
      </c>
      <c r="I182" s="41">
        <f>H182*'Conv Factors'!$C$53/1000/'Conv Factors'!$B$7*'Conv Factors'!$B$9</f>
        <v>2.1177444151327425</v>
      </c>
      <c r="J182" s="62">
        <f>'AEO14 RLT Techs'!F42/1000</f>
        <v>10</v>
      </c>
      <c r="K182" s="41">
        <f>J182*1000/'Conv Factors'!$B$14/'Conv Factors'!$B$3</f>
        <v>13.698630136986301</v>
      </c>
    </row>
    <row r="183" spans="2:11">
      <c r="B183" s="660" t="str">
        <f>'AEO14 RLT Techs'!K43</f>
        <v>RLTGCFL20</v>
      </c>
      <c r="C183" s="660" t="str">
        <f>'AEO14 RLT Techs'!L43</f>
        <v>RLT.GSL.CFL.20</v>
      </c>
      <c r="D183" s="660" t="s">
        <v>1668</v>
      </c>
      <c r="E183" s="660"/>
      <c r="F183" s="43">
        <f>'AEO14 RLT Techs'!D43</f>
        <v>69</v>
      </c>
      <c r="G183" s="61">
        <f>F183/'Conv Factors'!$B$5/'Conv Factors'!$B$2/'Conv Factors'!$B$3/'Conv Factors'!$B$9/'Conv Factors'!$B$4*'Conv Factors'!$B$6</f>
        <v>2.1880661647458073</v>
      </c>
      <c r="H183" s="43">
        <f>'AEO14 RLT Techs'!C43</f>
        <v>2.27</v>
      </c>
      <c r="I183" s="41">
        <f>H183*'Conv Factors'!$C$53/1000/'Conv Factors'!$B$7*'Conv Factors'!$B$9</f>
        <v>2.0632102241851182</v>
      </c>
      <c r="J183" s="62">
        <f>'AEO14 RLT Techs'!F43/1000</f>
        <v>10</v>
      </c>
      <c r="K183" s="41">
        <f>J183*1000/'Conv Factors'!$B$14/'Conv Factors'!$B$3</f>
        <v>13.698630136986301</v>
      </c>
    </row>
    <row r="184" spans="2:11">
      <c r="B184" s="660" t="str">
        <f>'AEO14 RLT Techs'!K44</f>
        <v>RLTGCFL30</v>
      </c>
      <c r="C184" s="660" t="str">
        <f>'AEO14 RLT Techs'!L44</f>
        <v>RLT.GSL.CFL.30</v>
      </c>
      <c r="D184" s="660" t="s">
        <v>1668</v>
      </c>
      <c r="E184" s="660"/>
      <c r="F184" s="43">
        <f>'AEO14 RLT Techs'!D44</f>
        <v>70.7</v>
      </c>
      <c r="G184" s="61">
        <f>F184/'Conv Factors'!$B$5/'Conv Factors'!$B$2/'Conv Factors'!$B$3/'Conv Factors'!$B$9/'Conv Factors'!$B$4*'Conv Factors'!$B$6</f>
        <v>2.24197504126853</v>
      </c>
      <c r="H184" s="43">
        <f>'AEO14 RLT Techs'!C44</f>
        <v>2.21</v>
      </c>
      <c r="I184" s="41">
        <f>H184*'Conv Factors'!$C$53/1000/'Conv Factors'!$B$7*'Conv Factors'!$B$9</f>
        <v>2.008676033237494</v>
      </c>
      <c r="J184" s="62">
        <f>'AEO14 RLT Techs'!F44/1000</f>
        <v>10</v>
      </c>
      <c r="K184" s="41">
        <f>J184*1000/'Conv Factors'!$B$14/'Conv Factors'!$B$3</f>
        <v>13.698630136986301</v>
      </c>
    </row>
    <row r="185" spans="2:11">
      <c r="B185" s="660" t="str">
        <f>'AEO14 RLT Techs'!K45</f>
        <v>RLTGCFL40</v>
      </c>
      <c r="C185" s="660" t="str">
        <f>'AEO14 RLT Techs'!L45</f>
        <v>RLT.GSL.CFL.40</v>
      </c>
      <c r="D185" s="660" t="s">
        <v>1668</v>
      </c>
      <c r="E185" s="656"/>
      <c r="F185" s="43">
        <f>'AEO14 RLT Techs'!D45</f>
        <v>72.5</v>
      </c>
      <c r="G185" s="61">
        <f>F185/'Conv Factors'!$B$5/'Conv Factors'!$B$2/'Conv Factors'!$B$3/'Conv Factors'!$B$9/'Conv Factors'!$B$4*'Conv Factors'!$B$6</f>
        <v>2.2990550281749424</v>
      </c>
      <c r="H185" s="43">
        <f>'AEO14 RLT Techs'!C45</f>
        <v>2.16</v>
      </c>
      <c r="I185" s="41">
        <f>H185*'Conv Factors'!$C$53/1000/'Conv Factors'!$B$7*'Conv Factors'!$B$9</f>
        <v>1.9632308741144737</v>
      </c>
      <c r="J185" s="62">
        <f>'AEO14 RLT Techs'!F45/1000</f>
        <v>10</v>
      </c>
      <c r="K185" s="41">
        <f>J185*1000/'Conv Factors'!$B$14/'Conv Factors'!$B$3</f>
        <v>13.698630136986301</v>
      </c>
    </row>
    <row r="186" spans="2:11" ht="13">
      <c r="B186" s="652" t="s">
        <v>1672</v>
      </c>
      <c r="C186" s="660"/>
      <c r="D186" s="660"/>
      <c r="E186" s="656"/>
      <c r="F186" s="43"/>
      <c r="G186" s="61"/>
      <c r="H186" s="656"/>
      <c r="I186" s="656"/>
      <c r="J186" s="62"/>
      <c r="K186" s="656"/>
    </row>
    <row r="187" spans="2:11">
      <c r="B187" s="660" t="str">
        <f>'AEO14 RLT Techs'!K48</f>
        <v>RLTGLED10</v>
      </c>
      <c r="C187" s="660" t="str">
        <f>'AEO14 RLT Techs'!L48</f>
        <v>RLT.GSL.LED.10</v>
      </c>
      <c r="D187" s="660" t="s">
        <v>1668</v>
      </c>
      <c r="E187" s="656"/>
      <c r="F187" s="43">
        <f>'AEO14 RLT Techs'!D48</f>
        <v>60</v>
      </c>
      <c r="G187" s="61">
        <f>F187/'Conv Factors'!$B$5/'Conv Factors'!$B$2/'Conv Factors'!$B$3/'Conv Factors'!$B$9/'Conv Factors'!$B$4*'Conv Factors'!$B$6</f>
        <v>1.9026662302137451</v>
      </c>
      <c r="H187" s="43">
        <f>'AEO14 RLT Techs'!C48</f>
        <v>25.85</v>
      </c>
      <c r="I187" s="41">
        <f>H187*'Conv Factors'!$C$53/1000/'Conv Factors'!$B$7*'Conv Factors'!$B$9</f>
        <v>23.495147266601457</v>
      </c>
      <c r="J187" s="62">
        <f>'AEO14 RLT Techs'!F48/1000</f>
        <v>25</v>
      </c>
      <c r="K187" s="41">
        <f>J187*1000/'Conv Factors'!$B$14/'Conv Factors'!$B$3</f>
        <v>34.246575342465754</v>
      </c>
    </row>
    <row r="188" spans="2:11">
      <c r="B188" s="660" t="str">
        <f>'AEO14 RLT Techs'!K52</f>
        <v>RLTGLED15</v>
      </c>
      <c r="C188" s="660" t="str">
        <f>'AEO14 RLT Techs'!L52</f>
        <v>RLT.GSL.LED.15</v>
      </c>
      <c r="D188" s="660" t="s">
        <v>1668</v>
      </c>
      <c r="E188" s="656"/>
      <c r="F188" s="43">
        <f>'AEO14 RLT Techs'!D52</f>
        <v>92</v>
      </c>
      <c r="G188" s="61">
        <f>F188/'Conv Factors'!$B$5/'Conv Factors'!$B$2/'Conv Factors'!$B$3/'Conv Factors'!$B$9/'Conv Factors'!$B$4*'Conv Factors'!$B$6</f>
        <v>2.9174215529944094</v>
      </c>
      <c r="H188" s="43">
        <f>'AEO14 RLT Techs'!C52</f>
        <v>7.66</v>
      </c>
      <c r="I188" s="41">
        <f>H188*'Conv Factors'!$C$53/1000/'Conv Factors'!$B$7*'Conv Factors'!$B$9</f>
        <v>6.9621983776466987</v>
      </c>
      <c r="J188" s="62">
        <f>'AEO14 RLT Techs'!F52/1000</f>
        <v>34.020000000000003</v>
      </c>
      <c r="K188" s="41">
        <f>J188*1000/'Conv Factors'!$B$14/'Conv Factors'!$B$3</f>
        <v>46.602739726027394</v>
      </c>
    </row>
    <row r="189" spans="2:11">
      <c r="B189" s="660" t="str">
        <f>'AEO14 RLT Techs'!K57</f>
        <v>RLTGLED20</v>
      </c>
      <c r="C189" s="660" t="str">
        <f>'AEO14 RLT Techs'!L57</f>
        <v>RLT.GSL.LED.20</v>
      </c>
      <c r="D189" s="660" t="s">
        <v>1668</v>
      </c>
      <c r="E189" s="656"/>
      <c r="F189" s="43">
        <f>'AEO14 RLT Techs'!D57</f>
        <v>157</v>
      </c>
      <c r="G189" s="61">
        <f>F189/'Conv Factors'!$B$5/'Conv Factors'!$B$2/'Conv Factors'!$B$3/'Conv Factors'!$B$9/'Conv Factors'!$B$4*'Conv Factors'!$B$6</f>
        <v>4.9786433023926335</v>
      </c>
      <c r="H189" s="43">
        <f>'AEO14 RLT Techs'!C57</f>
        <v>3.92</v>
      </c>
      <c r="I189" s="41">
        <f>H189*'Conv Factors'!$C$53/1000/'Conv Factors'!$B$7*'Conv Factors'!$B$9</f>
        <v>3.5629004752447853</v>
      </c>
      <c r="J189" s="62">
        <f>'AEO14 RLT Techs'!F57/1000</f>
        <v>50</v>
      </c>
      <c r="K189" s="41">
        <f>J189*1000/'Conv Factors'!$B$14/'Conv Factors'!$B$3</f>
        <v>68.493150684931507</v>
      </c>
    </row>
    <row r="190" spans="2:11">
      <c r="B190" s="660" t="str">
        <f>'AEO14 RLT Techs'!K58</f>
        <v>RLTGLED25</v>
      </c>
      <c r="C190" s="660" t="str">
        <f>'AEO14 RLT Techs'!L58</f>
        <v>RLT.GSL.LED.25</v>
      </c>
      <c r="D190" s="660" t="s">
        <v>1668</v>
      </c>
      <c r="E190" s="656"/>
      <c r="F190" s="43">
        <f>'AEO14 RLT Techs'!D58</f>
        <v>179.5</v>
      </c>
      <c r="G190" s="61">
        <f>F190/'Conv Factors'!$B$5/'Conv Factors'!$B$2/'Conv Factors'!$B$3/'Conv Factors'!$B$9/'Conv Factors'!$B$4*'Conv Factors'!$B$6</f>
        <v>5.6921431387227885</v>
      </c>
      <c r="H190" s="43">
        <f>'AEO14 RLT Techs'!C58</f>
        <v>2.79</v>
      </c>
      <c r="I190" s="41">
        <f>H190*'Conv Factors'!$C$53/1000/'Conv Factors'!$B$7*'Conv Factors'!$B$9</f>
        <v>2.5358398790645285</v>
      </c>
      <c r="J190" s="62">
        <f>'AEO14 RLT Techs'!F58/1000</f>
        <v>50</v>
      </c>
      <c r="K190" s="41">
        <f>J190*1000/'Conv Factors'!$B$14/'Conv Factors'!$B$3</f>
        <v>68.493150684931507</v>
      </c>
    </row>
    <row r="191" spans="2:11">
      <c r="B191" s="660" t="str">
        <f>'AEO14 RLT Techs'!K59</f>
        <v>RLTGLED30</v>
      </c>
      <c r="C191" s="660" t="str">
        <f>'AEO14 RLT Techs'!L59</f>
        <v>RLT.GSL.LED.30</v>
      </c>
      <c r="D191" s="660" t="s">
        <v>1668</v>
      </c>
      <c r="E191" s="656"/>
      <c r="F191" s="43">
        <f>'AEO14 RLT Techs'!D59</f>
        <v>202</v>
      </c>
      <c r="G191" s="61">
        <f>F191/'Conv Factors'!$B$5/'Conv Factors'!$B$2/'Conv Factors'!$B$3/'Conv Factors'!$B$9/'Conv Factors'!$B$4*'Conv Factors'!$B$6</f>
        <v>6.4056429750529427</v>
      </c>
      <c r="H191" s="43">
        <f>'AEO14 RLT Techs'!C59</f>
        <v>2.35</v>
      </c>
      <c r="I191" s="41">
        <f>H191*'Conv Factors'!$C$53/1000/'Conv Factors'!$B$7*'Conv Factors'!$B$9</f>
        <v>2.1359224787819504</v>
      </c>
      <c r="J191" s="62">
        <f>'AEO14 RLT Techs'!F59/1000</f>
        <v>50</v>
      </c>
      <c r="K191" s="41">
        <f>J191*1000/'Conv Factors'!$B$14/'Conv Factors'!$B$3</f>
        <v>68.493150684931507</v>
      </c>
    </row>
    <row r="192" spans="2:11">
      <c r="B192" s="660" t="str">
        <f>'AEO14 RLT Techs'!K60</f>
        <v>RLTGLED40</v>
      </c>
      <c r="C192" s="660" t="str">
        <f>'AEO14 RLT Techs'!L60</f>
        <v>RLT.GSL.LED.40</v>
      </c>
      <c r="D192" s="660" t="s">
        <v>1668</v>
      </c>
      <c r="E192" s="656"/>
      <c r="F192" s="43">
        <f>'AEO14 RLT Techs'!D60</f>
        <v>202</v>
      </c>
      <c r="G192" s="61">
        <f>F192/'Conv Factors'!$B$5/'Conv Factors'!$B$2/'Conv Factors'!$B$3/'Conv Factors'!$B$9/'Conv Factors'!$B$4*'Conv Factors'!$B$6</f>
        <v>6.4056429750529427</v>
      </c>
      <c r="H192" s="43">
        <f>'AEO14 RLT Techs'!C60</f>
        <v>2.35</v>
      </c>
      <c r="I192" s="41">
        <f>H192*'Conv Factors'!$C$53/1000/'Conv Factors'!$B$7*'Conv Factors'!$B$9</f>
        <v>2.1359224787819504</v>
      </c>
      <c r="J192" s="62">
        <f>'AEO14 RLT Techs'!F60/1000</f>
        <v>50</v>
      </c>
      <c r="K192" s="41">
        <f>J192*1000/'Conv Factors'!$B$14/'Conv Factors'!$B$3</f>
        <v>68.493150684931507</v>
      </c>
    </row>
    <row r="193" spans="2:11">
      <c r="B193" s="660"/>
      <c r="C193" s="660"/>
      <c r="D193" s="660"/>
      <c r="E193" s="656"/>
      <c r="F193" s="43"/>
      <c r="G193" s="61"/>
      <c r="H193" s="43"/>
      <c r="I193" s="41"/>
      <c r="J193" s="62"/>
      <c r="K193" s="41"/>
    </row>
    <row r="194" spans="2:11" ht="13">
      <c r="B194" s="652" t="s">
        <v>1673</v>
      </c>
      <c r="C194" s="660"/>
      <c r="D194" s="660"/>
      <c r="E194" s="656"/>
      <c r="F194" s="43"/>
      <c r="G194" s="61"/>
      <c r="H194" s="43"/>
      <c r="I194" s="41"/>
      <c r="J194" s="62"/>
      <c r="K194" s="41"/>
    </row>
    <row r="195" spans="2:11">
      <c r="B195" s="660" t="s">
        <v>1674</v>
      </c>
      <c r="C195" s="660" t="s">
        <v>1675</v>
      </c>
      <c r="D195" s="660"/>
      <c r="E195" s="656"/>
      <c r="F195" s="43"/>
      <c r="G195" s="61">
        <f>AVERAGE(G197:G210)</f>
        <v>0.76793723125015889</v>
      </c>
      <c r="H195" s="43"/>
      <c r="I195" s="41"/>
      <c r="J195" s="62"/>
      <c r="K195" s="41">
        <f>AVERAGE(K197:K211)</f>
        <v>5.5251141552511411</v>
      </c>
    </row>
    <row r="196" spans="2:11" ht="13">
      <c r="B196" s="652" t="s">
        <v>1665</v>
      </c>
      <c r="C196" s="660"/>
      <c r="D196" s="660"/>
      <c r="E196" s="656"/>
      <c r="F196" s="43"/>
      <c r="G196" s="61"/>
      <c r="H196" s="43"/>
      <c r="I196" s="41"/>
      <c r="J196" s="62"/>
      <c r="K196" s="41"/>
    </row>
    <row r="197" spans="2:11">
      <c r="B197" s="660" t="str">
        <f>'AEO14 RLT Techs'!K62</f>
        <v>RLTRINC10</v>
      </c>
      <c r="C197" s="660" t="str">
        <f>'AEO14 RLT Techs'!L62</f>
        <v>RLT.REF.INC.10</v>
      </c>
      <c r="D197" s="660" t="s">
        <v>1668</v>
      </c>
      <c r="E197" s="656"/>
      <c r="F197" s="43">
        <f>'AEO14 RLT Techs'!D62</f>
        <v>9.6999999999999993</v>
      </c>
      <c r="G197" s="61">
        <f>F197/'Conv Factors'!$B$5/'Conv Factors'!$B$2/'Conv Factors'!$B$3/'Conv Factors'!$B$9/'Conv Factors'!$B$4*'Conv Factors'!$B$6</f>
        <v>0.30759770721788882</v>
      </c>
      <c r="H197" s="43">
        <f>'AEO14 RLT Techs'!C62</f>
        <v>3.31</v>
      </c>
      <c r="I197" s="41">
        <f>H197*'Conv Factors'!$C$53/1000/'Conv Factors'!$B$7*'Conv Factors'!$B$9</f>
        <v>3.0084695339439387</v>
      </c>
      <c r="J197" s="62">
        <f>'AEO14 RLT Techs'!F62/1000</f>
        <v>0.85</v>
      </c>
      <c r="K197" s="41">
        <f>J197*1000/'Conv Factors'!$B$14/'Conv Factors'!$B$3</f>
        <v>1.1643835616438356</v>
      </c>
    </row>
    <row r="198" spans="2:11">
      <c r="B198" s="660" t="str">
        <f>'AEO14 RLT Techs'!K63</f>
        <v>RLTRINC20</v>
      </c>
      <c r="C198" s="660" t="str">
        <f>'AEO14 RLT Techs'!L63</f>
        <v>RLT.REF.INC.20</v>
      </c>
      <c r="D198" s="660" t="s">
        <v>1668</v>
      </c>
      <c r="E198" s="656"/>
      <c r="F198" s="43">
        <f>'AEO14 RLT Techs'!D63</f>
        <v>9.8000000000000007</v>
      </c>
      <c r="G198" s="61">
        <f>F198/'Conv Factors'!$B$5/'Conv Factors'!$B$2/'Conv Factors'!$B$3/'Conv Factors'!$B$9/'Conv Factors'!$B$4*'Conv Factors'!$B$6</f>
        <v>0.31076881760157848</v>
      </c>
      <c r="H198" s="43">
        <f>'AEO14 RLT Techs'!C63</f>
        <v>3.23</v>
      </c>
      <c r="I198" s="41">
        <f>H198*'Conv Factors'!$C$53/1000/'Conv Factors'!$B$7*'Conv Factors'!$B$9</f>
        <v>2.9357572793471065</v>
      </c>
      <c r="J198" s="62">
        <f>'AEO14 RLT Techs'!F63/1000</f>
        <v>0.85</v>
      </c>
      <c r="K198" s="41">
        <f>J198*1000/'Conv Factors'!$B$14/'Conv Factors'!$B$3</f>
        <v>1.1643835616438356</v>
      </c>
    </row>
    <row r="199" spans="2:11">
      <c r="B199" s="660" t="str">
        <f>'AEO14 RLT Techs'!K64</f>
        <v>RLTRINC30</v>
      </c>
      <c r="C199" s="660" t="str">
        <f>'AEO14 RLT Techs'!L64</f>
        <v>RLT.REF.INC.30</v>
      </c>
      <c r="D199" s="660" t="s">
        <v>1668</v>
      </c>
      <c r="E199" s="656"/>
      <c r="F199" s="43">
        <f>'AEO14 RLT Techs'!D64</f>
        <v>9.9</v>
      </c>
      <c r="G199" s="61">
        <f>F199/'Conv Factors'!$B$5/'Conv Factors'!$B$2/'Conv Factors'!$B$3/'Conv Factors'!$B$9/'Conv Factors'!$B$4*'Conv Factors'!$B$6</f>
        <v>0.31393992798526804</v>
      </c>
      <c r="H199" s="43">
        <f>'AEO14 RLT Techs'!C64</f>
        <v>3.14</v>
      </c>
      <c r="I199" s="41">
        <f>H199*'Conv Factors'!$C$53/1000/'Conv Factors'!$B$7*'Conv Factors'!$B$9</f>
        <v>2.8539559929256701</v>
      </c>
      <c r="J199" s="62">
        <f>'AEO14 RLT Techs'!F64/1000</f>
        <v>0.85</v>
      </c>
      <c r="K199" s="41">
        <f>J199*1000/'Conv Factors'!$B$14/'Conv Factors'!$B$3</f>
        <v>1.1643835616438356</v>
      </c>
    </row>
    <row r="200" spans="2:11">
      <c r="B200" s="660" t="str">
        <f>'AEO14 RLT Techs'!K65</f>
        <v>RLTRINC40</v>
      </c>
      <c r="C200" s="660" t="str">
        <f>'AEO14 RLT Techs'!L65</f>
        <v>RLT.REF.INC.40</v>
      </c>
      <c r="D200" s="660" t="s">
        <v>1668</v>
      </c>
      <c r="E200" s="656"/>
      <c r="F200" s="43">
        <f>'AEO14 RLT Techs'!D65</f>
        <v>10</v>
      </c>
      <c r="G200" s="61">
        <f>F200/'Conv Factors'!$B$5/'Conv Factors'!$B$2/'Conv Factors'!$B$3/'Conv Factors'!$B$9/'Conv Factors'!$B$4*'Conv Factors'!$B$6</f>
        <v>0.3171110383689576</v>
      </c>
      <c r="H200" s="43">
        <f>'AEO14 RLT Techs'!C65</f>
        <v>3.06</v>
      </c>
      <c r="I200" s="41">
        <f>H200*'Conv Factors'!$C$53/1000/'Conv Factors'!$B$7*'Conv Factors'!$B$9</f>
        <v>2.7812437383288375</v>
      </c>
      <c r="J200" s="62">
        <f>'AEO14 RLT Techs'!F65/1000</f>
        <v>0.85</v>
      </c>
      <c r="K200" s="41">
        <f>J200*1000/'Conv Factors'!$B$14/'Conv Factors'!$B$3</f>
        <v>1.1643835616438356</v>
      </c>
    </row>
    <row r="201" spans="2:11" ht="13">
      <c r="B201" s="652" t="s">
        <v>1669</v>
      </c>
      <c r="C201" s="660"/>
      <c r="D201" s="660"/>
      <c r="E201" s="656"/>
      <c r="F201" s="43"/>
      <c r="G201" s="61"/>
      <c r="H201" s="43"/>
      <c r="I201" s="41"/>
      <c r="J201" s="62"/>
      <c r="K201" s="41"/>
    </row>
    <row r="202" spans="2:11">
      <c r="B202" s="660" t="str">
        <f>'AEO14 RLT Techs'!K67</f>
        <v>RLTRCFL10</v>
      </c>
      <c r="C202" s="660" t="str">
        <f>'AEO14 RLT Techs'!L67</f>
        <v>RLT.REF.CFL.10</v>
      </c>
      <c r="D202" s="660" t="s">
        <v>1668</v>
      </c>
      <c r="E202" s="656"/>
      <c r="F202" s="43">
        <f>'AEO14 RLT Techs'!D67</f>
        <v>48</v>
      </c>
      <c r="G202" s="61">
        <f>F202/'Conv Factors'!$B$5/'Conv Factors'!$B$2/'Conv Factors'!$B$3/'Conv Factors'!$B$9/'Conv Factors'!$B$4*'Conv Factors'!$B$6</f>
        <v>1.5221329841709963</v>
      </c>
      <c r="H202" s="43">
        <f>'AEO14 RLT Techs'!C67</f>
        <v>6.23</v>
      </c>
      <c r="I202" s="41">
        <f>H202*'Conv Factors'!$C$53/1000/'Conv Factors'!$B$7*'Conv Factors'!$B$9</f>
        <v>5.6624668267283207</v>
      </c>
      <c r="J202" s="62">
        <f>'AEO14 RLT Techs'!F67/1000</f>
        <v>8</v>
      </c>
      <c r="K202" s="41">
        <f>J202*1000/'Conv Factors'!$B$14/'Conv Factors'!$B$3</f>
        <v>10.95890410958904</v>
      </c>
    </row>
    <row r="203" spans="2:11">
      <c r="B203" s="660" t="str">
        <f>'AEO14 RLT Techs'!K68</f>
        <v>RLTRCFL20</v>
      </c>
      <c r="C203" s="660" t="str">
        <f>'AEO14 RLT Techs'!L68</f>
        <v>RLT.REF.CFL.20</v>
      </c>
      <c r="D203" s="660" t="s">
        <v>1668</v>
      </c>
      <c r="E203" s="656"/>
      <c r="F203" s="43">
        <f>'AEO14 RLT Techs'!D68</f>
        <v>50.4</v>
      </c>
      <c r="G203" s="61">
        <f>F203/'Conv Factors'!$B$5/'Conv Factors'!$B$2/'Conv Factors'!$B$3/'Conv Factors'!$B$9/'Conv Factors'!$B$4*'Conv Factors'!$B$6</f>
        <v>1.5982396333795463</v>
      </c>
      <c r="H203" s="43">
        <f>'AEO14 RLT Techs'!C68</f>
        <v>6.07</v>
      </c>
      <c r="I203" s="41">
        <f>H203*'Conv Factors'!$C$53/1000/'Conv Factors'!$B$7*'Conv Factors'!$B$9</f>
        <v>5.5170423175346555</v>
      </c>
      <c r="J203" s="62">
        <f>'AEO14 RLT Techs'!F68/1000</f>
        <v>8</v>
      </c>
      <c r="K203" s="41">
        <f>J203*1000/'Conv Factors'!$B$14/'Conv Factors'!$B$3</f>
        <v>10.95890410958904</v>
      </c>
    </row>
    <row r="204" spans="2:11">
      <c r="B204" s="660" t="str">
        <f>'AEO14 RLT Techs'!K69</f>
        <v>RLTRCFL30</v>
      </c>
      <c r="C204" s="660" t="str">
        <f>'AEO14 RLT Techs'!L69</f>
        <v>RLT.REF.CFL.30</v>
      </c>
      <c r="D204" s="660" t="s">
        <v>1668</v>
      </c>
      <c r="E204" s="656"/>
      <c r="F204" s="43">
        <f>'AEO14 RLT Techs'!D69</f>
        <v>42.9</v>
      </c>
      <c r="G204" s="61">
        <f>F204/'Conv Factors'!$B$5/'Conv Factors'!$B$2/'Conv Factors'!$B$3/'Conv Factors'!$B$9/'Conv Factors'!$B$4*'Conv Factors'!$B$6</f>
        <v>1.3604063546028278</v>
      </c>
      <c r="H204" s="43">
        <f>'AEO14 RLT Techs'!C69</f>
        <v>5.92</v>
      </c>
      <c r="I204" s="41">
        <f>H204*'Conv Factors'!$C$53/1000/'Conv Factors'!$B$7*'Conv Factors'!$B$9</f>
        <v>5.380706840165594</v>
      </c>
      <c r="J204" s="62">
        <f>'AEO14 RLT Techs'!F69/1000</f>
        <v>8</v>
      </c>
      <c r="K204" s="41">
        <f>J204*1000/'Conv Factors'!$B$14/'Conv Factors'!$B$3</f>
        <v>10.95890410958904</v>
      </c>
    </row>
    <row r="205" spans="2:11">
      <c r="B205" s="660" t="str">
        <f>'AEO14 RLT Techs'!K70</f>
        <v>RLTRCFL40</v>
      </c>
      <c r="C205" s="660" t="str">
        <f>'AEO14 RLT Techs'!L70</f>
        <v>RLT.REF.CFL.40</v>
      </c>
      <c r="D205" s="660" t="s">
        <v>1668</v>
      </c>
      <c r="E205" s="656"/>
      <c r="F205" s="43">
        <f>'AEO14 RLT Techs'!D70</f>
        <v>55.6</v>
      </c>
      <c r="G205" s="61">
        <f>F205/'Conv Factors'!$B$5/'Conv Factors'!$B$2/'Conv Factors'!$B$3/'Conv Factors'!$B$9/'Conv Factors'!$B$4*'Conv Factors'!$B$6</f>
        <v>1.7631373733314042</v>
      </c>
      <c r="H205" s="43">
        <f>'AEO14 RLT Techs'!C70</f>
        <v>5.77</v>
      </c>
      <c r="I205" s="41">
        <f>H205*'Conv Factors'!$C$53/1000/'Conv Factors'!$B$7*'Conv Factors'!$B$9</f>
        <v>5.2443713627965334</v>
      </c>
      <c r="J205" s="62">
        <f>'AEO14 RLT Techs'!F70/1000</f>
        <v>9</v>
      </c>
      <c r="K205" s="41">
        <f>J205*1000/'Conv Factors'!$B$14/'Conv Factors'!$B$3</f>
        <v>12.328767123287671</v>
      </c>
    </row>
    <row r="206" spans="2:11" ht="13">
      <c r="B206" s="652" t="s">
        <v>1676</v>
      </c>
      <c r="C206" s="660"/>
      <c r="D206" s="660"/>
      <c r="E206" s="656"/>
      <c r="F206" s="43"/>
      <c r="G206" s="61"/>
      <c r="H206" s="43"/>
      <c r="I206" s="41"/>
      <c r="J206" s="62"/>
      <c r="K206" s="41"/>
    </row>
    <row r="207" spans="2:11">
      <c r="B207" s="660" t="str">
        <f>'AEO14 RLT Techs'!K72</f>
        <v>RLTRHAL10</v>
      </c>
      <c r="C207" s="660" t="str">
        <f>'AEO14 RLT Techs'!L72</f>
        <v>RLT.REF.HAL.10</v>
      </c>
      <c r="D207" s="660" t="s">
        <v>1668</v>
      </c>
      <c r="E207" s="656"/>
      <c r="F207" s="43">
        <f>'AEO14 RLT Techs'!D72</f>
        <v>12.6</v>
      </c>
      <c r="G207" s="61">
        <f>F207/'Conv Factors'!$B$5/'Conv Factors'!$B$2/'Conv Factors'!$B$3/'Conv Factors'!$B$9/'Conv Factors'!$B$4*'Conv Factors'!$B$6</f>
        <v>0.39955990834488658</v>
      </c>
      <c r="H207" s="43">
        <f>'AEO14 RLT Techs'!C72</f>
        <v>5.99</v>
      </c>
      <c r="I207" s="41">
        <f>H207*'Conv Factors'!$C$53/1000/'Conv Factors'!$B$7*'Conv Factors'!$B$9</f>
        <v>5.4443300629378237</v>
      </c>
      <c r="J207" s="62">
        <f>'AEO14 RLT Techs'!F72/1000</f>
        <v>3</v>
      </c>
      <c r="K207" s="41">
        <f>J207*1000/'Conv Factors'!$B$14/'Conv Factors'!$B$3</f>
        <v>4.1095890410958908</v>
      </c>
    </row>
    <row r="208" spans="2:11">
      <c r="B208" s="660" t="str">
        <f>'AEO14 RLT Techs'!K73</f>
        <v>RLTRHAL20</v>
      </c>
      <c r="C208" s="660" t="str">
        <f>'AEO14 RLT Techs'!L73</f>
        <v>RLT.REF.HAL.20</v>
      </c>
      <c r="D208" s="660" t="s">
        <v>1668</v>
      </c>
      <c r="E208" s="656"/>
      <c r="F208" s="43">
        <f>'AEO14 RLT Techs'!D73</f>
        <v>13.2</v>
      </c>
      <c r="G208" s="61">
        <f>F208/'Conv Factors'!$B$5/'Conv Factors'!$B$2/'Conv Factors'!$B$3/'Conv Factors'!$B$9/'Conv Factors'!$B$4*'Conv Factors'!$B$6</f>
        <v>0.41858657064702398</v>
      </c>
      <c r="H208" s="43">
        <f>'AEO14 RLT Techs'!C73</f>
        <v>5.85</v>
      </c>
      <c r="I208" s="41">
        <f>H208*'Conv Factors'!$C$53/1000/'Conv Factors'!$B$7*'Conv Factors'!$B$9</f>
        <v>5.317083617393366</v>
      </c>
      <c r="J208" s="62">
        <f>'AEO14 RLT Techs'!F73/1000</f>
        <v>3</v>
      </c>
      <c r="K208" s="41">
        <f>J208*1000/'Conv Factors'!$B$14/'Conv Factors'!$B$3</f>
        <v>4.1095890410958908</v>
      </c>
    </row>
    <row r="209" spans="2:11">
      <c r="B209" s="660" t="str">
        <f>'AEO14 RLT Techs'!K74</f>
        <v>RLTRHAL30</v>
      </c>
      <c r="C209" s="660" t="str">
        <f>'AEO14 RLT Techs'!L74</f>
        <v>RLT.REF.HAL.30</v>
      </c>
      <c r="D209" s="660" t="s">
        <v>1668</v>
      </c>
      <c r="E209" s="656"/>
      <c r="F209" s="43">
        <f>'AEO14 RLT Techs'!D74</f>
        <v>13.9</v>
      </c>
      <c r="G209" s="61">
        <f>F209/'Conv Factors'!$B$5/'Conv Factors'!$B$2/'Conv Factors'!$B$3/'Conv Factors'!$B$9/'Conv Factors'!$B$4*'Conv Factors'!$B$6</f>
        <v>0.44078434333285105</v>
      </c>
      <c r="H209" s="43">
        <f>'AEO14 RLT Techs'!C74</f>
        <v>5.7</v>
      </c>
      <c r="I209" s="41">
        <f>H209*'Conv Factors'!$C$53/1000/'Conv Factors'!$B$7*'Conv Factors'!$B$9</f>
        <v>5.1807481400243054</v>
      </c>
      <c r="J209" s="62">
        <f>'AEO14 RLT Techs'!F74/1000</f>
        <v>3</v>
      </c>
      <c r="K209" s="41">
        <f>J209*1000/'Conv Factors'!$B$14/'Conv Factors'!$B$3</f>
        <v>4.1095890410958908</v>
      </c>
    </row>
    <row r="210" spans="2:11">
      <c r="B210" s="660" t="str">
        <f>'AEO14 RLT Techs'!K75</f>
        <v>RLTRHAL40</v>
      </c>
      <c r="C210" s="660" t="str">
        <f>'AEO14 RLT Techs'!L75</f>
        <v>RLT.REF.HAL.40</v>
      </c>
      <c r="D210" s="660" t="s">
        <v>1668</v>
      </c>
      <c r="E210" s="656"/>
      <c r="F210" s="43">
        <f>'AEO14 RLT Techs'!D75</f>
        <v>14.6</v>
      </c>
      <c r="G210" s="61">
        <f>F210/'Conv Factors'!$B$5/'Conv Factors'!$B$2/'Conv Factors'!$B$3/'Conv Factors'!$B$9/'Conv Factors'!$B$4*'Conv Factors'!$B$6</f>
        <v>0.46298211601867806</v>
      </c>
      <c r="H210" s="43">
        <f>'AEO14 RLT Techs'!C75</f>
        <v>5.55</v>
      </c>
      <c r="I210" s="41">
        <f>H210*'Conv Factors'!$C$53/1000/'Conv Factors'!$B$7*'Conv Factors'!$B$9</f>
        <v>5.0444126626552448</v>
      </c>
      <c r="J210" s="62">
        <f>'AEO14 RLT Techs'!F75/1000</f>
        <v>3</v>
      </c>
      <c r="K210" s="41">
        <f>J210*1000/'Conv Factors'!$B$14/'Conv Factors'!$B$3</f>
        <v>4.1095890410958908</v>
      </c>
    </row>
    <row r="211" spans="2:11" ht="13">
      <c r="B211" s="652" t="s">
        <v>1672</v>
      </c>
      <c r="C211" s="660"/>
      <c r="D211" s="660"/>
      <c r="E211" s="656"/>
      <c r="F211" s="43"/>
      <c r="G211" s="61"/>
      <c r="H211" s="43"/>
      <c r="I211" s="41"/>
      <c r="J211" s="62"/>
      <c r="K211" s="41"/>
    </row>
    <row r="212" spans="2:11">
      <c r="B212" s="660" t="str">
        <f>'AEO14 RLT Techs'!K78</f>
        <v>RLTRLED10</v>
      </c>
      <c r="C212" s="660" t="str">
        <f>'AEO14 RLT Techs'!L78</f>
        <v>RLT.REF.LED.10</v>
      </c>
      <c r="D212" s="660" t="s">
        <v>1668</v>
      </c>
      <c r="E212" s="656"/>
      <c r="F212" s="43">
        <f>'AEO14 RLT Techs'!D78</f>
        <v>50</v>
      </c>
      <c r="G212" s="61">
        <f>F212/'Conv Factors'!$B$5/'Conv Factors'!$B$2/'Conv Factors'!$B$3/'Conv Factors'!$B$9/'Conv Factors'!$B$4*'Conv Factors'!$B$6</f>
        <v>1.5855551918447879</v>
      </c>
      <c r="H212" s="43">
        <f>'AEO14 RLT Techs'!C78</f>
        <v>49.93</v>
      </c>
      <c r="I212" s="41">
        <f>H212*'Conv Factors'!$C$53/1000/'Conv Factors'!$B$7*'Conv Factors'!$B$9</f>
        <v>45.381535900247997</v>
      </c>
      <c r="J212" s="62">
        <f>'AEO14 RLT Techs'!F78/1000</f>
        <v>25</v>
      </c>
      <c r="K212" s="41">
        <f>J212*1000/'Conv Factors'!$B$14/'Conv Factors'!$B$3</f>
        <v>34.246575342465754</v>
      </c>
    </row>
    <row r="213" spans="2:11">
      <c r="B213" s="660" t="str">
        <f>'AEO14 RLT Techs'!K82</f>
        <v>RLTRLED15</v>
      </c>
      <c r="C213" s="660" t="str">
        <f>'AEO14 RLT Techs'!L82</f>
        <v>RLT.REF.LED.15</v>
      </c>
      <c r="D213" s="660" t="s">
        <v>1668</v>
      </c>
      <c r="E213" s="656"/>
      <c r="F213" s="43">
        <f>'AEO14 RLT Techs'!D82</f>
        <v>83.1</v>
      </c>
      <c r="G213" s="61">
        <f>F213/'Conv Factors'!$B$5/'Conv Factors'!$B$2/'Conv Factors'!$B$3/'Conv Factors'!$B$9/'Conv Factors'!$B$4*'Conv Factors'!$B$6</f>
        <v>2.6351927288460373</v>
      </c>
      <c r="H213" s="43">
        <f>'AEO14 RLT Techs'!C82</f>
        <v>20.66</v>
      </c>
      <c r="I213" s="41">
        <f>H213*'Conv Factors'!$C$53/1000/'Conv Factors'!$B$7*'Conv Factors'!$B$9</f>
        <v>18.777939749631958</v>
      </c>
      <c r="J213" s="62">
        <f>'AEO14 RLT Techs'!F82/1000</f>
        <v>34.020000000000003</v>
      </c>
      <c r="K213" s="41">
        <f>J213*1000/'Conv Factors'!$B$14/'Conv Factors'!$B$3</f>
        <v>46.602739726027394</v>
      </c>
    </row>
    <row r="214" spans="2:11">
      <c r="B214" s="660" t="str">
        <f>'AEO14 RLT Techs'!K87</f>
        <v>RLTRLED20</v>
      </c>
      <c r="C214" s="660" t="str">
        <f>'AEO14 RLT Techs'!L87</f>
        <v>RLT.REF.LED.20</v>
      </c>
      <c r="D214" s="660" t="s">
        <v>1668</v>
      </c>
      <c r="E214" s="656"/>
      <c r="F214" s="43">
        <f>'AEO14 RLT Techs'!D87</f>
        <v>157</v>
      </c>
      <c r="G214" s="61">
        <f>F214/'Conv Factors'!$B$5/'Conv Factors'!$B$2/'Conv Factors'!$B$3/'Conv Factors'!$B$9/'Conv Factors'!$B$4*'Conv Factors'!$B$6</f>
        <v>4.9786433023926335</v>
      </c>
      <c r="H214" s="43">
        <f>'AEO14 RLT Techs'!C87</f>
        <v>6.85</v>
      </c>
      <c r="I214" s="41">
        <f>H214*'Conv Factors'!$C$53/1000/'Conv Factors'!$B$7*'Conv Factors'!$B$9</f>
        <v>6.2259867998537697</v>
      </c>
      <c r="J214" s="62">
        <f>'AEO14 RLT Techs'!F87/1000</f>
        <v>50</v>
      </c>
      <c r="K214" s="41">
        <f>J214*1000/'Conv Factors'!$B$14/'Conv Factors'!$B$3</f>
        <v>68.493150684931507</v>
      </c>
    </row>
    <row r="215" spans="2:11">
      <c r="B215" s="660" t="str">
        <f>'AEO14 RLT Techs'!K88</f>
        <v>RLTRLED25</v>
      </c>
      <c r="C215" s="660" t="str">
        <f>'AEO14 RLT Techs'!L88</f>
        <v>RLT.REF.LED.25</v>
      </c>
      <c r="D215" s="660" t="s">
        <v>1668</v>
      </c>
      <c r="E215" s="656"/>
      <c r="F215" s="43">
        <f>'AEO14 RLT Techs'!D88</f>
        <v>180</v>
      </c>
      <c r="G215" s="61">
        <f>F215/'Conv Factors'!$B$5/'Conv Factors'!$B$2/'Conv Factors'!$B$3/'Conv Factors'!$B$9/'Conv Factors'!$B$4*'Conv Factors'!$B$6</f>
        <v>5.7079986906412357</v>
      </c>
      <c r="H215" s="43">
        <f>'AEO14 RLT Techs'!C88</f>
        <v>5.87</v>
      </c>
      <c r="I215" s="41">
        <f>H215*'Conv Factors'!$C$53/1000/'Conv Factors'!$B$7*'Conv Factors'!$B$9</f>
        <v>5.3352616810425744</v>
      </c>
      <c r="J215" s="62">
        <f>'AEO14 RLT Techs'!F88/1000</f>
        <v>50</v>
      </c>
      <c r="K215" s="41">
        <f>J215*1000/'Conv Factors'!$B$14/'Conv Factors'!$B$3</f>
        <v>68.493150684931507</v>
      </c>
    </row>
    <row r="216" spans="2:11">
      <c r="B216" s="660" t="str">
        <f>'AEO14 RLT Techs'!K89</f>
        <v>RLTRLED30</v>
      </c>
      <c r="C216" s="660" t="str">
        <f>'AEO14 RLT Techs'!L89</f>
        <v>RLT.REF.LED.30</v>
      </c>
      <c r="D216" s="660" t="s">
        <v>1668</v>
      </c>
      <c r="E216" s="656"/>
      <c r="F216" s="43">
        <f>'AEO14 RLT Techs'!D89</f>
        <v>202</v>
      </c>
      <c r="G216" s="61">
        <f>F216/'Conv Factors'!$B$5/'Conv Factors'!$B$2/'Conv Factors'!$B$3/'Conv Factors'!$B$9/'Conv Factors'!$B$4*'Conv Factors'!$B$6</f>
        <v>6.4056429750529427</v>
      </c>
      <c r="H216" s="43">
        <f>'AEO14 RLT Techs'!C89</f>
        <v>4.9000000000000004</v>
      </c>
      <c r="I216" s="41">
        <f>H216*'Conv Factors'!$C$53/1000/'Conv Factors'!$B$7*'Conv Factors'!$B$9</f>
        <v>4.453625594055981</v>
      </c>
      <c r="J216" s="62">
        <f>'AEO14 RLT Techs'!F89/1000</f>
        <v>50</v>
      </c>
      <c r="K216" s="41">
        <f>J216*1000/'Conv Factors'!$B$14/'Conv Factors'!$B$3</f>
        <v>68.493150684931507</v>
      </c>
    </row>
    <row r="217" spans="2:11">
      <c r="B217" s="660"/>
      <c r="C217" s="660"/>
      <c r="D217" s="660"/>
      <c r="E217" s="656"/>
      <c r="F217" s="43"/>
      <c r="G217" s="61"/>
      <c r="H217" s="43"/>
      <c r="I217" s="41"/>
      <c r="J217" s="62"/>
      <c r="K217" s="41"/>
    </row>
    <row r="218" spans="2:11" ht="13.5" customHeight="1">
      <c r="B218" s="652" t="s">
        <v>1677</v>
      </c>
      <c r="C218" s="660"/>
      <c r="D218" s="660"/>
      <c r="E218" s="656"/>
      <c r="F218" s="43"/>
      <c r="G218" s="61"/>
      <c r="H218" s="43"/>
      <c r="I218" s="41"/>
      <c r="J218" s="62"/>
      <c r="K218" s="41"/>
    </row>
    <row r="219" spans="2:11">
      <c r="B219" s="660" t="s">
        <v>1678</v>
      </c>
      <c r="C219" s="660" t="s">
        <v>1679</v>
      </c>
      <c r="D219" s="660" t="s">
        <v>1668</v>
      </c>
      <c r="E219" s="656"/>
      <c r="F219" s="43">
        <f>AVERAGE(F220:F222)</f>
        <v>71.533333333333346</v>
      </c>
      <c r="G219" s="61">
        <f>F219/'Conv Factors'!$B$5/'Conv Factors'!$B$2/'Conv Factors'!$B$3/'Conv Factors'!$B$9/'Conv Factors'!$B$4*'Conv Factors'!$B$6</f>
        <v>2.2684009611326106</v>
      </c>
      <c r="H219" s="43"/>
      <c r="I219" s="41"/>
      <c r="J219" s="62">
        <f>J220</f>
        <v>24</v>
      </c>
      <c r="K219" s="41">
        <f>J219*1000/'Conv Factors'!$B$14/'Conv Factors'!$B$3</f>
        <v>32.876712328767127</v>
      </c>
    </row>
    <row r="220" spans="2:11">
      <c r="B220" s="660" t="str">
        <f>'AEO14 RLT Techs'!K92</f>
        <v>RLTLT1210</v>
      </c>
      <c r="C220" s="660" t="str">
        <f>'AEO14 RLT Techs'!L92</f>
        <v>RLT.LFL.T12.10</v>
      </c>
      <c r="D220" s="660" t="s">
        <v>1668</v>
      </c>
      <c r="E220" s="656"/>
      <c r="F220" s="43">
        <f>'AEO14 RLT Techs'!D92</f>
        <v>63.1</v>
      </c>
      <c r="G220" s="61">
        <f>F220/'Conv Factors'!$B$5/'Conv Factors'!$B$2/'Conv Factors'!$B$3/'Conv Factors'!$B$9/'Conv Factors'!$B$4*'Conv Factors'!$B$6</f>
        <v>2.0009706521081223</v>
      </c>
      <c r="H220" s="43">
        <f>'AEO14 RLT Techs'!C92</f>
        <v>5.79</v>
      </c>
      <c r="I220" s="41">
        <f>H220*'Conv Factors'!$C$53/1000/'Conv Factors'!$B$7*'Conv Factors'!$B$9</f>
        <v>5.2625494264457418</v>
      </c>
      <c r="J220" s="62">
        <f>'AEO14 RLT Techs'!F92/1000</f>
        <v>24</v>
      </c>
      <c r="K220" s="41">
        <f>J220*1000/'Conv Factors'!$B$14/'Conv Factors'!$B$3</f>
        <v>32.876712328767127</v>
      </c>
    </row>
    <row r="221" spans="2:11">
      <c r="B221" s="660" t="str">
        <f>'AEO14 RLT Techs'!K95</f>
        <v>RLTLT810</v>
      </c>
      <c r="C221" s="660" t="str">
        <f>'AEO14 RLT Techs'!L95</f>
        <v>RLT.LFL.T8.10</v>
      </c>
      <c r="D221" s="660" t="s">
        <v>1668</v>
      </c>
      <c r="E221" s="656"/>
      <c r="F221" s="43">
        <f>'AEO14 RLT Techs'!D95</f>
        <v>73.8</v>
      </c>
      <c r="G221" s="61">
        <f>F221/'Conv Factors'!$B$5/'Conv Factors'!$B$2/'Conv Factors'!$B$3/'Conv Factors'!$B$9/'Conv Factors'!$B$4*'Conv Factors'!$B$6</f>
        <v>2.3402794631629069</v>
      </c>
      <c r="H221" s="43">
        <f>'AEO14 RLT Techs'!C95</f>
        <v>2.61</v>
      </c>
      <c r="I221" s="41">
        <f>H221*'Conv Factors'!$C$53/1000/'Conv Factors'!$B$7*'Conv Factors'!$B$9</f>
        <v>2.3722373062216562</v>
      </c>
      <c r="J221" s="62">
        <f>'AEO14 RLT Techs'!F95/1000</f>
        <v>24</v>
      </c>
      <c r="K221" s="41">
        <f>J221*1000/'Conv Factors'!$B$14/'Conv Factors'!$B$3</f>
        <v>32.876712328767127</v>
      </c>
    </row>
    <row r="222" spans="2:11">
      <c r="B222" s="660" t="str">
        <f>'AEO14 RLT Techs'!K97</f>
        <v>RLTLT830</v>
      </c>
      <c r="C222" s="660" t="str">
        <f>'AEO14 RLT Techs'!L97</f>
        <v>RLT.LFL.T8.30</v>
      </c>
      <c r="D222" s="660" t="s">
        <v>1668</v>
      </c>
      <c r="E222" s="656"/>
      <c r="F222" s="43">
        <f>'AEO14 RLT Techs'!D97</f>
        <v>77.7</v>
      </c>
      <c r="G222" s="61">
        <f>F222/'Conv Factors'!$B$5/'Conv Factors'!$B$2/'Conv Factors'!$B$3/'Conv Factors'!$B$9/'Conv Factors'!$B$4*'Conv Factors'!$B$6</f>
        <v>2.4639527681268003</v>
      </c>
      <c r="H222" s="43">
        <f>'AEO14 RLT Techs'!C97</f>
        <v>2.65</v>
      </c>
      <c r="I222" s="41">
        <f>H222*'Conv Factors'!$C$53/1000/'Conv Factors'!$B$7*'Conv Factors'!$B$9</f>
        <v>2.4085934335200716</v>
      </c>
      <c r="J222" s="62">
        <f>'AEO14 RLT Techs'!F97/1000</f>
        <v>26</v>
      </c>
      <c r="K222" s="41">
        <f>J222*1000/'Conv Factors'!$B$14/'Conv Factors'!$B$3</f>
        <v>35.61643835616438</v>
      </c>
    </row>
    <row r="223" spans="2:11">
      <c r="B223" s="660" t="str">
        <f>'AEO14 RLT Techs'!K100</f>
        <v>RLTLLED10</v>
      </c>
      <c r="C223" s="660" t="str">
        <f>'AEO14 RLT Techs'!L100</f>
        <v>RLT.LFL.LED.10</v>
      </c>
      <c r="D223" s="660" t="s">
        <v>1668</v>
      </c>
      <c r="E223" s="656"/>
      <c r="F223" s="43">
        <f>'AEO14 RLT Techs'!D100</f>
        <v>50</v>
      </c>
      <c r="G223" s="61">
        <f>F223/'Conv Factors'!$B$5/'Conv Factors'!$B$2/'Conv Factors'!$B$3/'Conv Factors'!$B$9/'Conv Factors'!$B$4*'Conv Factors'!$B$6</f>
        <v>1.5855551918447879</v>
      </c>
      <c r="H223" s="43">
        <f>'AEO14 RLT Techs'!C100</f>
        <v>99</v>
      </c>
      <c r="I223" s="41">
        <f>H223*'Conv Factors'!$C$53/1000/'Conv Factors'!$B$7*'Conv Factors'!$B$9</f>
        <v>89.981415063580044</v>
      </c>
      <c r="J223" s="62">
        <f>'AEO14 RLT Techs'!F100/1000</f>
        <v>50</v>
      </c>
      <c r="K223" s="41">
        <f>J223*1000/'Conv Factors'!$B$14/'Conv Factors'!$B$3</f>
        <v>68.493150684931507</v>
      </c>
    </row>
    <row r="224" spans="2:11">
      <c r="B224" s="660" t="str">
        <f>'AEO14 RLT Techs'!K101</f>
        <v>RLTLLED15</v>
      </c>
      <c r="C224" s="660" t="str">
        <f>'AEO14 RLT Techs'!L101</f>
        <v>RLT.LFL.LED.15</v>
      </c>
      <c r="D224" s="660" t="s">
        <v>1668</v>
      </c>
      <c r="E224" s="656"/>
      <c r="F224" s="43">
        <f>'AEO14 RLT Techs'!D101</f>
        <v>107</v>
      </c>
      <c r="G224" s="61">
        <f>F224/'Conv Factors'!$B$5/'Conv Factors'!$B$2/'Conv Factors'!$B$3/'Conv Factors'!$B$9/'Conv Factors'!$B$4*'Conv Factors'!$B$6</f>
        <v>3.3930881105478461</v>
      </c>
      <c r="H224" s="43">
        <f>'AEO14 RLT Techs'!C101</f>
        <v>60</v>
      </c>
      <c r="I224" s="41">
        <f>H224*'Conv Factors'!$C$53/1000/'Conv Factors'!$B$7*'Conv Factors'!$B$9</f>
        <v>54.534190947624268</v>
      </c>
      <c r="J224" s="62">
        <f>'AEO14 RLT Techs'!F101/1000</f>
        <v>50</v>
      </c>
      <c r="K224" s="41">
        <f>J224*1000/'Conv Factors'!$B$14/'Conv Factors'!$B$3</f>
        <v>68.493150684931507</v>
      </c>
    </row>
    <row r="225" spans="2:11">
      <c r="B225" s="660" t="str">
        <f>'AEO14 RLT Techs'!K102</f>
        <v>RLTLLED20</v>
      </c>
      <c r="C225" s="660" t="str">
        <f>'AEO14 RLT Techs'!L102</f>
        <v>RLT.LFL.LED.20</v>
      </c>
      <c r="D225" s="660" t="s">
        <v>1668</v>
      </c>
      <c r="E225" s="656"/>
      <c r="F225" s="43">
        <f>'AEO14 RLT Techs'!D102</f>
        <v>157</v>
      </c>
      <c r="G225" s="61">
        <f>F225/'Conv Factors'!$B$5/'Conv Factors'!$B$2/'Conv Factors'!$B$3/'Conv Factors'!$B$9/'Conv Factors'!$B$4*'Conv Factors'!$B$6</f>
        <v>4.9786433023926335</v>
      </c>
      <c r="H225" s="43">
        <f>'AEO14 RLT Techs'!C102</f>
        <v>15</v>
      </c>
      <c r="I225" s="41">
        <f>H225*'Conv Factors'!$C$53/1000/'Conv Factors'!$B$7*'Conv Factors'!$B$9</f>
        <v>13.633547736906067</v>
      </c>
      <c r="J225" s="62">
        <f>'AEO14 RLT Techs'!F102/1000</f>
        <v>50</v>
      </c>
      <c r="K225" s="41">
        <f>J225*1000/'Conv Factors'!$B$14/'Conv Factors'!$B$3</f>
        <v>68.493150684931507</v>
      </c>
    </row>
    <row r="226" spans="2:11">
      <c r="B226" s="660" t="str">
        <f>'AEO14 RLT Techs'!K103</f>
        <v>RLTLLED30</v>
      </c>
      <c r="C226" s="660" t="str">
        <f>'AEO14 RLT Techs'!L103</f>
        <v>RLT.LFL.LED.30</v>
      </c>
      <c r="D226" s="660" t="s">
        <v>1668</v>
      </c>
      <c r="E226" s="656"/>
      <c r="F226" s="43">
        <f>'AEO14 RLT Techs'!D103</f>
        <v>157</v>
      </c>
      <c r="G226" s="61">
        <f>F226/'Conv Factors'!$B$5/'Conv Factors'!$B$2/'Conv Factors'!$B$3/'Conv Factors'!$B$9/'Conv Factors'!$B$4*'Conv Factors'!$B$6</f>
        <v>4.9786433023926335</v>
      </c>
      <c r="H226" s="43">
        <f>'AEO14 RLT Techs'!C103</f>
        <v>12</v>
      </c>
      <c r="I226" s="41">
        <f>H226*'Conv Factors'!$C$53/1000/'Conv Factors'!$B$7*'Conv Factors'!$B$9</f>
        <v>10.906838189524851</v>
      </c>
      <c r="J226" s="62">
        <f>'AEO14 RLT Techs'!F103/1000</f>
        <v>50</v>
      </c>
      <c r="K226" s="41">
        <f>J226*1000/'Conv Factors'!$B$14/'Conv Factors'!$B$3</f>
        <v>68.493150684931507</v>
      </c>
    </row>
    <row r="227" spans="2:11">
      <c r="B227" s="660"/>
      <c r="C227" s="660"/>
      <c r="D227" s="660"/>
      <c r="E227" s="656"/>
      <c r="F227" s="43"/>
      <c r="G227" s="61"/>
      <c r="H227" s="43"/>
      <c r="I227" s="41"/>
      <c r="J227" s="62"/>
      <c r="K227" s="41"/>
    </row>
    <row r="228" spans="2:11" ht="13">
      <c r="B228" s="652" t="s">
        <v>1680</v>
      </c>
      <c r="C228" s="660"/>
      <c r="D228" s="660"/>
      <c r="E228" s="656"/>
      <c r="F228" s="43"/>
      <c r="G228" s="61"/>
      <c r="H228" s="43"/>
      <c r="I228" s="41"/>
      <c r="J228" s="62"/>
      <c r="K228" s="41"/>
    </row>
    <row r="229" spans="2:11">
      <c r="B229" s="660" t="s">
        <v>1681</v>
      </c>
      <c r="C229" s="660" t="s">
        <v>1682</v>
      </c>
      <c r="D229" s="660"/>
      <c r="E229" s="656"/>
      <c r="F229" s="43"/>
      <c r="G229" s="61">
        <f>AVERAGE(G231:G243)</f>
        <v>1.3102451539881022</v>
      </c>
      <c r="H229" s="43"/>
      <c r="I229" s="41"/>
      <c r="J229" s="62"/>
      <c r="K229" s="41">
        <f>AVERAGE(K231:K243)</f>
        <v>11.202864259028644</v>
      </c>
    </row>
    <row r="230" spans="2:11" ht="13">
      <c r="B230" s="652" t="s">
        <v>1665</v>
      </c>
      <c r="C230" s="660"/>
      <c r="D230" s="660"/>
      <c r="E230" s="656"/>
      <c r="F230" s="43"/>
      <c r="G230" s="61"/>
      <c r="H230" s="43"/>
      <c r="I230" s="41"/>
      <c r="J230" s="62"/>
      <c r="K230" s="41"/>
    </row>
    <row r="231" spans="2:11">
      <c r="B231" s="660" t="str">
        <f>'AEO14 RLT Techs'!K105</f>
        <v>RLTEINC10</v>
      </c>
      <c r="C231" s="660" t="str">
        <f>'AEO14 RLT Techs'!L105</f>
        <v>RLT.EXT.INC.10</v>
      </c>
      <c r="D231" s="660" t="s">
        <v>1668</v>
      </c>
      <c r="E231" s="656"/>
      <c r="F231" s="43">
        <f>'AEO14 RLT Techs'!D105</f>
        <v>12.27</v>
      </c>
      <c r="G231" s="61">
        <f>F231/'Conv Factors'!$B$5/'Conv Factors'!$B$2/'Conv Factors'!$B$3/'Conv Factors'!$B$9/'Conv Factors'!$B$4*'Conv Factors'!$B$6</f>
        <v>0.38909524407871099</v>
      </c>
      <c r="H231" s="43">
        <f>'AEO14 RLT Techs'!C105</f>
        <v>3.21</v>
      </c>
      <c r="I231" s="41">
        <f>H231*'Conv Factors'!$C$53/1000/'Conv Factors'!$B$7*'Conv Factors'!$B$9</f>
        <v>2.9175792156978977</v>
      </c>
      <c r="J231" s="62">
        <f>'AEO14 RLT Techs'!F105/1000</f>
        <v>1.5669999999999999</v>
      </c>
      <c r="K231" s="41">
        <f>J231*1000/'Conv Factors'!$B$14/'Conv Factors'!$B$3</f>
        <v>2.1465753424657534</v>
      </c>
    </row>
    <row r="232" spans="2:11">
      <c r="B232" s="660" t="str">
        <f>'AEO14 RLT Techs'!K107</f>
        <v>RLTEINC15</v>
      </c>
      <c r="C232" s="660" t="str">
        <f>'AEO14 RLT Techs'!L107</f>
        <v>RLT.EXT.INC.15</v>
      </c>
      <c r="D232" s="660" t="s">
        <v>1668</v>
      </c>
      <c r="E232" s="656"/>
      <c r="F232" s="43">
        <f>'AEO14 RLT Techs'!D107</f>
        <v>14.03</v>
      </c>
      <c r="G232" s="61">
        <f>F232/'Conv Factors'!$B$5/'Conv Factors'!$B$2/'Conv Factors'!$B$3/'Conv Factors'!$B$9/'Conv Factors'!$B$4*'Conv Factors'!$B$6</f>
        <v>0.44490678683164742</v>
      </c>
      <c r="H232" s="43">
        <f>'AEO14 RLT Techs'!C107</f>
        <v>3.67</v>
      </c>
      <c r="I232" s="41">
        <f>H232*'Conv Factors'!$C$53/1000/'Conv Factors'!$B$7*'Conv Factors'!$B$9</f>
        <v>3.3356746796296841</v>
      </c>
      <c r="J232" s="62">
        <f>'AEO14 RLT Techs'!F107/1000</f>
        <v>1.617</v>
      </c>
      <c r="K232" s="41">
        <f>J232*1000/'Conv Factors'!$B$14/'Conv Factors'!$B$3</f>
        <v>2.2150684931506848</v>
      </c>
    </row>
    <row r="233" spans="2:11">
      <c r="B233" s="660" t="str">
        <f>'AEO14 RLT Techs'!K108</f>
        <v>RLTEINC20</v>
      </c>
      <c r="C233" s="660" t="str">
        <f>'AEO14 RLT Techs'!L108</f>
        <v>RLT.EXT.INC.20</v>
      </c>
      <c r="D233" s="660" t="s">
        <v>1668</v>
      </c>
      <c r="E233" s="656"/>
      <c r="F233" s="43">
        <f>'AEO14 RLT Techs'!D108</f>
        <v>11.5</v>
      </c>
      <c r="G233" s="61">
        <f>F233/'Conv Factors'!$B$5/'Conv Factors'!$B$2/'Conv Factors'!$B$3/'Conv Factors'!$B$9/'Conv Factors'!$B$4*'Conv Factors'!$B$6</f>
        <v>0.36467769412430118</v>
      </c>
      <c r="H233" s="43">
        <f>'AEO14 RLT Techs'!C108</f>
        <v>4.54</v>
      </c>
      <c r="I233" s="41">
        <f>H233*'Conv Factors'!$C$53/1000/'Conv Factors'!$B$7*'Conv Factors'!$B$9</f>
        <v>4.1264204483702365</v>
      </c>
      <c r="J233" s="62">
        <f>'AEO14 RLT Techs'!F108/1000</f>
        <v>1.925</v>
      </c>
      <c r="K233" s="41">
        <f>J233*1000/'Conv Factors'!$B$14/'Conv Factors'!$B$3</f>
        <v>2.6369863013698631</v>
      </c>
    </row>
    <row r="234" spans="2:11">
      <c r="B234" s="660" t="str">
        <f>'AEO14 RLT Techs'!K109</f>
        <v>RLTEINC30</v>
      </c>
      <c r="C234" s="660" t="str">
        <f>'AEO14 RLT Techs'!L109</f>
        <v>RLT.EXT.INC.30</v>
      </c>
      <c r="D234" s="660" t="s">
        <v>1668</v>
      </c>
      <c r="E234" s="656"/>
      <c r="F234" s="43">
        <f>'AEO14 RLT Techs'!D109</f>
        <v>11.9</v>
      </c>
      <c r="G234" s="61">
        <f>F234/'Conv Factors'!$B$5/'Conv Factors'!$B$2/'Conv Factors'!$B$3/'Conv Factors'!$B$9/'Conv Factors'!$B$4*'Conv Factors'!$B$6</f>
        <v>0.37736213565905952</v>
      </c>
      <c r="H234" s="43">
        <f>'AEO14 RLT Techs'!C109</f>
        <v>4.43</v>
      </c>
      <c r="I234" s="41">
        <f>H234*'Conv Factors'!$C$53/1000/'Conv Factors'!$B$7*'Conv Factors'!$B$9</f>
        <v>4.0264410982995917</v>
      </c>
      <c r="J234" s="62">
        <f>'AEO14 RLT Techs'!F109/1000</f>
        <v>1.925</v>
      </c>
      <c r="K234" s="41">
        <f>J234*1000/'Conv Factors'!$B$14/'Conv Factors'!$B$3</f>
        <v>2.6369863013698631</v>
      </c>
    </row>
    <row r="235" spans="2:11">
      <c r="B235" s="660" t="str">
        <f>'AEO14 RLT Techs'!K110</f>
        <v>RLTEINC40</v>
      </c>
      <c r="C235" s="660" t="str">
        <f>'AEO14 RLT Techs'!L110</f>
        <v>RLT.EXT.INC.40</v>
      </c>
      <c r="D235" s="660" t="s">
        <v>1668</v>
      </c>
      <c r="E235" s="656"/>
      <c r="F235" s="43">
        <f>'AEO14 RLT Techs'!D110</f>
        <v>12.3</v>
      </c>
      <c r="G235" s="61">
        <f>F235/'Conv Factors'!$B$5/'Conv Factors'!$B$2/'Conv Factors'!$B$3/'Conv Factors'!$B$9/'Conv Factors'!$B$4*'Conv Factors'!$B$6</f>
        <v>0.39004657719381786</v>
      </c>
      <c r="H235" s="43">
        <f>'AEO14 RLT Techs'!C110</f>
        <v>4.3099999999999996</v>
      </c>
      <c r="I235" s="41">
        <f>H235*'Conv Factors'!$C$53/1000/'Conv Factors'!$B$7*'Conv Factors'!$B$9</f>
        <v>3.9173727164043424</v>
      </c>
      <c r="J235" s="62">
        <f>'AEO14 RLT Techs'!F110/1000</f>
        <v>1.925</v>
      </c>
      <c r="K235" s="41">
        <f>J235*1000/'Conv Factors'!$B$14/'Conv Factors'!$B$3</f>
        <v>2.6369863013698631</v>
      </c>
    </row>
    <row r="236" spans="2:11" ht="13">
      <c r="B236" s="652" t="s">
        <v>1669</v>
      </c>
      <c r="C236" s="660"/>
      <c r="D236" s="660"/>
      <c r="E236" s="656"/>
      <c r="F236" s="43"/>
      <c r="G236" s="61"/>
      <c r="H236" s="43"/>
      <c r="I236" s="41"/>
      <c r="J236" s="62"/>
      <c r="K236" s="41"/>
    </row>
    <row r="237" spans="2:11">
      <c r="B237" s="660" t="str">
        <f>'AEO14 RLT Techs'!K112</f>
        <v>RLTECFL10</v>
      </c>
      <c r="C237" s="660" t="str">
        <f>'AEO14 RLT Techs'!L112</f>
        <v>RLT.EXT.CFL.10</v>
      </c>
      <c r="D237" s="660" t="s">
        <v>1668</v>
      </c>
      <c r="E237" s="656"/>
      <c r="F237" s="43">
        <f>'AEO14 RLT Techs'!D112</f>
        <v>48</v>
      </c>
      <c r="G237" s="61">
        <f>F237/'Conv Factors'!$B$5/'Conv Factors'!$B$2/'Conv Factors'!$B$3/'Conv Factors'!$B$9/'Conv Factors'!$B$4*'Conv Factors'!$B$6</f>
        <v>1.5221329841709963</v>
      </c>
      <c r="H237" s="43">
        <f>'AEO14 RLT Techs'!C112</f>
        <v>6.23</v>
      </c>
      <c r="I237" s="41">
        <f>H237*'Conv Factors'!$C$53/1000/'Conv Factors'!$B$7*'Conv Factors'!$B$9</f>
        <v>5.6624668267283207</v>
      </c>
      <c r="J237" s="62">
        <f>'AEO14 RLT Techs'!F112/1000</f>
        <v>8</v>
      </c>
      <c r="K237" s="41">
        <f>J237*1000/'Conv Factors'!$B$14/'Conv Factors'!$B$3</f>
        <v>10.95890410958904</v>
      </c>
    </row>
    <row r="238" spans="2:11">
      <c r="B238" s="660" t="str">
        <f>'AEO14 RLT Techs'!K113</f>
        <v>RLTECFL20</v>
      </c>
      <c r="C238" s="660" t="str">
        <f>'AEO14 RLT Techs'!L113</f>
        <v>RLT.EXT.CFL.20</v>
      </c>
      <c r="D238" s="660" t="s">
        <v>1668</v>
      </c>
      <c r="E238" s="656"/>
      <c r="F238" s="43">
        <f>'AEO14 RLT Techs'!D113</f>
        <v>50.4</v>
      </c>
      <c r="G238" s="61">
        <f>F238/'Conv Factors'!$B$5/'Conv Factors'!$B$2/'Conv Factors'!$B$3/'Conv Factors'!$B$9/'Conv Factors'!$B$4*'Conv Factors'!$B$6</f>
        <v>1.5982396333795463</v>
      </c>
      <c r="H238" s="43">
        <f>'AEO14 RLT Techs'!C113</f>
        <v>6.07</v>
      </c>
      <c r="I238" s="41">
        <f>H238*'Conv Factors'!$C$53/1000/'Conv Factors'!$B$7*'Conv Factors'!$B$9</f>
        <v>5.5170423175346555</v>
      </c>
      <c r="J238" s="62">
        <f>'AEO14 RLT Techs'!F113/1000</f>
        <v>8</v>
      </c>
      <c r="K238" s="41">
        <f>J238*1000/'Conv Factors'!$B$14/'Conv Factors'!$B$3</f>
        <v>10.95890410958904</v>
      </c>
    </row>
    <row r="239" spans="2:11">
      <c r="B239" s="660" t="str">
        <f>'AEO14 RLT Techs'!K114</f>
        <v>RLTECFL30</v>
      </c>
      <c r="C239" s="660" t="str">
        <f>'AEO14 RLT Techs'!L114</f>
        <v>RLT.EXT.CFL.30</v>
      </c>
      <c r="D239" s="660" t="s">
        <v>1668</v>
      </c>
      <c r="E239" s="656"/>
      <c r="F239" s="43">
        <f>'AEO14 RLT Techs'!D114</f>
        <v>52.9</v>
      </c>
      <c r="G239" s="61">
        <f>F239/'Conv Factors'!$B$5/'Conv Factors'!$B$2/'Conv Factors'!$B$3/'Conv Factors'!$B$9/'Conv Factors'!$B$4*'Conv Factors'!$B$6</f>
        <v>1.6775173929717853</v>
      </c>
      <c r="H239" s="43">
        <f>'AEO14 RLT Techs'!C114</f>
        <v>5.92</v>
      </c>
      <c r="I239" s="41">
        <f>H239*'Conv Factors'!$C$53/1000/'Conv Factors'!$B$7*'Conv Factors'!$B$9</f>
        <v>5.380706840165594</v>
      </c>
      <c r="J239" s="62">
        <f>'AEO14 RLT Techs'!F114/1000</f>
        <v>8</v>
      </c>
      <c r="K239" s="41">
        <f>J239*1000/'Conv Factors'!$B$14/'Conv Factors'!$B$3</f>
        <v>10.95890410958904</v>
      </c>
    </row>
    <row r="240" spans="2:11">
      <c r="B240" s="660" t="str">
        <f>'AEO14 RLT Techs'!K115</f>
        <v>RLTECFL40</v>
      </c>
      <c r="C240" s="660" t="str">
        <f>'AEO14 RLT Techs'!L115</f>
        <v>RLT.EXT.CFL.40</v>
      </c>
      <c r="D240" s="660" t="s">
        <v>1668</v>
      </c>
      <c r="E240" s="656"/>
      <c r="F240" s="43">
        <f>'AEO14 RLT Techs'!D115</f>
        <v>55.6</v>
      </c>
      <c r="G240" s="61">
        <f>F240/'Conv Factors'!$B$5/'Conv Factors'!$B$2/'Conv Factors'!$B$3/'Conv Factors'!$B$9/'Conv Factors'!$B$4*'Conv Factors'!$B$6</f>
        <v>1.7631373733314042</v>
      </c>
      <c r="H240" s="43">
        <f>'AEO14 RLT Techs'!C115</f>
        <v>5.77</v>
      </c>
      <c r="I240" s="41">
        <f>H240*'Conv Factors'!$C$53/1000/'Conv Factors'!$B$7*'Conv Factors'!$B$9</f>
        <v>5.2443713627965334</v>
      </c>
      <c r="J240" s="62">
        <f>'AEO14 RLT Techs'!F115/1000</f>
        <v>9</v>
      </c>
      <c r="K240" s="41">
        <f>J240*1000/'Conv Factors'!$B$14/'Conv Factors'!$B$3</f>
        <v>12.328767123287671</v>
      </c>
    </row>
    <row r="241" spans="2:11" ht="13">
      <c r="B241" s="652" t="s">
        <v>1676</v>
      </c>
      <c r="C241" s="660"/>
      <c r="D241" s="660"/>
      <c r="E241" s="656"/>
      <c r="F241" s="43"/>
      <c r="G241" s="61"/>
      <c r="H241" s="43"/>
      <c r="I241" s="41"/>
      <c r="J241" s="62"/>
      <c r="K241" s="41"/>
    </row>
    <row r="242" spans="2:11">
      <c r="B242" s="660" t="str">
        <f>'AEO14 RLT Techs'!K117</f>
        <v>RLTEHPS10</v>
      </c>
      <c r="C242" s="660" t="str">
        <f>'AEO14 RLT Techs'!L117</f>
        <v>RLT.EXT.HPS.10</v>
      </c>
      <c r="D242" s="660" t="s">
        <v>1668</v>
      </c>
      <c r="E242" s="656"/>
      <c r="F242" s="43">
        <f>'AEO14 RLT Techs'!D117</f>
        <v>92.8</v>
      </c>
      <c r="G242" s="61">
        <f>F242/'Conv Factors'!$B$5/'Conv Factors'!$B$2/'Conv Factors'!$B$3/'Conv Factors'!$B$9/'Conv Factors'!$B$4*'Conv Factors'!$B$6</f>
        <v>2.9427904360639263</v>
      </c>
      <c r="H242" s="43">
        <f>'AEO14 RLT Techs'!C117</f>
        <v>15</v>
      </c>
      <c r="I242" s="41">
        <f>H242*'Conv Factors'!$C$53/1000/'Conv Factors'!$B$7*'Conv Factors'!$B$9</f>
        <v>13.633547736906067</v>
      </c>
      <c r="J242" s="62">
        <f>'AEO14 RLT Techs'!F117/1000</f>
        <v>24</v>
      </c>
      <c r="K242" s="41">
        <f>J242*1000/'Conv Factors'!$B$14/'Conv Factors'!$B$3</f>
        <v>32.876712328767127</v>
      </c>
    </row>
    <row r="243" spans="2:11">
      <c r="B243" s="660" t="str">
        <f>'AEO14 RLT Techs'!K118</f>
        <v>RLTEHPS20</v>
      </c>
      <c r="C243" s="660" t="str">
        <f>'AEO14 RLT Techs'!L118</f>
        <v>RLT.EXT.HPS.20</v>
      </c>
      <c r="D243" s="660" t="s">
        <v>1668</v>
      </c>
      <c r="E243" s="656"/>
      <c r="F243" s="43">
        <f>'AEO14 RLT Techs'!D118</f>
        <v>92.8</v>
      </c>
      <c r="G243" s="61">
        <f>F243/'Conv Factors'!$B$5/'Conv Factors'!$B$2/'Conv Factors'!$B$3/'Conv Factors'!$B$9/'Conv Factors'!$B$4*'Conv Factors'!$B$6</f>
        <v>2.9427904360639263</v>
      </c>
      <c r="H243" s="43">
        <f>'AEO14 RLT Techs'!C118</f>
        <v>10</v>
      </c>
      <c r="I243" s="41">
        <f>H243*'Conv Factors'!$C$53/1000/'Conv Factors'!$B$7*'Conv Factors'!$B$9</f>
        <v>9.089031824604044</v>
      </c>
      <c r="J243" s="62">
        <f>'AEO14 RLT Techs'!F118/1000</f>
        <v>24</v>
      </c>
      <c r="K243" s="41">
        <f>J243*1000/'Conv Factors'!$B$14/'Conv Factors'!$B$3</f>
        <v>32.876712328767127</v>
      </c>
    </row>
    <row r="244" spans="2:11" ht="13">
      <c r="B244" s="652" t="s">
        <v>1672</v>
      </c>
      <c r="C244" s="660"/>
      <c r="D244" s="660"/>
      <c r="E244" s="656"/>
      <c r="F244" s="43"/>
      <c r="G244" s="61"/>
      <c r="H244" s="43"/>
      <c r="I244" s="41"/>
      <c r="J244" s="62"/>
      <c r="K244" s="41"/>
    </row>
    <row r="245" spans="2:11">
      <c r="B245" s="660" t="str">
        <f>'AEO14 RLT Techs'!K121</f>
        <v>RLTELED10</v>
      </c>
      <c r="C245" s="660" t="str">
        <f>'AEO14 RLT Techs'!L121</f>
        <v>RLT.EXT.LED.10</v>
      </c>
      <c r="D245" s="660" t="s">
        <v>1668</v>
      </c>
      <c r="E245" s="656"/>
      <c r="F245" s="43">
        <f>'AEO14 RLT Techs'!D121</f>
        <v>50</v>
      </c>
      <c r="G245" s="61">
        <f>F245/'Conv Factors'!$B$5/'Conv Factors'!$B$2/'Conv Factors'!$B$3/'Conv Factors'!$B$9/'Conv Factors'!$B$4*'Conv Factors'!$B$6</f>
        <v>1.5855551918447879</v>
      </c>
      <c r="H245" s="43">
        <f>'AEO14 RLT Techs'!C121</f>
        <v>59.92</v>
      </c>
      <c r="I245" s="41">
        <f>H245*'Conv Factors'!$C$53/1000/'Conv Factors'!$B$7*'Conv Factors'!$B$9</f>
        <v>54.461478693027438</v>
      </c>
      <c r="J245" s="62">
        <f>'AEO14 RLT Techs'!F121/1000</f>
        <v>25</v>
      </c>
      <c r="K245" s="41">
        <f>J245*1000/'Conv Factors'!$B$14/'Conv Factors'!$B$3</f>
        <v>34.246575342465754</v>
      </c>
    </row>
    <row r="246" spans="2:11">
      <c r="B246" s="660" t="str">
        <f>'AEO14 RLT Techs'!K125</f>
        <v>RLTELED15</v>
      </c>
      <c r="C246" s="660" t="str">
        <f>'AEO14 RLT Techs'!L125</f>
        <v>RLT.EXT.LED.15</v>
      </c>
      <c r="D246" s="660" t="s">
        <v>1668</v>
      </c>
      <c r="E246" s="656"/>
      <c r="F246" s="43">
        <f>'AEO14 RLT Techs'!D125</f>
        <v>83.1</v>
      </c>
      <c r="G246" s="61">
        <f>F246/'Conv Factors'!$B$5/'Conv Factors'!$B$2/'Conv Factors'!$B$3/'Conv Factors'!$B$9/'Conv Factors'!$B$4*'Conv Factors'!$B$6</f>
        <v>2.6351927288460373</v>
      </c>
      <c r="H246" s="43">
        <f>'AEO14 RLT Techs'!C125</f>
        <v>24.79</v>
      </c>
      <c r="I246" s="41">
        <f>H246*'Conv Factors'!$C$53/1000/'Conv Factors'!$B$7*'Conv Factors'!$B$9</f>
        <v>22.531709893193426</v>
      </c>
      <c r="J246" s="62">
        <f>'AEO14 RLT Techs'!F125/1000</f>
        <v>36.110999999999997</v>
      </c>
      <c r="K246" s="41">
        <f>J246*1000/'Conv Factors'!$B$14/'Conv Factors'!$B$3</f>
        <v>49.467123287671235</v>
      </c>
    </row>
    <row r="247" spans="2:11">
      <c r="B247" s="660" t="str">
        <f>'AEO14 RLT Techs'!K130</f>
        <v>RLTELED20</v>
      </c>
      <c r="C247" s="660" t="str">
        <f>'AEO14 RLT Techs'!L130</f>
        <v>RLT.EXT.LED.20</v>
      </c>
      <c r="D247" s="660" t="s">
        <v>1668</v>
      </c>
      <c r="E247" s="656"/>
      <c r="F247" s="43">
        <f>'AEO14 RLT Techs'!D130</f>
        <v>157</v>
      </c>
      <c r="G247" s="61">
        <f>F247/'Conv Factors'!$B$5/'Conv Factors'!$B$2/'Conv Factors'!$B$3/'Conv Factors'!$B$9/'Conv Factors'!$B$4*'Conv Factors'!$B$6</f>
        <v>4.9786433023926335</v>
      </c>
      <c r="H247" s="43">
        <f>'AEO14 RLT Techs'!C130</f>
        <v>8.2200000000000006</v>
      </c>
      <c r="I247" s="41">
        <f>H247*'Conv Factors'!$C$53/1000/'Conv Factors'!$B$7*'Conv Factors'!$B$9</f>
        <v>7.4711841598245261</v>
      </c>
      <c r="J247" s="62">
        <f>'AEO14 RLT Techs'!F130/1000</f>
        <v>50</v>
      </c>
      <c r="K247" s="41">
        <f>J247*1000/'Conv Factors'!$B$14/'Conv Factors'!$B$3</f>
        <v>68.493150684931507</v>
      </c>
    </row>
    <row r="248" spans="2:11">
      <c r="B248" s="660" t="str">
        <f>'AEO14 RLT Techs'!K131</f>
        <v>RLTELED25</v>
      </c>
      <c r="C248" s="660" t="str">
        <f>'AEO14 RLT Techs'!L131</f>
        <v>RLT.EXT.LED.25</v>
      </c>
      <c r="D248" s="660" t="s">
        <v>1668</v>
      </c>
      <c r="E248" s="656"/>
      <c r="F248" s="43">
        <f>'AEO14 RLT Techs'!D131</f>
        <v>180</v>
      </c>
      <c r="G248" s="61">
        <f>F248/'Conv Factors'!$B$5/'Conv Factors'!$B$2/'Conv Factors'!$B$3/'Conv Factors'!$B$9/'Conv Factors'!$B$4*'Conv Factors'!$B$6</f>
        <v>5.7079986906412357</v>
      </c>
      <c r="H248" s="43">
        <f>'AEO14 RLT Techs'!C131</f>
        <v>7.05</v>
      </c>
      <c r="I248" s="41">
        <f>H248*'Conv Factors'!$C$53/1000/'Conv Factors'!$B$7*'Conv Factors'!$B$9</f>
        <v>6.4077674363458517</v>
      </c>
      <c r="J248" s="62">
        <f>'AEO14 RLT Techs'!F131/1000</f>
        <v>50</v>
      </c>
      <c r="K248" s="41">
        <f>J248*1000/'Conv Factors'!$B$14/'Conv Factors'!$B$3</f>
        <v>68.493150684931507</v>
      </c>
    </row>
    <row r="249" spans="2:11">
      <c r="B249" s="660" t="str">
        <f>'AEO14 RLT Techs'!K132</f>
        <v>RLTELED30</v>
      </c>
      <c r="C249" s="660" t="str">
        <f>'AEO14 RLT Techs'!L132</f>
        <v>RLT.EXT.LED.30</v>
      </c>
      <c r="D249" s="660" t="s">
        <v>1668</v>
      </c>
      <c r="E249" s="656"/>
      <c r="F249" s="43">
        <f>'AEO14 RLT Techs'!D132</f>
        <v>202</v>
      </c>
      <c r="G249" s="61">
        <f>F249/'Conv Factors'!$B$5/'Conv Factors'!$B$2/'Conv Factors'!$B$3/'Conv Factors'!$B$9/'Conv Factors'!$B$4*'Conv Factors'!$B$6</f>
        <v>6.4056429750529427</v>
      </c>
      <c r="H249" s="43">
        <f>'AEO14 RLT Techs'!C132</f>
        <v>5.87</v>
      </c>
      <c r="I249" s="41">
        <f>H249*'Conv Factors'!$C$53/1000/'Conv Factors'!$B$7*'Conv Factors'!$B$9</f>
        <v>5.3352616810425744</v>
      </c>
      <c r="J249" s="62">
        <f>'AEO14 RLT Techs'!F132/1000</f>
        <v>50</v>
      </c>
      <c r="K249" s="41">
        <f>J249*1000/'Conv Factors'!$B$14/'Conv Factors'!$B$3</f>
        <v>68.493150684931507</v>
      </c>
    </row>
    <row r="250" spans="2:11">
      <c r="B250" s="660"/>
      <c r="C250" s="660"/>
      <c r="D250" s="660"/>
      <c r="E250" s="656"/>
      <c r="F250" s="43"/>
      <c r="G250" s="61"/>
      <c r="H250" s="43"/>
      <c r="I250" s="41"/>
      <c r="J250" s="62"/>
      <c r="K250" s="41"/>
    </row>
  </sheetData>
  <phoneticPr fontId="14" type="noConversion"/>
  <pageMargins left="0.25" right="0.25" top="0.5" bottom="0.5" header="0.5" footer="0.5"/>
  <pageSetup scale="66" fitToHeight="0" orientation="landscape" r:id="rId1"/>
  <headerFooter alignWithMargins="0"/>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2:R66"/>
  <sheetViews>
    <sheetView workbookViewId="0">
      <selection activeCell="C33" sqref="C33"/>
    </sheetView>
  </sheetViews>
  <sheetFormatPr defaultColWidth="9.26953125" defaultRowHeight="12.5"/>
  <cols>
    <col min="1" max="1" width="19.26953125" style="25" customWidth="1"/>
    <col min="2" max="2" width="8" style="25" bestFit="1" customWidth="1"/>
    <col min="3" max="3" width="10" style="25" customWidth="1"/>
    <col min="4" max="4" width="10.54296875" style="25" customWidth="1"/>
    <col min="5" max="6" width="10.7265625" style="25" customWidth="1"/>
    <col min="7" max="7" width="11" style="25" customWidth="1"/>
    <col min="8" max="8" width="11.26953125" style="25" customWidth="1"/>
    <col min="9" max="9" width="10.54296875" style="25" customWidth="1"/>
    <col min="10" max="10" width="11" style="25" customWidth="1"/>
    <col min="11" max="11" width="10.26953125" style="25" customWidth="1"/>
    <col min="12" max="12" width="10.54296875" style="25" customWidth="1"/>
    <col min="13" max="13" width="10.453125" style="25" customWidth="1"/>
    <col min="14" max="14" width="10.7265625" style="25" customWidth="1"/>
    <col min="15" max="15" width="9.26953125" style="25"/>
    <col min="16" max="16" width="11.54296875" style="25" bestFit="1" customWidth="1"/>
    <col min="17" max="16384" width="9.26953125" style="25"/>
  </cols>
  <sheetData>
    <row r="2" spans="1:14" ht="13">
      <c r="A2" s="652" t="s">
        <v>1683</v>
      </c>
      <c r="B2" s="660"/>
      <c r="C2" s="660"/>
      <c r="D2" s="660"/>
      <c r="E2" s="660"/>
      <c r="F2" s="660"/>
      <c r="G2" s="660"/>
      <c r="H2" s="660"/>
      <c r="I2" s="660"/>
      <c r="J2" s="660"/>
      <c r="K2" s="660"/>
      <c r="L2" s="660"/>
      <c r="M2" s="660"/>
      <c r="N2" s="660"/>
    </row>
    <row r="3" spans="1:14">
      <c r="A3" s="697" t="s">
        <v>14</v>
      </c>
      <c r="B3" s="697"/>
      <c r="C3" s="189">
        <v>2000</v>
      </c>
      <c r="D3" s="189">
        <v>2005</v>
      </c>
      <c r="E3" s="189">
        <v>2010</v>
      </c>
      <c r="F3" s="189">
        <v>2015</v>
      </c>
      <c r="G3" s="189">
        <v>2020</v>
      </c>
      <c r="H3" s="189">
        <v>2025</v>
      </c>
      <c r="I3" s="189">
        <v>2030</v>
      </c>
      <c r="J3" s="189">
        <v>2035</v>
      </c>
      <c r="K3" s="189">
        <v>2040</v>
      </c>
      <c r="L3" s="189">
        <v>2045</v>
      </c>
      <c r="M3" s="189">
        <v>2050</v>
      </c>
      <c r="N3" s="189">
        <v>2055</v>
      </c>
    </row>
    <row r="4" spans="1:14">
      <c r="A4" s="180" t="s">
        <v>1093</v>
      </c>
      <c r="B4" s="180"/>
      <c r="C4" s="188">
        <v>0</v>
      </c>
      <c r="D4" s="188">
        <v>0</v>
      </c>
      <c r="E4" s="188">
        <v>0</v>
      </c>
      <c r="F4" s="188">
        <v>0</v>
      </c>
      <c r="G4" s="188">
        <v>0</v>
      </c>
      <c r="H4" s="188">
        <v>0</v>
      </c>
      <c r="I4" s="188">
        <v>0</v>
      </c>
      <c r="J4" s="188">
        <v>0</v>
      </c>
      <c r="K4" s="188">
        <v>0</v>
      </c>
      <c r="L4" s="188">
        <v>0</v>
      </c>
      <c r="M4" s="188">
        <v>0</v>
      </c>
      <c r="N4" s="188">
        <v>0</v>
      </c>
    </row>
    <row r="5" spans="1:14">
      <c r="A5" s="651" t="s">
        <v>617</v>
      </c>
      <c r="B5" s="660"/>
      <c r="C5" s="195">
        <f>C55</f>
        <v>2465326</v>
      </c>
      <c r="D5" s="195">
        <v>2517052</v>
      </c>
      <c r="E5" s="195">
        <v>2552911</v>
      </c>
      <c r="F5" s="195">
        <v>2636735</v>
      </c>
      <c r="G5" s="195">
        <v>2648452</v>
      </c>
      <c r="H5" s="195">
        <v>2701230.5</v>
      </c>
      <c r="I5" s="195">
        <v>2754009</v>
      </c>
      <c r="J5" s="195">
        <v>2797267</v>
      </c>
      <c r="K5" s="195">
        <v>2840525</v>
      </c>
      <c r="L5" s="195">
        <v>2908244.5075757541</v>
      </c>
      <c r="M5" s="195">
        <v>2959463.6785714254</v>
      </c>
      <c r="N5" s="195">
        <v>3010682.8495670967</v>
      </c>
    </row>
    <row r="6" spans="1:14">
      <c r="A6" s="651" t="s">
        <v>618</v>
      </c>
      <c r="B6" s="660"/>
      <c r="C6" s="195">
        <v>1332650</v>
      </c>
      <c r="D6" s="195">
        <v>1366086</v>
      </c>
      <c r="E6" s="195">
        <v>1385108</v>
      </c>
      <c r="F6" s="195">
        <v>1455444</v>
      </c>
      <c r="G6" s="195">
        <v>1446788</v>
      </c>
      <c r="H6" s="195">
        <v>1482893</v>
      </c>
      <c r="I6" s="195">
        <v>1518998</v>
      </c>
      <c r="J6" s="195">
        <v>1549121.5</v>
      </c>
      <c r="K6" s="195">
        <v>1579245</v>
      </c>
      <c r="L6" s="195">
        <v>1625954.9772727266</v>
      </c>
      <c r="M6" s="195">
        <v>1660587.6071428563</v>
      </c>
      <c r="N6" s="195">
        <v>1695220.2370129861</v>
      </c>
    </row>
    <row r="7" spans="1:14">
      <c r="A7" s="651" t="s">
        <v>619</v>
      </c>
      <c r="B7" s="660"/>
      <c r="C7" s="195">
        <v>1537195</v>
      </c>
      <c r="D7" s="195">
        <v>1600110</v>
      </c>
      <c r="E7" s="195">
        <v>1585873</v>
      </c>
      <c r="F7" s="195">
        <v>1644518</v>
      </c>
      <c r="G7" s="195">
        <v>1638281</v>
      </c>
      <c r="H7" s="195">
        <v>1657500.5</v>
      </c>
      <c r="I7" s="195">
        <v>1676720</v>
      </c>
      <c r="J7" s="195">
        <v>1684168.5</v>
      </c>
      <c r="K7" s="195">
        <v>1691617</v>
      </c>
      <c r="L7" s="195">
        <v>1733166.166666667</v>
      </c>
      <c r="M7" s="195">
        <v>1753311.5714285718</v>
      </c>
      <c r="N7" s="195">
        <v>1773456.9761904767</v>
      </c>
    </row>
    <row r="8" spans="1:14">
      <c r="A8" s="651" t="s">
        <v>621</v>
      </c>
      <c r="B8" s="660"/>
      <c r="C8" s="195">
        <v>443728</v>
      </c>
      <c r="D8" s="195">
        <v>468248</v>
      </c>
      <c r="E8" s="195">
        <v>468730</v>
      </c>
      <c r="F8" s="195">
        <v>474558</v>
      </c>
      <c r="G8" s="195">
        <v>487155</v>
      </c>
      <c r="H8" s="195">
        <v>492452</v>
      </c>
      <c r="I8" s="195">
        <v>497749</v>
      </c>
      <c r="J8" s="195">
        <v>499429</v>
      </c>
      <c r="K8" s="195">
        <v>501109</v>
      </c>
      <c r="L8" s="195">
        <v>528935.80303030275</v>
      </c>
      <c r="M8" s="195">
        <v>539243.35714285728</v>
      </c>
      <c r="N8" s="195">
        <v>549550.9112554118</v>
      </c>
    </row>
    <row r="9" spans="1:14">
      <c r="A9" s="651" t="s">
        <v>620</v>
      </c>
      <c r="B9" s="660"/>
      <c r="C9" s="195">
        <v>2229379</v>
      </c>
      <c r="D9" s="195">
        <v>2254639</v>
      </c>
      <c r="E9" s="195">
        <v>2250002</v>
      </c>
      <c r="F9" s="195">
        <v>2339150</v>
      </c>
      <c r="G9" s="195">
        <v>2330295</v>
      </c>
      <c r="H9" s="195">
        <v>2351923</v>
      </c>
      <c r="I9" s="195">
        <v>2373551</v>
      </c>
      <c r="J9" s="195">
        <v>2393100</v>
      </c>
      <c r="K9" s="195">
        <v>2412649</v>
      </c>
      <c r="L9" s="195">
        <v>2496538.7575757559</v>
      </c>
      <c r="M9" s="195">
        <v>2533665.5714285709</v>
      </c>
      <c r="N9" s="195">
        <v>2570792.385281384</v>
      </c>
    </row>
    <row r="10" spans="1:14">
      <c r="A10" s="180" t="s">
        <v>1094</v>
      </c>
      <c r="B10" s="180"/>
      <c r="C10" s="188">
        <v>0</v>
      </c>
      <c r="D10" s="188">
        <v>0</v>
      </c>
      <c r="E10" s="188">
        <v>0</v>
      </c>
      <c r="F10" s="188">
        <v>0</v>
      </c>
      <c r="G10" s="188">
        <v>0</v>
      </c>
      <c r="H10" s="188">
        <v>0</v>
      </c>
      <c r="I10" s="188">
        <v>0</v>
      </c>
      <c r="J10" s="188">
        <v>0</v>
      </c>
      <c r="K10" s="188">
        <v>0</v>
      </c>
      <c r="L10" s="188">
        <v>0</v>
      </c>
      <c r="M10" s="188">
        <v>0</v>
      </c>
      <c r="N10" s="188">
        <v>0</v>
      </c>
    </row>
    <row r="11" spans="1:14">
      <c r="A11" s="180" t="s">
        <v>1097</v>
      </c>
      <c r="B11" s="180"/>
      <c r="C11" s="188">
        <v>0</v>
      </c>
      <c r="D11" s="188">
        <v>0</v>
      </c>
      <c r="E11" s="188">
        <v>0</v>
      </c>
      <c r="F11" s="188">
        <v>0</v>
      </c>
      <c r="G11" s="188">
        <v>0</v>
      </c>
      <c r="H11" s="188">
        <v>0</v>
      </c>
      <c r="I11" s="188">
        <v>0</v>
      </c>
      <c r="J11" s="188">
        <v>0</v>
      </c>
      <c r="K11" s="188">
        <v>0</v>
      </c>
      <c r="L11" s="188">
        <v>0</v>
      </c>
      <c r="M11" s="188">
        <v>0</v>
      </c>
      <c r="N11" s="188">
        <v>0</v>
      </c>
    </row>
    <row r="12" spans="1:14">
      <c r="A12" s="180" t="s">
        <v>1100</v>
      </c>
      <c r="B12" s="180"/>
      <c r="C12" s="188">
        <v>0</v>
      </c>
      <c r="D12" s="188">
        <v>0</v>
      </c>
      <c r="E12" s="188">
        <v>0</v>
      </c>
      <c r="F12" s="188">
        <v>0</v>
      </c>
      <c r="G12" s="188">
        <v>0</v>
      </c>
      <c r="H12" s="188">
        <v>0</v>
      </c>
      <c r="I12" s="188">
        <v>0</v>
      </c>
      <c r="J12" s="188">
        <v>0</v>
      </c>
      <c r="K12" s="188">
        <v>0</v>
      </c>
      <c r="L12" s="188">
        <v>0</v>
      </c>
      <c r="M12" s="188">
        <v>0</v>
      </c>
      <c r="N12" s="188">
        <v>0</v>
      </c>
    </row>
    <row r="13" spans="1:14">
      <c r="A13" s="40" t="s">
        <v>1101</v>
      </c>
      <c r="B13" s="660"/>
      <c r="C13" s="45">
        <f>SUM(C5:C9)</f>
        <v>8008278</v>
      </c>
      <c r="D13" s="45">
        <f t="shared" ref="D13:N13" si="0">SUM(D5:D9)</f>
        <v>8206135</v>
      </c>
      <c r="E13" s="45">
        <f t="shared" si="0"/>
        <v>8242624</v>
      </c>
      <c r="F13" s="45">
        <f t="shared" si="0"/>
        <v>8550405</v>
      </c>
      <c r="G13" s="45">
        <f t="shared" si="0"/>
        <v>8550971</v>
      </c>
      <c r="H13" s="45">
        <f t="shared" si="0"/>
        <v>8685999</v>
      </c>
      <c r="I13" s="45">
        <f t="shared" si="0"/>
        <v>8821027</v>
      </c>
      <c r="J13" s="45">
        <f t="shared" si="0"/>
        <v>8923086</v>
      </c>
      <c r="K13" s="45">
        <f t="shared" si="0"/>
        <v>9025145</v>
      </c>
      <c r="L13" s="45">
        <f t="shared" si="0"/>
        <v>9292840.2121212073</v>
      </c>
      <c r="M13" s="45">
        <f t="shared" si="0"/>
        <v>9446271.7857142817</v>
      </c>
      <c r="N13" s="45">
        <f t="shared" si="0"/>
        <v>9599703.3593073562</v>
      </c>
    </row>
    <row r="14" spans="1:14">
      <c r="A14" s="660" t="s">
        <v>1119</v>
      </c>
      <c r="B14" s="660"/>
      <c r="C14" s="660">
        <v>281591845.21000016</v>
      </c>
      <c r="D14" s="660">
        <v>295206869.51000011</v>
      </c>
      <c r="E14" s="660">
        <v>308821893.81000042</v>
      </c>
      <c r="F14" s="660">
        <v>322436918.11000025</v>
      </c>
      <c r="G14" s="660">
        <v>336051942.41000021</v>
      </c>
      <c r="H14" s="660">
        <v>349666966.71000016</v>
      </c>
      <c r="I14" s="660">
        <v>363281991.01000011</v>
      </c>
      <c r="J14" s="660">
        <v>376897015.31000042</v>
      </c>
      <c r="K14" s="660">
        <v>390512039.61000031</v>
      </c>
      <c r="L14" s="660">
        <v>404127063.91000021</v>
      </c>
      <c r="M14" s="660">
        <v>417742088.21000046</v>
      </c>
      <c r="N14" s="660">
        <v>431357112.51000011</v>
      </c>
    </row>
    <row r="15" spans="1:14" hidden="1">
      <c r="A15" s="660"/>
      <c r="B15" s="660"/>
      <c r="C15" s="660"/>
      <c r="D15" s="660"/>
      <c r="E15" s="660"/>
      <c r="F15" s="660"/>
      <c r="G15" s="660"/>
      <c r="H15" s="660"/>
      <c r="I15" s="660"/>
      <c r="J15" s="660"/>
      <c r="K15" s="660"/>
      <c r="L15" s="660"/>
      <c r="M15" s="660"/>
      <c r="N15" s="660"/>
    </row>
    <row r="16" spans="1:14" hidden="1">
      <c r="A16" s="660"/>
      <c r="B16" s="660"/>
      <c r="C16" s="660"/>
      <c r="D16" s="660"/>
      <c r="E16" s="660"/>
      <c r="F16" s="660"/>
      <c r="G16" s="660"/>
      <c r="H16" s="660"/>
      <c r="I16" s="660"/>
      <c r="J16" s="660"/>
      <c r="K16" s="660"/>
      <c r="L16" s="660"/>
      <c r="M16" s="660"/>
      <c r="N16" s="660"/>
    </row>
    <row r="17" spans="1:14" ht="13" hidden="1">
      <c r="A17" s="652" t="s">
        <v>1684</v>
      </c>
      <c r="B17" s="660"/>
      <c r="C17" s="660"/>
      <c r="D17" s="660"/>
      <c r="E17" s="660"/>
      <c r="F17" s="660"/>
      <c r="G17" s="660"/>
      <c r="H17" s="660"/>
      <c r="I17" s="660"/>
      <c r="J17" s="660"/>
      <c r="K17" s="660"/>
      <c r="L17" s="660"/>
      <c r="M17" s="660"/>
      <c r="N17" s="660"/>
    </row>
    <row r="18" spans="1:14" hidden="1">
      <c r="A18" s="660"/>
      <c r="B18" s="660"/>
      <c r="C18" s="660"/>
      <c r="D18" s="660"/>
      <c r="E18" s="660"/>
      <c r="F18" s="660"/>
      <c r="G18" s="660"/>
      <c r="H18" s="660"/>
      <c r="I18" s="660"/>
      <c r="J18" s="660"/>
      <c r="K18" s="660"/>
      <c r="L18" s="660"/>
      <c r="M18" s="660"/>
      <c r="N18" s="660"/>
    </row>
    <row r="19" spans="1:14" hidden="1">
      <c r="A19" s="660"/>
      <c r="B19" s="660"/>
      <c r="C19" s="660"/>
      <c r="D19" s="660" t="s">
        <v>1685</v>
      </c>
      <c r="E19" s="660"/>
      <c r="F19" s="660"/>
      <c r="G19" s="660"/>
      <c r="H19" s="660"/>
      <c r="I19" s="660"/>
      <c r="J19" s="660"/>
      <c r="K19" s="660"/>
      <c r="L19" s="660"/>
      <c r="M19" s="660"/>
      <c r="N19" s="660"/>
    </row>
    <row r="20" spans="1:14" hidden="1">
      <c r="A20" s="696" t="s">
        <v>14</v>
      </c>
      <c r="B20" s="696"/>
      <c r="C20" s="660">
        <v>2000</v>
      </c>
      <c r="D20" s="660">
        <v>2005</v>
      </c>
      <c r="E20" s="660">
        <v>2010</v>
      </c>
      <c r="F20" s="660">
        <v>2015</v>
      </c>
      <c r="G20" s="660">
        <v>2020</v>
      </c>
      <c r="H20" s="660">
        <v>2025</v>
      </c>
      <c r="I20" s="660">
        <v>2030</v>
      </c>
      <c r="J20" s="660">
        <v>2035</v>
      </c>
      <c r="K20" s="660">
        <v>2040</v>
      </c>
      <c r="L20" s="660">
        <v>2045</v>
      </c>
      <c r="M20" s="660">
        <v>2050</v>
      </c>
      <c r="N20" s="660">
        <v>2055</v>
      </c>
    </row>
    <row r="21" spans="1:14" hidden="1">
      <c r="A21" s="660" t="s">
        <v>1093</v>
      </c>
      <c r="B21" s="660" t="s">
        <v>1092</v>
      </c>
      <c r="C21" s="45">
        <v>14082663.889999991</v>
      </c>
      <c r="D21" s="45">
        <v>14255073.101</v>
      </c>
      <c r="E21" s="45">
        <v>14559921.450999998</v>
      </c>
      <c r="F21" s="45">
        <v>14806579.829999998</v>
      </c>
      <c r="G21" s="45">
        <v>14997673.560000001</v>
      </c>
      <c r="H21" s="45">
        <v>15111198.526999999</v>
      </c>
      <c r="I21" s="45">
        <v>15141889.450999998</v>
      </c>
      <c r="J21" s="45">
        <v>15098507.534000002</v>
      </c>
      <c r="K21" s="45">
        <v>14996543.470000003</v>
      </c>
      <c r="L21" s="45">
        <v>14833993.520999998</v>
      </c>
      <c r="M21" s="45">
        <v>14622514.98</v>
      </c>
      <c r="N21" s="45">
        <v>14386621.138</v>
      </c>
    </row>
    <row r="22" spans="1:14" hidden="1">
      <c r="A22" s="660" t="s">
        <v>1109</v>
      </c>
      <c r="B22" s="660" t="s">
        <v>1108</v>
      </c>
      <c r="C22" s="45">
        <v>40037144.820000008</v>
      </c>
      <c r="D22" s="45">
        <v>40424218.921000004</v>
      </c>
      <c r="E22" s="45">
        <v>43307856.045000017</v>
      </c>
      <c r="F22" s="45">
        <v>45795599.081</v>
      </c>
      <c r="G22" s="45">
        <v>48022396.056999996</v>
      </c>
      <c r="H22" s="45">
        <v>50005879.075000018</v>
      </c>
      <c r="I22" s="45">
        <v>51768902.476999983</v>
      </c>
      <c r="J22" s="45">
        <v>53349649.735000007</v>
      </c>
      <c r="K22" s="45">
        <v>54746760.595999993</v>
      </c>
      <c r="L22" s="45">
        <v>55968920.20699998</v>
      </c>
      <c r="M22" s="45">
        <v>57054895.958000004</v>
      </c>
      <c r="N22" s="45">
        <v>58050704.504999995</v>
      </c>
    </row>
    <row r="23" spans="1:14" hidden="1">
      <c r="A23" s="660" t="s">
        <v>1111</v>
      </c>
      <c r="B23" s="660" t="s">
        <v>1110</v>
      </c>
      <c r="C23" s="45">
        <v>51311033.110000156</v>
      </c>
      <c r="D23" s="45">
        <v>56211935.149000004</v>
      </c>
      <c r="E23" s="45">
        <v>60657963.586000003</v>
      </c>
      <c r="F23" s="45">
        <v>64826872.270000011</v>
      </c>
      <c r="G23" s="45">
        <v>68775871.564999998</v>
      </c>
      <c r="H23" s="45">
        <v>72551125.178000003</v>
      </c>
      <c r="I23" s="45">
        <v>76130086.838</v>
      </c>
      <c r="J23" s="45">
        <v>79451514.100999996</v>
      </c>
      <c r="K23" s="45">
        <v>82495544.490000024</v>
      </c>
      <c r="L23" s="45">
        <v>85206420.486000001</v>
      </c>
      <c r="M23" s="45">
        <v>87598757.290999979</v>
      </c>
      <c r="N23" s="45">
        <v>89784933.364600003</v>
      </c>
    </row>
    <row r="24" spans="1:14" hidden="1">
      <c r="A24" s="660" t="s">
        <v>1113</v>
      </c>
      <c r="B24" s="660" t="s">
        <v>1112</v>
      </c>
      <c r="C24" s="45">
        <v>17077982.930000018</v>
      </c>
      <c r="D24" s="45">
        <v>19805788.936800003</v>
      </c>
      <c r="E24" s="45">
        <v>20159289.497400001</v>
      </c>
      <c r="F24" s="45">
        <v>20476775.141300004</v>
      </c>
      <c r="G24" s="45">
        <v>20749393.893400002</v>
      </c>
      <c r="H24" s="45">
        <v>20940851.981899999</v>
      </c>
      <c r="I24" s="45">
        <v>21040329.486699998</v>
      </c>
      <c r="J24" s="45">
        <v>21038618.613199998</v>
      </c>
      <c r="K24" s="45">
        <v>20955441.926899999</v>
      </c>
      <c r="L24" s="45">
        <v>20804312.533100005</v>
      </c>
      <c r="M24" s="45">
        <v>20591713.880000003</v>
      </c>
      <c r="N24" s="45">
        <v>20351239.3081</v>
      </c>
    </row>
    <row r="25" spans="1:14" hidden="1">
      <c r="A25" s="660" t="s">
        <v>1115</v>
      </c>
      <c r="B25" s="660" t="s">
        <v>1114</v>
      </c>
      <c r="C25" s="45">
        <v>45614039.319999993</v>
      </c>
      <c r="D25" s="45">
        <v>46130608.688000001</v>
      </c>
      <c r="E25" s="45">
        <v>46972933.263000011</v>
      </c>
      <c r="F25" s="45">
        <v>47577755.758000009</v>
      </c>
      <c r="G25" s="45">
        <v>47995420.120000012</v>
      </c>
      <c r="H25" s="45">
        <v>48224534.769000009</v>
      </c>
      <c r="I25" s="45">
        <v>48224802.348000005</v>
      </c>
      <c r="J25" s="45">
        <v>48028971.478000008</v>
      </c>
      <c r="K25" s="45">
        <v>47680484.528999999</v>
      </c>
      <c r="L25" s="45">
        <v>47208997.395000011</v>
      </c>
      <c r="M25" s="45">
        <v>46617072.958999991</v>
      </c>
      <c r="N25" s="45">
        <v>45970326.495000005</v>
      </c>
    </row>
    <row r="26" spans="1:14" hidden="1">
      <c r="A26" s="660" t="s">
        <v>1117</v>
      </c>
      <c r="B26" s="660" t="s">
        <v>1116</v>
      </c>
      <c r="C26" s="45">
        <v>31253546.539999887</v>
      </c>
      <c r="D26" s="45">
        <v>33754989.348699994</v>
      </c>
      <c r="E26" s="45">
        <v>36435612.336899988</v>
      </c>
      <c r="F26" s="45">
        <v>38907357.291749991</v>
      </c>
      <c r="G26" s="45">
        <v>41192424.01761999</v>
      </c>
      <c r="H26" s="45">
        <v>43323912.229930013</v>
      </c>
      <c r="I26" s="45">
        <v>45282321.029000022</v>
      </c>
      <c r="J26" s="45">
        <v>47075508.928220011</v>
      </c>
      <c r="K26" s="45">
        <v>48642800.480819978</v>
      </c>
      <c r="L26" s="45">
        <v>49999333.878240012</v>
      </c>
      <c r="M26" s="45">
        <v>51136790.05067002</v>
      </c>
      <c r="N26" s="45">
        <v>52125909.121109977</v>
      </c>
    </row>
    <row r="27" spans="1:14" hidden="1">
      <c r="A27" s="660" t="s">
        <v>1094</v>
      </c>
      <c r="B27" s="660" t="s">
        <v>1118</v>
      </c>
      <c r="C27" s="45">
        <v>19388126.960000023</v>
      </c>
      <c r="D27" s="45">
        <v>17585176.247000001</v>
      </c>
      <c r="E27" s="45">
        <v>17816637.934999999</v>
      </c>
      <c r="F27" s="45">
        <v>17930085.234000001</v>
      </c>
      <c r="G27" s="45">
        <v>17940824.980999999</v>
      </c>
      <c r="H27" s="45">
        <v>17871914.307000004</v>
      </c>
      <c r="I27" s="45">
        <v>17701358.123</v>
      </c>
      <c r="J27" s="45">
        <v>17487059.499000002</v>
      </c>
      <c r="K27" s="45">
        <v>17237972.877999995</v>
      </c>
      <c r="L27" s="45">
        <v>16930344.434</v>
      </c>
      <c r="M27" s="45">
        <v>16608433.531000001</v>
      </c>
      <c r="N27" s="45">
        <v>16251410.362000002</v>
      </c>
    </row>
    <row r="28" spans="1:14" hidden="1">
      <c r="A28" s="660" t="s">
        <v>1097</v>
      </c>
      <c r="B28" s="660" t="s">
        <v>1096</v>
      </c>
      <c r="C28" s="45">
        <v>17981767.819999959</v>
      </c>
      <c r="D28" s="45">
        <v>20317824.098200001</v>
      </c>
      <c r="E28" s="45">
        <v>21967032.106299996</v>
      </c>
      <c r="F28" s="45">
        <v>23510704.125500001</v>
      </c>
      <c r="G28" s="45">
        <v>24971189.716500003</v>
      </c>
      <c r="H28" s="45">
        <v>26340833.627499998</v>
      </c>
      <c r="I28" s="45">
        <v>27631045.834299996</v>
      </c>
      <c r="J28" s="45">
        <v>28808041.623099998</v>
      </c>
      <c r="K28" s="45">
        <v>29837457.262799997</v>
      </c>
      <c r="L28" s="45">
        <v>30702162.024299998</v>
      </c>
      <c r="M28" s="45">
        <v>31414970.701299999</v>
      </c>
      <c r="N28" s="45">
        <v>32032798.268399999</v>
      </c>
    </row>
    <row r="29" spans="1:14" hidden="1">
      <c r="A29" s="660" t="s">
        <v>1100</v>
      </c>
      <c r="B29" s="660" t="s">
        <v>1099</v>
      </c>
      <c r="C29" s="45">
        <v>44845539.820000112</v>
      </c>
      <c r="D29" s="45">
        <v>48019332.207551196</v>
      </c>
      <c r="E29" s="45">
        <v>50771732.591894343</v>
      </c>
      <c r="F29" s="45">
        <v>53225572.894723535</v>
      </c>
      <c r="G29" s="45">
        <v>55388666.918814115</v>
      </c>
      <c r="H29" s="45">
        <v>57252917.077324443</v>
      </c>
      <c r="I29" s="45">
        <v>58843587.911681518</v>
      </c>
      <c r="J29" s="45">
        <v>60207059.366576836</v>
      </c>
      <c r="K29" s="45">
        <v>61339070.616783455</v>
      </c>
      <c r="L29" s="45">
        <v>62196594.287861489</v>
      </c>
      <c r="M29" s="45">
        <v>62782382.675442532</v>
      </c>
      <c r="N29" s="45">
        <v>63180872.50108292</v>
      </c>
    </row>
    <row r="30" spans="1:14" hidden="1">
      <c r="A30" s="40" t="s">
        <v>1119</v>
      </c>
      <c r="B30" s="660"/>
      <c r="C30" s="45">
        <f t="shared" ref="C30:N30" si="1">SUM(C21:C29)</f>
        <v>281591845.21000016</v>
      </c>
      <c r="D30" s="45">
        <f t="shared" si="1"/>
        <v>296504946.6972512</v>
      </c>
      <c r="E30" s="45">
        <f t="shared" si="1"/>
        <v>312648978.81249434</v>
      </c>
      <c r="F30" s="45">
        <f t="shared" si="1"/>
        <v>327057301.62627357</v>
      </c>
      <c r="G30" s="45">
        <f t="shared" si="1"/>
        <v>340033860.82933414</v>
      </c>
      <c r="H30" s="45">
        <f t="shared" si="1"/>
        <v>351623166.77265453</v>
      </c>
      <c r="I30" s="45">
        <f t="shared" si="1"/>
        <v>361764323.49868149</v>
      </c>
      <c r="J30" s="45">
        <f t="shared" si="1"/>
        <v>370544930.87809688</v>
      </c>
      <c r="K30" s="45">
        <f t="shared" si="1"/>
        <v>377932076.25030345</v>
      </c>
      <c r="L30" s="45">
        <f t="shared" si="1"/>
        <v>383851078.76650149</v>
      </c>
      <c r="M30" s="45">
        <f t="shared" si="1"/>
        <v>388427532.02641255</v>
      </c>
      <c r="N30" s="45">
        <f t="shared" si="1"/>
        <v>392134815.06329286</v>
      </c>
    </row>
    <row r="31" spans="1:14" hidden="1">
      <c r="A31" s="660"/>
      <c r="B31" s="660"/>
      <c r="C31" s="45"/>
      <c r="D31" s="45"/>
      <c r="E31" s="45"/>
      <c r="F31" s="45"/>
      <c r="G31" s="45"/>
      <c r="H31" s="45"/>
      <c r="I31" s="45"/>
      <c r="J31" s="45"/>
      <c r="K31" s="45"/>
      <c r="L31" s="45"/>
      <c r="M31" s="45"/>
      <c r="N31" s="45"/>
    </row>
    <row r="32" spans="1:14" hidden="1">
      <c r="A32" s="660"/>
      <c r="B32" s="660"/>
      <c r="C32" s="660"/>
      <c r="D32" s="660" t="s">
        <v>1686</v>
      </c>
      <c r="E32" s="660"/>
      <c r="F32" s="660"/>
      <c r="G32" s="660"/>
      <c r="H32" s="660"/>
      <c r="I32" s="660"/>
      <c r="J32" s="660"/>
      <c r="K32" s="660"/>
      <c r="L32" s="660"/>
      <c r="M32" s="660"/>
      <c r="N32" s="660"/>
    </row>
    <row r="33" spans="1:14" hidden="1">
      <c r="A33" s="696" t="s">
        <v>14</v>
      </c>
      <c r="B33" s="696"/>
      <c r="C33" s="660">
        <v>2000</v>
      </c>
      <c r="D33" s="660">
        <v>2005</v>
      </c>
      <c r="E33" s="660">
        <v>2010</v>
      </c>
      <c r="F33" s="660">
        <v>2015</v>
      </c>
      <c r="G33" s="660">
        <v>2020</v>
      </c>
      <c r="H33" s="660">
        <v>2025</v>
      </c>
      <c r="I33" s="660">
        <v>2030</v>
      </c>
      <c r="J33" s="660">
        <v>2035</v>
      </c>
      <c r="K33" s="660">
        <v>2040</v>
      </c>
      <c r="L33" s="660">
        <v>2045</v>
      </c>
      <c r="M33" s="660">
        <v>2050</v>
      </c>
      <c r="N33" s="660">
        <v>2055</v>
      </c>
    </row>
    <row r="34" spans="1:14" hidden="1">
      <c r="A34" s="660" t="s">
        <v>1093</v>
      </c>
      <c r="B34" s="660" t="s">
        <v>1092</v>
      </c>
      <c r="C34" s="45">
        <v>14082663.889999991</v>
      </c>
      <c r="D34" s="45">
        <v>14365140.789999997</v>
      </c>
      <c r="E34" s="45">
        <v>14647617.68999999</v>
      </c>
      <c r="F34" s="45">
        <v>14930094.589999996</v>
      </c>
      <c r="G34" s="45">
        <v>15212571.489999987</v>
      </c>
      <c r="H34" s="45">
        <v>15495048.389999993</v>
      </c>
      <c r="I34" s="45">
        <v>15777525.289999999</v>
      </c>
      <c r="J34" s="45">
        <v>16060002.189999992</v>
      </c>
      <c r="K34" s="45">
        <v>16342479.089999998</v>
      </c>
      <c r="L34" s="45">
        <v>16624955.989999989</v>
      </c>
      <c r="M34" s="45">
        <v>16907432.889999997</v>
      </c>
      <c r="N34" s="45">
        <v>17189909.789999988</v>
      </c>
    </row>
    <row r="35" spans="1:14" hidden="1">
      <c r="A35" s="660" t="s">
        <v>1109</v>
      </c>
      <c r="B35" s="660" t="s">
        <v>1108</v>
      </c>
      <c r="C35" s="45">
        <v>40037144.820000008</v>
      </c>
      <c r="D35" s="45">
        <v>40430205.620000012</v>
      </c>
      <c r="E35" s="45">
        <v>40823266.420000009</v>
      </c>
      <c r="F35" s="45">
        <v>41216327.220000014</v>
      </c>
      <c r="G35" s="45">
        <v>41609388.020000011</v>
      </c>
      <c r="H35" s="45">
        <v>42002448.820000015</v>
      </c>
      <c r="I35" s="45">
        <v>42395509.620000012</v>
      </c>
      <c r="J35" s="45">
        <v>42788570.420000017</v>
      </c>
      <c r="K35" s="45">
        <v>43181631.220000014</v>
      </c>
      <c r="L35" s="45">
        <v>43574692.020000018</v>
      </c>
      <c r="M35" s="45">
        <v>43967752.820000015</v>
      </c>
      <c r="N35" s="45">
        <v>44360813.62000002</v>
      </c>
    </row>
    <row r="36" spans="1:14" hidden="1">
      <c r="A36" s="660" t="s">
        <v>1111</v>
      </c>
      <c r="B36" s="660" t="s">
        <v>1110</v>
      </c>
      <c r="C36" s="45">
        <v>51311033.110000156</v>
      </c>
      <c r="D36" s="45">
        <v>55682680.66000019</v>
      </c>
      <c r="E36" s="45">
        <v>60054328.210000224</v>
      </c>
      <c r="F36" s="45">
        <v>64425975.760000259</v>
      </c>
      <c r="G36" s="45">
        <v>68797623.310000062</v>
      </c>
      <c r="H36" s="45">
        <v>73169270.860000104</v>
      </c>
      <c r="I36" s="45">
        <v>77540918.410000131</v>
      </c>
      <c r="J36" s="45">
        <v>81912565.960000172</v>
      </c>
      <c r="K36" s="45">
        <v>86284213.510000199</v>
      </c>
      <c r="L36" s="45">
        <v>90655861.060000241</v>
      </c>
      <c r="M36" s="45">
        <v>95027508.610000268</v>
      </c>
      <c r="N36" s="45">
        <v>99399156.160000071</v>
      </c>
    </row>
    <row r="37" spans="1:14" hidden="1">
      <c r="A37" s="660" t="s">
        <v>1113</v>
      </c>
      <c r="B37" s="660" t="s">
        <v>1112</v>
      </c>
      <c r="C37" s="45">
        <v>17077982.930000018</v>
      </c>
      <c r="D37" s="45">
        <v>17552092.280000012</v>
      </c>
      <c r="E37" s="45">
        <v>18026201.630000003</v>
      </c>
      <c r="F37" s="45">
        <v>18500310.980000023</v>
      </c>
      <c r="G37" s="45">
        <v>18974420.330000017</v>
      </c>
      <c r="H37" s="45">
        <v>19448529.680000007</v>
      </c>
      <c r="I37" s="45">
        <v>19922639.030000027</v>
      </c>
      <c r="J37" s="45">
        <v>20396748.380000021</v>
      </c>
      <c r="K37" s="45">
        <v>20870857.730000012</v>
      </c>
      <c r="L37" s="45">
        <v>21344967.080000002</v>
      </c>
      <c r="M37" s="45">
        <v>21819076.430000026</v>
      </c>
      <c r="N37" s="45">
        <v>22293185.780000016</v>
      </c>
    </row>
    <row r="38" spans="1:14" hidden="1">
      <c r="A38" s="660" t="s">
        <v>1115</v>
      </c>
      <c r="B38" s="660" t="s">
        <v>1114</v>
      </c>
      <c r="C38" s="45">
        <v>45614039.319999993</v>
      </c>
      <c r="D38" s="45">
        <v>46191913.769999988</v>
      </c>
      <c r="E38" s="45">
        <v>46769788.220000006</v>
      </c>
      <c r="F38" s="45">
        <v>47347662.670000002</v>
      </c>
      <c r="G38" s="45">
        <v>47925537.120000005</v>
      </c>
      <c r="H38" s="45">
        <v>48503411.57</v>
      </c>
      <c r="I38" s="45">
        <v>49081286.019999996</v>
      </c>
      <c r="J38" s="45">
        <v>49659160.469999991</v>
      </c>
      <c r="K38" s="45">
        <v>50237034.919999987</v>
      </c>
      <c r="L38" s="45">
        <v>50814909.370000012</v>
      </c>
      <c r="M38" s="45">
        <v>51392783.820000008</v>
      </c>
      <c r="N38" s="45">
        <v>51970658.270000003</v>
      </c>
    </row>
    <row r="39" spans="1:14" hidden="1">
      <c r="A39" s="660" t="s">
        <v>1117</v>
      </c>
      <c r="B39" s="660" t="s">
        <v>1116</v>
      </c>
      <c r="C39" s="45">
        <v>31253546.539999887</v>
      </c>
      <c r="D39" s="45">
        <v>33535417.339999866</v>
      </c>
      <c r="E39" s="45">
        <v>35817288.139999963</v>
      </c>
      <c r="F39" s="45">
        <v>38099158.939999938</v>
      </c>
      <c r="G39" s="45">
        <v>40381029.73999992</v>
      </c>
      <c r="H39" s="45">
        <v>42662900.539999895</v>
      </c>
      <c r="I39" s="45">
        <v>44944771.339999877</v>
      </c>
      <c r="J39" s="45">
        <v>47226642.139999971</v>
      </c>
      <c r="K39" s="45">
        <v>49508512.939999945</v>
      </c>
      <c r="L39" s="45">
        <v>51790383.739999928</v>
      </c>
      <c r="M39" s="45">
        <v>54072254.539999902</v>
      </c>
      <c r="N39" s="45">
        <v>56354125.339999884</v>
      </c>
    </row>
    <row r="40" spans="1:14" hidden="1">
      <c r="A40" s="660" t="s">
        <v>1094</v>
      </c>
      <c r="B40" s="660" t="s">
        <v>1118</v>
      </c>
      <c r="C40" s="45">
        <v>19388126.960000023</v>
      </c>
      <c r="D40" s="45">
        <v>19826329.51000002</v>
      </c>
      <c r="E40" s="45">
        <v>20264532.060000021</v>
      </c>
      <c r="F40" s="45">
        <v>20702734.610000022</v>
      </c>
      <c r="G40" s="45">
        <v>21140937.160000023</v>
      </c>
      <c r="H40" s="45">
        <v>21579139.71000002</v>
      </c>
      <c r="I40" s="45">
        <v>22017342.26000002</v>
      </c>
      <c r="J40" s="45">
        <v>22455544.810000021</v>
      </c>
      <c r="K40" s="45">
        <v>22893747.360000022</v>
      </c>
      <c r="L40" s="45">
        <v>23331949.910000019</v>
      </c>
      <c r="M40" s="45">
        <v>23770152.46000002</v>
      </c>
      <c r="N40" s="45">
        <v>24208355.01000002</v>
      </c>
    </row>
    <row r="41" spans="1:14" hidden="1">
      <c r="A41" s="660" t="s">
        <v>1097</v>
      </c>
      <c r="B41" s="660" t="s">
        <v>1096</v>
      </c>
      <c r="C41" s="45">
        <v>17981767.819999959</v>
      </c>
      <c r="D41" s="45">
        <v>19923017.619999997</v>
      </c>
      <c r="E41" s="45">
        <v>21864267.420000032</v>
      </c>
      <c r="F41" s="45">
        <v>23805517.219999958</v>
      </c>
      <c r="G41" s="45">
        <v>25746767.019999992</v>
      </c>
      <c r="H41" s="45">
        <v>27688016.82000003</v>
      </c>
      <c r="I41" s="45">
        <v>29629266.619999953</v>
      </c>
      <c r="J41" s="45">
        <v>31570516.419999991</v>
      </c>
      <c r="K41" s="45">
        <v>33511766.220000029</v>
      </c>
      <c r="L41" s="45">
        <v>35453016.019999951</v>
      </c>
      <c r="M41" s="45">
        <v>37394265.819999985</v>
      </c>
      <c r="N41" s="45">
        <v>39335515.620000027</v>
      </c>
    </row>
    <row r="42" spans="1:14" hidden="1">
      <c r="A42" s="660" t="s">
        <v>1100</v>
      </c>
      <c r="B42" s="660" t="s">
        <v>1099</v>
      </c>
      <c r="C42" s="45">
        <v>44845539.820000112</v>
      </c>
      <c r="D42" s="45">
        <v>47700071.920000024</v>
      </c>
      <c r="E42" s="45">
        <v>50554604.020000167</v>
      </c>
      <c r="F42" s="45">
        <v>53409136.120000087</v>
      </c>
      <c r="G42" s="45">
        <v>56263668.22000023</v>
      </c>
      <c r="H42" s="45">
        <v>59118200.320000142</v>
      </c>
      <c r="I42" s="45">
        <v>61972732.420000054</v>
      </c>
      <c r="J42" s="45">
        <v>64827264.520000197</v>
      </c>
      <c r="K42" s="45">
        <v>67681796.620000109</v>
      </c>
      <c r="L42" s="45">
        <v>70536328.720000029</v>
      </c>
      <c r="M42" s="45">
        <v>73390860.820000172</v>
      </c>
      <c r="N42" s="45">
        <v>76245392.920000091</v>
      </c>
    </row>
    <row r="43" spans="1:14" hidden="1">
      <c r="A43" s="40" t="s">
        <v>1119</v>
      </c>
      <c r="B43" s="660"/>
      <c r="C43" s="45">
        <f t="shared" ref="C43:N43" si="2">SUM(C34:C42)</f>
        <v>281591845.21000016</v>
      </c>
      <c r="D43" s="45">
        <f t="shared" si="2"/>
        <v>295206869.51000011</v>
      </c>
      <c r="E43" s="45">
        <f t="shared" si="2"/>
        <v>308821893.81000042</v>
      </c>
      <c r="F43" s="45">
        <f t="shared" si="2"/>
        <v>322436918.11000025</v>
      </c>
      <c r="G43" s="45">
        <f t="shared" si="2"/>
        <v>336051942.41000021</v>
      </c>
      <c r="H43" s="45">
        <f t="shared" si="2"/>
        <v>349666966.71000016</v>
      </c>
      <c r="I43" s="45">
        <f t="shared" si="2"/>
        <v>363281991.01000011</v>
      </c>
      <c r="J43" s="45">
        <f t="shared" si="2"/>
        <v>376897015.31000042</v>
      </c>
      <c r="K43" s="45">
        <f t="shared" si="2"/>
        <v>390512039.61000031</v>
      </c>
      <c r="L43" s="45">
        <f t="shared" si="2"/>
        <v>404127063.91000021</v>
      </c>
      <c r="M43" s="45">
        <f t="shared" si="2"/>
        <v>417742088.21000046</v>
      </c>
      <c r="N43" s="45">
        <f t="shared" si="2"/>
        <v>431357112.51000011</v>
      </c>
    </row>
    <row r="44" spans="1:14" hidden="1">
      <c r="A44" s="660"/>
      <c r="B44" s="660"/>
      <c r="C44" s="660"/>
      <c r="D44" s="660"/>
      <c r="E44" s="660"/>
      <c r="F44" s="660"/>
      <c r="G44" s="660"/>
      <c r="H44" s="660"/>
      <c r="I44" s="660"/>
      <c r="J44" s="660"/>
      <c r="K44" s="660"/>
      <c r="L44" s="660"/>
      <c r="M44" s="660"/>
      <c r="N44" s="660"/>
    </row>
    <row r="45" spans="1:14" hidden="1">
      <c r="A45" s="660" t="s">
        <v>1687</v>
      </c>
      <c r="B45" s="660"/>
      <c r="C45" s="660"/>
      <c r="D45" s="660"/>
      <c r="E45" s="660"/>
      <c r="F45" s="660"/>
      <c r="G45" s="660"/>
      <c r="H45" s="660"/>
      <c r="I45" s="660"/>
      <c r="J45" s="660"/>
      <c r="K45" s="660"/>
      <c r="L45" s="660"/>
      <c r="M45" s="660"/>
      <c r="N45" s="660"/>
    </row>
    <row r="46" spans="1:14" hidden="1">
      <c r="A46" s="660"/>
      <c r="B46" s="660"/>
      <c r="C46" s="660"/>
      <c r="D46" s="660"/>
      <c r="E46" s="660"/>
      <c r="F46" s="660"/>
      <c r="G46" s="660"/>
      <c r="H46" s="660"/>
      <c r="I46" s="660"/>
      <c r="J46" s="660"/>
      <c r="K46" s="660"/>
      <c r="L46" s="660"/>
      <c r="M46" s="660"/>
      <c r="N46" s="660"/>
    </row>
    <row r="47" spans="1:14" hidden="1">
      <c r="A47" s="660"/>
      <c r="B47" s="660"/>
      <c r="C47" s="660"/>
      <c r="D47" s="660"/>
      <c r="E47" s="660"/>
      <c r="F47" s="660"/>
      <c r="G47" s="660"/>
      <c r="H47" s="660"/>
      <c r="I47" s="660"/>
      <c r="J47" s="660"/>
      <c r="K47" s="660"/>
      <c r="L47" s="660"/>
      <c r="M47" s="660"/>
      <c r="N47" s="660"/>
    </row>
    <row r="48" spans="1:14" hidden="1">
      <c r="A48" s="660"/>
      <c r="B48" s="660"/>
      <c r="C48" s="660"/>
      <c r="D48" s="660"/>
      <c r="E48" s="660"/>
      <c r="F48" s="660"/>
      <c r="G48" s="660"/>
      <c r="H48" s="660"/>
      <c r="I48" s="660"/>
      <c r="J48" s="660"/>
      <c r="K48" s="660"/>
      <c r="L48" s="660"/>
      <c r="M48" s="660"/>
      <c r="N48" s="660"/>
    </row>
    <row r="49" spans="1:18" hidden="1">
      <c r="A49" s="660"/>
      <c r="B49" s="660"/>
      <c r="C49" s="660"/>
      <c r="D49" s="40"/>
      <c r="E49" s="660"/>
      <c r="F49" s="660"/>
      <c r="G49" s="660"/>
      <c r="H49" s="660"/>
      <c r="I49" s="660"/>
      <c r="J49" s="660"/>
      <c r="K49" s="660"/>
      <c r="L49" s="660"/>
      <c r="M49" s="660"/>
      <c r="N49" s="660"/>
      <c r="O49" s="660"/>
      <c r="P49" s="660"/>
      <c r="Q49" s="660"/>
      <c r="R49" s="660"/>
    </row>
    <row r="50" spans="1:18" hidden="1">
      <c r="A50" s="660"/>
      <c r="B50" s="660"/>
      <c r="C50" s="660"/>
      <c r="D50" s="660"/>
      <c r="E50" s="660"/>
      <c r="F50" s="660"/>
      <c r="G50" s="660"/>
      <c r="H50" s="660"/>
      <c r="I50" s="660"/>
      <c r="J50" s="660"/>
      <c r="K50" s="660"/>
      <c r="L50" s="660"/>
      <c r="M50" s="660"/>
      <c r="N50" s="660"/>
      <c r="O50" s="660"/>
      <c r="P50" s="660"/>
      <c r="Q50" s="660"/>
      <c r="R50" s="660"/>
    </row>
    <row r="51" spans="1:18">
      <c r="A51" s="651" t="s">
        <v>1688</v>
      </c>
      <c r="B51" s="651"/>
      <c r="C51" s="651"/>
      <c r="D51" s="651"/>
      <c r="E51" s="651"/>
      <c r="F51" s="651"/>
      <c r="G51" s="651"/>
      <c r="H51" s="651"/>
      <c r="I51" s="651"/>
      <c r="J51" s="651"/>
      <c r="K51" s="651"/>
      <c r="L51" s="651"/>
      <c r="M51" s="651"/>
      <c r="N51" s="651"/>
      <c r="O51" s="651"/>
      <c r="P51" s="651"/>
      <c r="Q51" s="651"/>
      <c r="R51" s="651"/>
    </row>
    <row r="52" spans="1:18" ht="13">
      <c r="A52" s="190"/>
      <c r="B52" s="191">
        <v>1990</v>
      </c>
      <c r="C52" s="191">
        <v>2000</v>
      </c>
      <c r="D52" s="191">
        <v>2005</v>
      </c>
      <c r="E52" s="191">
        <v>2010</v>
      </c>
      <c r="F52" s="191">
        <v>2015</v>
      </c>
      <c r="G52" s="191">
        <v>2020</v>
      </c>
      <c r="H52" s="191">
        <v>2030</v>
      </c>
      <c r="I52" s="191">
        <v>2040</v>
      </c>
      <c r="J52" s="651"/>
      <c r="K52" s="651"/>
      <c r="L52" s="651"/>
      <c r="M52" s="651"/>
      <c r="N52" s="651"/>
      <c r="O52" s="651"/>
      <c r="P52" s="651"/>
      <c r="Q52" s="651"/>
      <c r="R52" s="651"/>
    </row>
    <row r="53" spans="1:18">
      <c r="A53" s="651" t="s">
        <v>622</v>
      </c>
      <c r="B53" s="651">
        <f>SUM(B54:B58)</f>
        <v>7322564</v>
      </c>
      <c r="C53" s="192">
        <f>SUM(C54:C58)</f>
        <v>8008278</v>
      </c>
      <c r="D53" s="651">
        <v>8206135</v>
      </c>
      <c r="E53" s="192">
        <v>8242624</v>
      </c>
      <c r="F53" s="651">
        <f>SUM(F54:F58)</f>
        <v>8550405</v>
      </c>
      <c r="G53" s="192">
        <v>8550971</v>
      </c>
      <c r="H53" s="192">
        <v>8821027</v>
      </c>
      <c r="I53" s="192">
        <v>9025145</v>
      </c>
      <c r="J53" s="651"/>
      <c r="K53" s="651"/>
      <c r="L53" s="651"/>
      <c r="M53" s="651"/>
      <c r="N53" s="651"/>
      <c r="O53" s="651"/>
      <c r="P53" s="651"/>
      <c r="Q53" s="651"/>
      <c r="R53" s="651"/>
    </row>
    <row r="54" spans="1:18">
      <c r="A54" s="651" t="s">
        <v>618</v>
      </c>
      <c r="B54" s="651">
        <v>1203789</v>
      </c>
      <c r="C54" s="192">
        <v>1332650</v>
      </c>
      <c r="D54" s="192">
        <v>1366086</v>
      </c>
      <c r="E54" s="192">
        <v>1385108</v>
      </c>
      <c r="F54" s="192">
        <v>1455444</v>
      </c>
      <c r="G54" s="192">
        <v>1446788</v>
      </c>
      <c r="H54" s="192">
        <v>1518998</v>
      </c>
      <c r="I54" s="192">
        <v>1579245</v>
      </c>
      <c r="J54" s="651"/>
      <c r="K54" s="651"/>
      <c r="L54" s="651"/>
      <c r="M54" s="651"/>
      <c r="N54" s="651"/>
      <c r="O54" s="651"/>
      <c r="P54" s="651"/>
      <c r="Q54" s="651"/>
      <c r="R54" s="651"/>
    </row>
    <row r="55" spans="1:18">
      <c r="A55" s="651" t="s">
        <v>617</v>
      </c>
      <c r="B55" s="651">
        <v>2300664</v>
      </c>
      <c r="C55" s="192">
        <v>2465326</v>
      </c>
      <c r="D55" s="192">
        <v>2517052</v>
      </c>
      <c r="E55" s="192">
        <v>2552911</v>
      </c>
      <c r="F55" s="192">
        <v>2636735</v>
      </c>
      <c r="G55" s="192">
        <v>2648452</v>
      </c>
      <c r="H55" s="192">
        <v>2754009</v>
      </c>
      <c r="I55" s="192">
        <v>2840525</v>
      </c>
      <c r="J55" s="651"/>
      <c r="K55" s="651"/>
      <c r="L55" s="651"/>
      <c r="M55" s="651"/>
      <c r="N55" s="651"/>
      <c r="O55" s="651"/>
      <c r="P55" s="651"/>
      <c r="Q55" s="651"/>
      <c r="R55" s="651"/>
    </row>
    <row r="56" spans="1:18">
      <c r="A56" s="651" t="s">
        <v>619</v>
      </c>
      <c r="B56" s="651">
        <v>1487536</v>
      </c>
      <c r="C56" s="192">
        <v>1537195</v>
      </c>
      <c r="D56" s="192">
        <v>1600110</v>
      </c>
      <c r="E56" s="192">
        <v>1585873</v>
      </c>
      <c r="F56" s="192">
        <v>1644518</v>
      </c>
      <c r="G56" s="192">
        <v>1638281</v>
      </c>
      <c r="H56" s="192">
        <v>1676720</v>
      </c>
      <c r="I56" s="192">
        <v>1691617</v>
      </c>
      <c r="J56" s="651"/>
      <c r="K56" s="651"/>
      <c r="L56" s="651"/>
      <c r="M56" s="651"/>
      <c r="N56" s="651"/>
      <c r="O56" s="651"/>
      <c r="P56" s="651"/>
      <c r="Q56" s="651"/>
      <c r="R56" s="651"/>
    </row>
    <row r="57" spans="1:18">
      <c r="A57" s="651" t="s">
        <v>620</v>
      </c>
      <c r="B57" s="651">
        <v>1951598</v>
      </c>
      <c r="C57" s="192">
        <v>2229379</v>
      </c>
      <c r="D57" s="192">
        <v>2254639</v>
      </c>
      <c r="E57" s="192">
        <v>2250002</v>
      </c>
      <c r="F57" s="192">
        <v>2339150</v>
      </c>
      <c r="G57" s="192">
        <v>2330295</v>
      </c>
      <c r="H57" s="192">
        <v>2373551</v>
      </c>
      <c r="I57" s="192">
        <v>2412649</v>
      </c>
      <c r="J57" s="651"/>
      <c r="K57" s="651"/>
      <c r="L57" s="651"/>
      <c r="M57" s="651"/>
      <c r="N57" s="651"/>
      <c r="O57" s="651"/>
      <c r="P57" s="651"/>
      <c r="Q57" s="651"/>
      <c r="R57" s="651"/>
    </row>
    <row r="58" spans="1:18">
      <c r="A58" s="651" t="s">
        <v>621</v>
      </c>
      <c r="B58" s="651">
        <v>378977</v>
      </c>
      <c r="C58" s="192">
        <v>443728</v>
      </c>
      <c r="D58" s="192">
        <v>468248</v>
      </c>
      <c r="E58" s="192">
        <v>468730</v>
      </c>
      <c r="F58" s="192">
        <v>474558</v>
      </c>
      <c r="G58" s="192">
        <v>487155</v>
      </c>
      <c r="H58" s="192">
        <v>497749</v>
      </c>
      <c r="I58" s="192">
        <v>501109</v>
      </c>
      <c r="J58" s="651"/>
      <c r="K58" s="651"/>
      <c r="L58" s="651"/>
      <c r="M58" s="651"/>
      <c r="N58" s="651"/>
      <c r="O58" s="651"/>
      <c r="P58" s="651"/>
      <c r="Q58" s="651"/>
      <c r="R58" s="651"/>
    </row>
    <row r="59" spans="1:18">
      <c r="A59" s="651"/>
      <c r="B59" s="651"/>
      <c r="C59" s="651"/>
      <c r="D59" s="651"/>
      <c r="E59" s="651"/>
      <c r="F59" s="651"/>
      <c r="G59" s="651"/>
      <c r="H59" s="651"/>
      <c r="I59" s="651"/>
      <c r="J59" s="651"/>
      <c r="K59" s="651"/>
      <c r="L59" s="651"/>
      <c r="M59" s="651"/>
      <c r="N59" s="651"/>
      <c r="O59" s="651"/>
      <c r="P59" s="651"/>
      <c r="Q59" s="651"/>
      <c r="R59" s="651"/>
    </row>
    <row r="60" spans="1:18" ht="13">
      <c r="A60" s="190"/>
      <c r="B60" s="191">
        <v>1990</v>
      </c>
      <c r="C60" s="191">
        <v>2000</v>
      </c>
      <c r="D60" s="191">
        <v>2005</v>
      </c>
      <c r="E60" s="191">
        <v>2010</v>
      </c>
      <c r="F60" s="191">
        <v>2015</v>
      </c>
      <c r="G60" s="191">
        <v>2020</v>
      </c>
      <c r="H60" s="191">
        <v>2025</v>
      </c>
      <c r="I60" s="191">
        <v>2030</v>
      </c>
      <c r="J60" s="191">
        <v>2035</v>
      </c>
      <c r="K60" s="191">
        <v>2040</v>
      </c>
      <c r="L60" s="191">
        <v>2045</v>
      </c>
      <c r="M60" s="191">
        <v>2050</v>
      </c>
      <c r="N60" s="191">
        <v>2055</v>
      </c>
      <c r="O60" s="193"/>
      <c r="P60" s="193"/>
      <c r="Q60" s="193"/>
      <c r="R60" s="651"/>
    </row>
    <row r="61" spans="1:18" ht="13">
      <c r="A61" s="651" t="s">
        <v>622</v>
      </c>
      <c r="B61" s="651">
        <f>SUM(B62:B66)</f>
        <v>7322564</v>
      </c>
      <c r="C61" s="192">
        <f>SUM(C62:C66)</f>
        <v>8008278</v>
      </c>
      <c r="D61" s="651">
        <v>8206135</v>
      </c>
      <c r="E61" s="192">
        <v>8242624</v>
      </c>
      <c r="F61" s="651">
        <f>SUM(F62:F66)</f>
        <v>8550405</v>
      </c>
      <c r="G61" s="192">
        <v>8550971</v>
      </c>
      <c r="H61" s="194">
        <f>(G61+I61)/2</f>
        <v>8685999</v>
      </c>
      <c r="I61" s="192">
        <v>8821027</v>
      </c>
      <c r="J61" s="194">
        <f>(I61+K61)/2</f>
        <v>8923086</v>
      </c>
      <c r="K61" s="192">
        <v>9025145</v>
      </c>
      <c r="L61" s="195">
        <f>P61+R61*L$60</f>
        <v>9292840.212121211</v>
      </c>
      <c r="M61" s="651">
        <f>M$60*R61+P61</f>
        <v>9446271.7857142836</v>
      </c>
      <c r="N61" s="195">
        <f>P61+N$60*R61</f>
        <v>9599703.3593073562</v>
      </c>
      <c r="O61" s="196" t="s">
        <v>1689</v>
      </c>
      <c r="P61" s="197">
        <f>INTERCEPT(B61:K61,B60:K60)</f>
        <v>-53460673.387445904</v>
      </c>
      <c r="Q61" s="196" t="s">
        <v>1690</v>
      </c>
      <c r="R61" s="197">
        <f>SLOPE(B61:K61,B60:K60)</f>
        <v>30686.314718614725</v>
      </c>
    </row>
    <row r="62" spans="1:18" ht="13">
      <c r="A62" s="651" t="s">
        <v>618</v>
      </c>
      <c r="B62" s="651">
        <v>1203789</v>
      </c>
      <c r="C62" s="192">
        <v>1332650</v>
      </c>
      <c r="D62" s="192">
        <v>1366086</v>
      </c>
      <c r="E62" s="192">
        <v>1385108</v>
      </c>
      <c r="F62" s="192">
        <v>1455444</v>
      </c>
      <c r="G62" s="192">
        <v>1446788</v>
      </c>
      <c r="H62" s="194">
        <f t="shared" ref="H62:H66" si="3">(G62+I62)/2</f>
        <v>1482893</v>
      </c>
      <c r="I62" s="192">
        <v>1518998</v>
      </c>
      <c r="J62" s="194">
        <f t="shared" ref="J62:J66" si="4">(I62+K62)/2</f>
        <v>1549121.5</v>
      </c>
      <c r="K62" s="192">
        <v>1579245</v>
      </c>
      <c r="L62" s="195">
        <f t="shared" ref="L62:L66" si="5">P62+R62*L$60</f>
        <v>1625954.9772727266</v>
      </c>
      <c r="M62" s="651">
        <f t="shared" ref="M62:M66" si="6">M$60*R62+P62</f>
        <v>1660587.6071428563</v>
      </c>
      <c r="N62" s="195">
        <f t="shared" ref="N62:N66" si="7">P62+N$60*R62</f>
        <v>1695220.2370129861</v>
      </c>
      <c r="O62" s="196" t="s">
        <v>1689</v>
      </c>
      <c r="P62" s="197">
        <f>INTERCEPT(B62:K62,B60:K60)</f>
        <v>-12538790.639610391</v>
      </c>
      <c r="Q62" s="196" t="s">
        <v>1690</v>
      </c>
      <c r="R62" s="197">
        <f>SLOPE(B62:K62,B60:K60)</f>
        <v>6926.5259740259744</v>
      </c>
    </row>
    <row r="63" spans="1:18" ht="13">
      <c r="A63" s="651" t="s">
        <v>617</v>
      </c>
      <c r="B63" s="651">
        <v>2300664</v>
      </c>
      <c r="C63" s="192">
        <v>2465326</v>
      </c>
      <c r="D63" s="192">
        <v>2517052</v>
      </c>
      <c r="E63" s="192">
        <v>2552911</v>
      </c>
      <c r="F63" s="192">
        <v>2636735</v>
      </c>
      <c r="G63" s="192">
        <v>2648452</v>
      </c>
      <c r="H63" s="194">
        <f t="shared" si="3"/>
        <v>2701230.5</v>
      </c>
      <c r="I63" s="192">
        <v>2754009</v>
      </c>
      <c r="J63" s="194">
        <f t="shared" si="4"/>
        <v>2797267</v>
      </c>
      <c r="K63" s="192">
        <v>2840525</v>
      </c>
      <c r="L63" s="195">
        <f t="shared" si="5"/>
        <v>2908244.5075757541</v>
      </c>
      <c r="M63" s="651">
        <f t="shared" si="6"/>
        <v>2959463.6785714254</v>
      </c>
      <c r="N63" s="195">
        <f t="shared" si="7"/>
        <v>3010682.8495670967</v>
      </c>
      <c r="O63" s="196" t="s">
        <v>1689</v>
      </c>
      <c r="P63" s="197">
        <f>INTERCEPT(B63:K63,B60:K60)</f>
        <v>-18040396.429653682</v>
      </c>
      <c r="Q63" s="196" t="s">
        <v>1690</v>
      </c>
      <c r="R63" s="197">
        <f>SLOPE(B63:K63,B60:K60)</f>
        <v>10243.834199134199</v>
      </c>
    </row>
    <row r="64" spans="1:18" ht="13">
      <c r="A64" s="651" t="s">
        <v>619</v>
      </c>
      <c r="B64" s="651">
        <v>1487536</v>
      </c>
      <c r="C64" s="192">
        <v>1537195</v>
      </c>
      <c r="D64" s="192">
        <v>1600110</v>
      </c>
      <c r="E64" s="192">
        <v>1585873</v>
      </c>
      <c r="F64" s="192">
        <v>1644518</v>
      </c>
      <c r="G64" s="192">
        <v>1638281</v>
      </c>
      <c r="H64" s="194">
        <f t="shared" si="3"/>
        <v>1657500.5</v>
      </c>
      <c r="I64" s="192">
        <v>1676720</v>
      </c>
      <c r="J64" s="194">
        <f t="shared" si="4"/>
        <v>1684168.5</v>
      </c>
      <c r="K64" s="192">
        <v>1691617</v>
      </c>
      <c r="L64" s="195">
        <f t="shared" si="5"/>
        <v>1733166.166666667</v>
      </c>
      <c r="M64" s="651">
        <f t="shared" si="6"/>
        <v>1753311.5714285718</v>
      </c>
      <c r="N64" s="195">
        <f t="shared" si="7"/>
        <v>1773456.9761904767</v>
      </c>
      <c r="O64" s="196" t="s">
        <v>1689</v>
      </c>
      <c r="P64" s="197">
        <f>INTERCEPT(B64:K64,B60:K60)</f>
        <v>-6506304.3809523787</v>
      </c>
      <c r="Q64" s="196" t="s">
        <v>1690</v>
      </c>
      <c r="R64" s="197">
        <f>SLOPE(B64:K64,B60:K60)</f>
        <v>4029.0809523809517</v>
      </c>
    </row>
    <row r="65" spans="1:18" ht="13">
      <c r="A65" s="651" t="s">
        <v>620</v>
      </c>
      <c r="B65" s="651">
        <v>1951598</v>
      </c>
      <c r="C65" s="192">
        <v>2229379</v>
      </c>
      <c r="D65" s="192">
        <v>2254639</v>
      </c>
      <c r="E65" s="192">
        <v>2250002</v>
      </c>
      <c r="F65" s="192">
        <v>2339150</v>
      </c>
      <c r="G65" s="192">
        <v>2330295</v>
      </c>
      <c r="H65" s="194">
        <f t="shared" si="3"/>
        <v>2351923</v>
      </c>
      <c r="I65" s="192">
        <v>2373551</v>
      </c>
      <c r="J65" s="194">
        <f t="shared" si="4"/>
        <v>2393100</v>
      </c>
      <c r="K65" s="192">
        <v>2412649</v>
      </c>
      <c r="L65" s="195">
        <f t="shared" si="5"/>
        <v>2496538.7575757559</v>
      </c>
      <c r="M65" s="651">
        <f t="shared" si="6"/>
        <v>2533665.5714285709</v>
      </c>
      <c r="N65" s="195">
        <f t="shared" si="7"/>
        <v>2570792.385281384</v>
      </c>
      <c r="O65" s="196" t="s">
        <v>1689</v>
      </c>
      <c r="P65" s="197">
        <f>INTERCEPT(B65:K65,B60:K60)</f>
        <v>-12688328.108225113</v>
      </c>
      <c r="Q65" s="196" t="s">
        <v>1690</v>
      </c>
      <c r="R65" s="197">
        <f>SLOPE(B65:K65,B60:K60)</f>
        <v>7425.3627705627723</v>
      </c>
    </row>
    <row r="66" spans="1:18" ht="13">
      <c r="A66" s="651" t="s">
        <v>621</v>
      </c>
      <c r="B66" s="651">
        <v>378977</v>
      </c>
      <c r="C66" s="192">
        <v>443728</v>
      </c>
      <c r="D66" s="192">
        <v>468248</v>
      </c>
      <c r="E66" s="192">
        <v>468730</v>
      </c>
      <c r="F66" s="192">
        <v>474558</v>
      </c>
      <c r="G66" s="192">
        <v>487155</v>
      </c>
      <c r="H66" s="194">
        <f t="shared" si="3"/>
        <v>492452</v>
      </c>
      <c r="I66" s="192">
        <v>497749</v>
      </c>
      <c r="J66" s="194">
        <f t="shared" si="4"/>
        <v>499429</v>
      </c>
      <c r="K66" s="192">
        <v>501109</v>
      </c>
      <c r="L66" s="195">
        <f t="shared" si="5"/>
        <v>528935.80303030275</v>
      </c>
      <c r="M66" s="651">
        <f t="shared" si="6"/>
        <v>539243.35714285728</v>
      </c>
      <c r="N66" s="195">
        <f t="shared" si="7"/>
        <v>549550.9112554118</v>
      </c>
      <c r="O66" s="196" t="s">
        <v>1689</v>
      </c>
      <c r="P66" s="197">
        <f>INTERCEPT(B66:K66,B60:K60)</f>
        <v>-3686853.8290043287</v>
      </c>
      <c r="Q66" s="196" t="s">
        <v>1690</v>
      </c>
      <c r="R66" s="197">
        <f>SLOPE(B66:K66,B60:K60)</f>
        <v>2061.5108225108224</v>
      </c>
    </row>
  </sheetData>
  <mergeCells count="3">
    <mergeCell ref="A20:B20"/>
    <mergeCell ref="A33:B33"/>
    <mergeCell ref="A3:B3"/>
  </mergeCells>
  <phoneticPr fontId="14" type="noConversion"/>
  <pageMargins left="0.75" right="0.75" top="0.5" bottom="0.5" header="0.5" footer="0.5"/>
  <pageSetup scale="39" orientation="landscape" r:id="rId1"/>
  <headerFooter alignWithMargins="0"/>
  <drawing r:id="rId2"/>
  <legacyDrawing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62"/>
  <sheetViews>
    <sheetView topLeftCell="B1" workbookViewId="0">
      <selection activeCell="C33" sqref="C33"/>
    </sheetView>
  </sheetViews>
  <sheetFormatPr defaultColWidth="23.453125" defaultRowHeight="14"/>
  <cols>
    <col min="1" max="1" width="63.54296875" style="90" bestFit="1" customWidth="1"/>
    <col min="2" max="2" width="11" style="90" customWidth="1"/>
    <col min="3" max="3" width="13.26953125" style="90" hidden="1" customWidth="1"/>
    <col min="4" max="4" width="9" style="90" hidden="1" customWidth="1"/>
    <col min="5" max="5" width="15.26953125" style="90" hidden="1" customWidth="1"/>
    <col min="6" max="6" width="13.26953125" style="90" hidden="1" customWidth="1"/>
    <col min="7" max="7" width="8" style="90" hidden="1" customWidth="1"/>
    <col min="8" max="8" width="15.26953125" style="90" hidden="1" customWidth="1"/>
    <col min="9" max="9" width="13.26953125" style="90" customWidth="1"/>
    <col min="10" max="10" width="9" style="90" bestFit="1" customWidth="1"/>
    <col min="11" max="11" width="15.26953125" style="90" bestFit="1" customWidth="1"/>
    <col min="12" max="12" width="14.26953125" style="384" bestFit="1" customWidth="1"/>
    <col min="13" max="13" width="10.26953125" style="90" customWidth="1"/>
    <col min="14" max="14" width="16.54296875" style="90" customWidth="1"/>
    <col min="15" max="15" width="13.54296875" style="90" customWidth="1"/>
    <col min="16" max="16" width="23.453125" style="90"/>
    <col min="17" max="17" width="10" style="90" customWidth="1"/>
    <col min="18" max="16384" width="23.453125" style="90"/>
  </cols>
  <sheetData>
    <row r="1" spans="1:17" ht="15.75" customHeight="1">
      <c r="A1" s="700"/>
      <c r="B1" s="700"/>
      <c r="C1" s="701" t="s">
        <v>1691</v>
      </c>
      <c r="D1" s="701"/>
      <c r="E1" s="701"/>
      <c r="F1" s="701" t="s">
        <v>1692</v>
      </c>
      <c r="G1" s="701"/>
      <c r="H1" s="701"/>
      <c r="I1" s="701" t="s">
        <v>1693</v>
      </c>
      <c r="J1" s="701"/>
      <c r="K1" s="701"/>
      <c r="L1" s="383">
        <f>1.05505585262*10^-6</f>
        <v>1.05505585262E-6</v>
      </c>
      <c r="M1" s="651"/>
      <c r="N1" s="651"/>
      <c r="O1" s="520" t="s">
        <v>1694</v>
      </c>
      <c r="P1" s="522" t="s">
        <v>1695</v>
      </c>
      <c r="Q1" s="520"/>
    </row>
    <row r="2" spans="1:17" ht="15" customHeight="1">
      <c r="A2" s="698" t="s">
        <v>1696</v>
      </c>
      <c r="B2" s="698"/>
      <c r="C2" s="698"/>
      <c r="D2" s="698"/>
      <c r="E2" s="698"/>
      <c r="F2" s="698"/>
      <c r="G2" s="698"/>
      <c r="H2" s="698"/>
      <c r="I2" s="698"/>
      <c r="J2" s="698"/>
      <c r="K2" s="698"/>
      <c r="M2" s="651"/>
      <c r="N2" s="651"/>
      <c r="O2" s="651"/>
      <c r="P2" s="651"/>
      <c r="Q2" s="651"/>
    </row>
    <row r="3" spans="1:17" ht="15.75" customHeight="1">
      <c r="A3" s="385" t="s">
        <v>1697</v>
      </c>
      <c r="B3" s="385"/>
      <c r="C3" s="385"/>
      <c r="D3" s="385"/>
      <c r="E3" s="385"/>
      <c r="F3" s="385"/>
      <c r="G3" s="385"/>
      <c r="H3" s="385"/>
      <c r="I3" s="385" t="s">
        <v>1440</v>
      </c>
      <c r="J3" s="385" t="s">
        <v>1698</v>
      </c>
      <c r="K3" s="385" t="s">
        <v>1699</v>
      </c>
      <c r="L3" s="386" t="s">
        <v>1700</v>
      </c>
      <c r="M3" s="651"/>
      <c r="N3" s="385" t="s">
        <v>1440</v>
      </c>
      <c r="O3" s="385" t="s">
        <v>1698</v>
      </c>
      <c r="P3" s="385" t="s">
        <v>1699</v>
      </c>
      <c r="Q3" s="651"/>
    </row>
    <row r="4" spans="1:17">
      <c r="A4" s="658" t="s">
        <v>1701</v>
      </c>
      <c r="B4" s="658" t="s">
        <v>1442</v>
      </c>
      <c r="C4" s="658">
        <v>498239306</v>
      </c>
      <c r="D4" s="658">
        <v>1354474</v>
      </c>
      <c r="E4" s="658">
        <v>18384023.219999999</v>
      </c>
      <c r="F4" s="658">
        <v>491812064</v>
      </c>
      <c r="G4" s="658">
        <v>1337001</v>
      </c>
      <c r="H4" s="658">
        <v>18146870.989999998</v>
      </c>
      <c r="I4" s="658">
        <v>507050151</v>
      </c>
      <c r="J4" s="658">
        <v>1378426</v>
      </c>
      <c r="K4" s="658">
        <v>18709125.579999998</v>
      </c>
      <c r="L4" s="387">
        <f>K4*L$1</f>
        <v>19.739172440581548</v>
      </c>
      <c r="M4" s="651"/>
      <c r="N4" s="387">
        <v>515783660.89999998</v>
      </c>
      <c r="O4" s="387">
        <v>1402475.3019999999</v>
      </c>
      <c r="P4" s="387">
        <v>19033904.489999998</v>
      </c>
      <c r="Q4" s="387">
        <f>P4*L$1</f>
        <v>20.081832330384593</v>
      </c>
    </row>
    <row r="5" spans="1:17">
      <c r="A5" s="658" t="s">
        <v>1702</v>
      </c>
      <c r="B5" s="658" t="s">
        <v>1442</v>
      </c>
      <c r="C5" s="658">
        <v>267675096</v>
      </c>
      <c r="D5" s="658">
        <v>779887</v>
      </c>
      <c r="E5" s="658">
        <v>10430946.82</v>
      </c>
      <c r="F5" s="658">
        <v>237973212</v>
      </c>
      <c r="G5" s="658">
        <v>693349</v>
      </c>
      <c r="H5" s="658">
        <v>9273503.4299999997</v>
      </c>
      <c r="I5" s="658">
        <v>260158943</v>
      </c>
      <c r="J5" s="658">
        <v>757988</v>
      </c>
      <c r="K5" s="658">
        <v>10138052.199999999</v>
      </c>
      <c r="L5" s="387">
        <f t="shared" ref="L5:L60" si="0">K5*L$1</f>
        <v>10.696211307777066</v>
      </c>
      <c r="M5" s="651"/>
      <c r="N5" s="387">
        <v>216097053.5</v>
      </c>
      <c r="O5" s="387">
        <v>629741.05449999997</v>
      </c>
      <c r="P5" s="387">
        <v>8422137.7670000009</v>
      </c>
      <c r="Q5" s="387">
        <f t="shared" ref="Q5:Q7" si="1">P5*L$1</f>
        <v>8.885825742645288</v>
      </c>
    </row>
    <row r="6" spans="1:17">
      <c r="A6" s="658" t="s">
        <v>1703</v>
      </c>
      <c r="B6" s="658" t="s">
        <v>1442</v>
      </c>
      <c r="C6" s="658">
        <v>738901866</v>
      </c>
      <c r="D6" s="658">
        <v>2217745</v>
      </c>
      <c r="E6" s="658">
        <v>29648234.550000001</v>
      </c>
      <c r="F6" s="658">
        <v>346561003</v>
      </c>
      <c r="G6" s="658">
        <v>1040171</v>
      </c>
      <c r="H6" s="658">
        <v>13905665.1</v>
      </c>
      <c r="I6" s="658">
        <v>201715682</v>
      </c>
      <c r="J6" s="658">
        <v>605431</v>
      </c>
      <c r="K6" s="658">
        <v>8093786.3700000001</v>
      </c>
      <c r="L6" s="387">
        <f t="shared" si="0"/>
        <v>8.5393966795244847</v>
      </c>
      <c r="M6" s="651"/>
      <c r="N6" s="387">
        <v>0</v>
      </c>
      <c r="O6" s="387">
        <v>0</v>
      </c>
      <c r="P6" s="387">
        <v>0</v>
      </c>
      <c r="Q6" s="387">
        <f t="shared" si="1"/>
        <v>0</v>
      </c>
    </row>
    <row r="7" spans="1:17">
      <c r="A7" s="658" t="s">
        <v>1490</v>
      </c>
      <c r="B7" s="658" t="s">
        <v>1442</v>
      </c>
      <c r="C7" s="658">
        <v>197098</v>
      </c>
      <c r="D7" s="388">
        <v>0</v>
      </c>
      <c r="E7" s="658">
        <v>6728.79</v>
      </c>
      <c r="F7" s="658">
        <v>39461668</v>
      </c>
      <c r="G7" s="388">
        <v>80</v>
      </c>
      <c r="H7" s="658">
        <v>1347195.76</v>
      </c>
      <c r="I7" s="658">
        <v>31639191</v>
      </c>
      <c r="J7" s="388">
        <v>64</v>
      </c>
      <c r="K7" s="658">
        <v>1080141.47</v>
      </c>
      <c r="L7" s="387">
        <f t="shared" si="0"/>
        <v>1.1396095795810701</v>
      </c>
      <c r="M7" s="651"/>
      <c r="N7" s="387">
        <v>61123133.82</v>
      </c>
      <c r="O7" s="387">
        <v>106.0859397</v>
      </c>
      <c r="P7" s="387">
        <v>2086981.5419999999</v>
      </c>
      <c r="Q7" s="387">
        <f t="shared" si="1"/>
        <v>2.201882090197012</v>
      </c>
    </row>
    <row r="8" spans="1:17">
      <c r="A8" s="658" t="s">
        <v>1284</v>
      </c>
      <c r="B8" s="658" t="s">
        <v>1704</v>
      </c>
      <c r="C8" s="658">
        <v>14168364734</v>
      </c>
      <c r="D8" s="658">
        <v>5860795</v>
      </c>
      <c r="E8" s="658">
        <v>142251024.18000001</v>
      </c>
      <c r="F8" s="658">
        <v>15653318348</v>
      </c>
      <c r="G8" s="658">
        <v>4623479</v>
      </c>
      <c r="H8" s="658">
        <v>137096240.02000001</v>
      </c>
      <c r="I8" s="658">
        <v>15164274320</v>
      </c>
      <c r="J8" s="658">
        <v>4439199</v>
      </c>
      <c r="K8" s="658">
        <v>132250770.44</v>
      </c>
      <c r="L8" s="387">
        <f>K8*L$1</f>
        <v>139.53194936622609</v>
      </c>
      <c r="M8" s="651"/>
      <c r="N8" s="387">
        <v>15414984038</v>
      </c>
      <c r="O8" s="387">
        <v>4455164.92</v>
      </c>
      <c r="P8" s="521">
        <v>52595925.539999999</v>
      </c>
      <c r="Q8" s="521">
        <f>P8*L$1</f>
        <v>55.491639064942731</v>
      </c>
    </row>
    <row r="9" spans="1:17">
      <c r="A9" s="658" t="s">
        <v>1705</v>
      </c>
      <c r="B9" s="658" t="s">
        <v>1445</v>
      </c>
      <c r="C9" s="658">
        <v>180307273</v>
      </c>
      <c r="D9" s="658">
        <v>9089420</v>
      </c>
      <c r="E9" s="658">
        <v>179443211.69</v>
      </c>
      <c r="F9" s="658">
        <v>176778626</v>
      </c>
      <c r="G9" s="658">
        <v>8911539</v>
      </c>
      <c r="H9" s="658">
        <v>175931474.55000001</v>
      </c>
      <c r="I9" s="658">
        <v>187300788</v>
      </c>
      <c r="J9" s="658">
        <v>9441968</v>
      </c>
      <c r="K9" s="658">
        <v>186403212.56999999</v>
      </c>
      <c r="L9" s="387">
        <f t="shared" si="0"/>
        <v>196.66580036914843</v>
      </c>
      <c r="M9" s="651"/>
      <c r="N9" s="387">
        <v>206201008.40000001</v>
      </c>
      <c r="O9" s="387">
        <v>10396604.67</v>
      </c>
      <c r="P9" s="387">
        <v>205212859.59999999</v>
      </c>
      <c r="Q9" s="387">
        <f>P9*L$1</f>
        <v>216.51102855386634</v>
      </c>
    </row>
    <row r="10" spans="1:17">
      <c r="A10" s="658" t="s">
        <v>1447</v>
      </c>
      <c r="B10" s="658" t="s">
        <v>1448</v>
      </c>
      <c r="C10" s="658">
        <v>1998982584</v>
      </c>
      <c r="D10" s="658">
        <v>332201</v>
      </c>
      <c r="E10" s="658">
        <v>5861975.0800000001</v>
      </c>
      <c r="F10" s="658">
        <v>3035418339</v>
      </c>
      <c r="G10" s="658">
        <v>318768</v>
      </c>
      <c r="H10" s="658">
        <v>6567956.1200000001</v>
      </c>
      <c r="I10" s="658">
        <v>2914003579</v>
      </c>
      <c r="J10" s="658">
        <v>322749</v>
      </c>
      <c r="K10" s="658">
        <v>6708223.3300000001</v>
      </c>
      <c r="L10" s="387">
        <f t="shared" si="0"/>
        <v>7.0775502849985257</v>
      </c>
      <c r="M10" s="651"/>
      <c r="N10" s="387">
        <v>2800861783</v>
      </c>
      <c r="O10" s="387">
        <v>285361.96850000002</v>
      </c>
      <c r="P10" s="387">
        <v>6372405.1909999996</v>
      </c>
      <c r="Q10" s="387">
        <f>P10*L$1</f>
        <v>6.7232433920306187</v>
      </c>
    </row>
    <row r="11" spans="1:17" ht="15.75" customHeight="1">
      <c r="A11" s="385" t="s">
        <v>1706</v>
      </c>
      <c r="B11" s="385"/>
      <c r="C11" s="385"/>
      <c r="D11" s="385"/>
      <c r="E11" s="385"/>
      <c r="F11" s="385"/>
      <c r="G11" s="385"/>
      <c r="H11" s="385"/>
      <c r="I11" s="385"/>
      <c r="J11" s="385"/>
      <c r="K11" s="385"/>
      <c r="L11" s="389"/>
      <c r="M11" s="651"/>
      <c r="N11" s="651"/>
      <c r="O11" s="651"/>
      <c r="P11" s="651"/>
      <c r="Q11" s="387"/>
    </row>
    <row r="12" spans="1:17">
      <c r="A12" s="658" t="s">
        <v>1701</v>
      </c>
      <c r="B12" s="658" t="s">
        <v>1442</v>
      </c>
      <c r="C12" s="658">
        <v>282335121</v>
      </c>
      <c r="D12" s="658">
        <v>767534</v>
      </c>
      <c r="E12" s="658">
        <v>10417595.24</v>
      </c>
      <c r="F12" s="658">
        <v>278693024</v>
      </c>
      <c r="G12" s="658">
        <v>757633</v>
      </c>
      <c r="H12" s="658">
        <v>10283209.210000001</v>
      </c>
      <c r="I12" s="658">
        <v>287327924</v>
      </c>
      <c r="J12" s="658">
        <v>781107</v>
      </c>
      <c r="K12" s="658">
        <v>10601819.59</v>
      </c>
      <c r="L12" s="387">
        <f>K12*L$1</f>
        <v>11.185511806850869</v>
      </c>
      <c r="M12" s="651"/>
      <c r="N12" s="651">
        <v>292276905</v>
      </c>
      <c r="O12" s="651">
        <v>794734.63729999994</v>
      </c>
      <c r="P12" s="651">
        <v>10785860.65</v>
      </c>
      <c r="Q12" s="387">
        <f t="shared" ref="Q12:Q26" si="2">P12*L$1</f>
        <v>11.379685404326258</v>
      </c>
    </row>
    <row r="13" spans="1:17">
      <c r="A13" s="658" t="s">
        <v>1702</v>
      </c>
      <c r="B13" s="658" t="s">
        <v>1442</v>
      </c>
      <c r="C13" s="658">
        <v>47774309</v>
      </c>
      <c r="D13" s="658">
        <v>139193</v>
      </c>
      <c r="E13" s="658">
        <v>1861702.07</v>
      </c>
      <c r="F13" s="658">
        <v>42473155</v>
      </c>
      <c r="G13" s="658">
        <v>123748</v>
      </c>
      <c r="H13" s="658">
        <v>1655123.05</v>
      </c>
      <c r="I13" s="658">
        <v>46432836</v>
      </c>
      <c r="J13" s="658">
        <v>135285</v>
      </c>
      <c r="K13" s="658">
        <v>1809426.61</v>
      </c>
      <c r="L13" s="387">
        <f t="shared" si="0"/>
        <v>1.9090461347668664</v>
      </c>
      <c r="M13" s="651"/>
      <c r="N13" s="651">
        <v>38568726.170000002</v>
      </c>
      <c r="O13" s="651">
        <v>112395.3793</v>
      </c>
      <c r="P13" s="651">
        <v>1503172.3940000001</v>
      </c>
      <c r="Q13" s="387">
        <f t="shared" si="2"/>
        <v>1.5859308317865166</v>
      </c>
    </row>
    <row r="14" spans="1:17">
      <c r="A14" s="658" t="s">
        <v>1703</v>
      </c>
      <c r="B14" s="658" t="s">
        <v>1442</v>
      </c>
      <c r="C14" s="658">
        <v>90670639</v>
      </c>
      <c r="D14" s="658">
        <v>272140</v>
      </c>
      <c r="E14" s="658">
        <v>3638134.51</v>
      </c>
      <c r="F14" s="658">
        <v>42526496</v>
      </c>
      <c r="G14" s="658">
        <v>127639</v>
      </c>
      <c r="H14" s="658">
        <v>1706364</v>
      </c>
      <c r="I14" s="658">
        <v>24752529</v>
      </c>
      <c r="J14" s="658">
        <v>74292</v>
      </c>
      <c r="K14" s="658">
        <v>993188.43</v>
      </c>
      <c r="L14" s="387">
        <f t="shared" si="0"/>
        <v>1.0478692658259692</v>
      </c>
      <c r="M14" s="651"/>
      <c r="N14" s="651">
        <v>0</v>
      </c>
      <c r="O14" s="651">
        <v>0</v>
      </c>
      <c r="P14" s="651">
        <v>0</v>
      </c>
      <c r="Q14" s="387">
        <f t="shared" si="2"/>
        <v>0</v>
      </c>
    </row>
    <row r="15" spans="1:17">
      <c r="A15" s="658" t="s">
        <v>1490</v>
      </c>
      <c r="B15" s="658" t="s">
        <v>1442</v>
      </c>
      <c r="C15" s="658">
        <v>49615</v>
      </c>
      <c r="D15" s="388">
        <v>0</v>
      </c>
      <c r="E15" s="658">
        <v>1693.83</v>
      </c>
      <c r="F15" s="658">
        <v>9933615</v>
      </c>
      <c r="G15" s="388">
        <v>20</v>
      </c>
      <c r="H15" s="658">
        <v>339127.16</v>
      </c>
      <c r="I15" s="658">
        <v>7964477</v>
      </c>
      <c r="J15" s="388">
        <v>16</v>
      </c>
      <c r="K15" s="658">
        <v>271902.06</v>
      </c>
      <c r="L15" s="387">
        <f t="shared" si="0"/>
        <v>0.2868718597424344</v>
      </c>
      <c r="M15" s="651"/>
      <c r="N15" s="651">
        <v>15386416.130000001</v>
      </c>
      <c r="O15" s="651">
        <v>26.70482209</v>
      </c>
      <c r="P15" s="651">
        <v>525352.09609999997</v>
      </c>
      <c r="Q15" s="387">
        <f t="shared" si="2"/>
        <v>0.55427580367648965</v>
      </c>
    </row>
    <row r="16" spans="1:17">
      <c r="A16" s="658" t="s">
        <v>1284</v>
      </c>
      <c r="B16" s="658" t="s">
        <v>1704</v>
      </c>
      <c r="C16" s="658">
        <v>25720435183</v>
      </c>
      <c r="D16" s="658">
        <v>10639328</v>
      </c>
      <c r="E16" s="658">
        <v>258234335.15000001</v>
      </c>
      <c r="F16" s="658">
        <v>24013980197</v>
      </c>
      <c r="G16" s="658">
        <v>7092945</v>
      </c>
      <c r="H16" s="658">
        <v>210321308.22</v>
      </c>
      <c r="I16" s="658">
        <v>24094056831</v>
      </c>
      <c r="J16" s="658">
        <v>7053308</v>
      </c>
      <c r="K16" s="658">
        <v>210129249.30000001</v>
      </c>
      <c r="L16" s="387">
        <f t="shared" si="0"/>
        <v>221.69809428061205</v>
      </c>
      <c r="M16" s="651"/>
      <c r="N16" s="651">
        <v>24252105993</v>
      </c>
      <c r="O16" s="651">
        <v>7009227.6189999999</v>
      </c>
      <c r="P16" s="651">
        <v>82748185.650000006</v>
      </c>
      <c r="Q16" s="387">
        <f t="shared" si="2"/>
        <v>87.303957563718797</v>
      </c>
    </row>
    <row r="17" spans="1:21">
      <c r="A17" s="658" t="s">
        <v>1705</v>
      </c>
      <c r="B17" s="658" t="s">
        <v>1445</v>
      </c>
      <c r="C17" s="658">
        <v>60301084</v>
      </c>
      <c r="D17" s="658">
        <v>3039821</v>
      </c>
      <c r="E17" s="658">
        <v>60012111.880000003</v>
      </c>
      <c r="F17" s="658">
        <v>104182740</v>
      </c>
      <c r="G17" s="658">
        <v>5251927</v>
      </c>
      <c r="H17" s="658">
        <v>103683479.84999999</v>
      </c>
      <c r="I17" s="658">
        <v>113177353</v>
      </c>
      <c r="J17" s="658">
        <v>5705352</v>
      </c>
      <c r="K17" s="658">
        <v>112634988.72</v>
      </c>
      <c r="L17" s="387">
        <f t="shared" si="0"/>
        <v>118.83620405882368</v>
      </c>
      <c r="M17" s="651"/>
      <c r="N17" s="651">
        <v>133508059</v>
      </c>
      <c r="O17" s="651">
        <v>6731443.85399999</v>
      </c>
      <c r="P17" s="651">
        <v>132868266.7</v>
      </c>
      <c r="Q17" s="387">
        <f t="shared" si="2"/>
        <v>140.18344240931006</v>
      </c>
      <c r="R17" s="651"/>
      <c r="S17" s="651"/>
      <c r="T17" s="651"/>
      <c r="U17" s="651"/>
    </row>
    <row r="18" spans="1:21">
      <c r="A18" s="658" t="s">
        <v>1447</v>
      </c>
      <c r="B18" s="658" t="s">
        <v>1448</v>
      </c>
      <c r="C18" s="658">
        <v>7457786326</v>
      </c>
      <c r="D18" s="658">
        <v>1239372</v>
      </c>
      <c r="E18" s="658">
        <v>21869804.149999999</v>
      </c>
      <c r="F18" s="658">
        <v>5691660761</v>
      </c>
      <c r="G18" s="658">
        <v>597717</v>
      </c>
      <c r="H18" s="658">
        <v>12315461.65</v>
      </c>
      <c r="I18" s="658">
        <v>5463998032</v>
      </c>
      <c r="J18" s="658">
        <v>605180</v>
      </c>
      <c r="K18" s="658">
        <v>12578474.289999999</v>
      </c>
      <c r="L18" s="387">
        <f t="shared" si="0"/>
        <v>13.270992916694698</v>
      </c>
      <c r="M18" s="651"/>
      <c r="N18" s="651">
        <v>4789020634</v>
      </c>
      <c r="O18" s="651">
        <v>487922.81140000001</v>
      </c>
      <c r="P18" s="651">
        <v>10895782.199999999</v>
      </c>
      <c r="Q18" s="387">
        <f t="shared" si="2"/>
        <v>11.495658778982818</v>
      </c>
      <c r="R18" s="651"/>
      <c r="S18" s="651"/>
      <c r="T18" s="651"/>
      <c r="U18" s="651"/>
    </row>
    <row r="19" spans="1:21" ht="15.75" customHeight="1">
      <c r="A19" s="385" t="s">
        <v>1707</v>
      </c>
      <c r="B19" s="385"/>
      <c r="C19" s="385"/>
      <c r="D19" s="385"/>
      <c r="E19" s="385"/>
      <c r="F19" s="385"/>
      <c r="G19" s="385"/>
      <c r="H19" s="385"/>
      <c r="I19" s="385"/>
      <c r="J19" s="385"/>
      <c r="K19" s="385"/>
      <c r="L19" s="389"/>
      <c r="M19" s="651"/>
      <c r="N19" s="651"/>
      <c r="O19" s="651"/>
      <c r="P19" s="651"/>
      <c r="Q19" s="387"/>
      <c r="R19" s="651"/>
      <c r="S19" s="651"/>
      <c r="T19" s="651"/>
      <c r="U19" s="651"/>
    </row>
    <row r="20" spans="1:21">
      <c r="A20" s="658" t="s">
        <v>1701</v>
      </c>
      <c r="B20" s="658" t="s">
        <v>1442</v>
      </c>
      <c r="C20" s="658">
        <v>65089976</v>
      </c>
      <c r="D20" s="658">
        <v>176474</v>
      </c>
      <c r="E20" s="658">
        <v>2401688.54</v>
      </c>
      <c r="F20" s="658">
        <v>64250321</v>
      </c>
      <c r="G20" s="658">
        <v>174197</v>
      </c>
      <c r="H20" s="658">
        <v>2370706.98</v>
      </c>
      <c r="I20" s="658">
        <v>66241025</v>
      </c>
      <c r="J20" s="658">
        <v>179595</v>
      </c>
      <c r="K20" s="658">
        <v>2444159.91</v>
      </c>
      <c r="L20" s="387">
        <f t="shared" si="0"/>
        <v>2.5787252177846725</v>
      </c>
      <c r="M20" s="651"/>
      <c r="N20" s="651">
        <v>67381970.370000005</v>
      </c>
      <c r="O20" s="651">
        <v>182710.24119999999</v>
      </c>
      <c r="P20" s="651">
        <v>2486589.0209999899</v>
      </c>
      <c r="Q20" s="387">
        <f t="shared" si="2"/>
        <v>2.6234902996666754</v>
      </c>
      <c r="R20" s="651"/>
      <c r="S20" s="651"/>
      <c r="T20" s="651"/>
      <c r="U20" s="651"/>
    </row>
    <row r="21" spans="1:21">
      <c r="A21" s="658" t="s">
        <v>1702</v>
      </c>
      <c r="B21" s="658" t="s">
        <v>1442</v>
      </c>
      <c r="C21" s="658">
        <v>10293146</v>
      </c>
      <c r="D21" s="658">
        <v>29910</v>
      </c>
      <c r="E21" s="658">
        <v>401110.39</v>
      </c>
      <c r="F21" s="658">
        <v>9150994</v>
      </c>
      <c r="G21" s="658">
        <v>26591</v>
      </c>
      <c r="H21" s="658">
        <v>356602.2</v>
      </c>
      <c r="I21" s="658">
        <v>10004121</v>
      </c>
      <c r="J21" s="658">
        <v>29070</v>
      </c>
      <c r="K21" s="658">
        <v>389847.45</v>
      </c>
      <c r="L21" s="387">
        <f t="shared" si="0"/>
        <v>0.41131083375148281</v>
      </c>
      <c r="M21" s="651"/>
      <c r="N21" s="651">
        <v>8309770.3739999998</v>
      </c>
      <c r="O21" s="651">
        <v>24149.678519999899</v>
      </c>
      <c r="P21" s="651">
        <v>323863.88319999998</v>
      </c>
      <c r="Q21" s="387">
        <f t="shared" si="2"/>
        <v>0.34169448542240005</v>
      </c>
      <c r="R21" s="651"/>
      <c r="S21" s="651"/>
      <c r="T21" s="651"/>
      <c r="U21" s="651"/>
    </row>
    <row r="22" spans="1:21">
      <c r="A22" s="658" t="s">
        <v>1703</v>
      </c>
      <c r="B22" s="658" t="s">
        <v>1442</v>
      </c>
      <c r="C22" s="658">
        <v>7001414</v>
      </c>
      <c r="D22" s="658">
        <v>20959</v>
      </c>
      <c r="E22" s="658">
        <v>280929.8</v>
      </c>
      <c r="F22" s="658">
        <v>3283815</v>
      </c>
      <c r="G22" s="658">
        <v>9830</v>
      </c>
      <c r="H22" s="658">
        <v>131762.17000000001</v>
      </c>
      <c r="I22" s="658">
        <v>1911343</v>
      </c>
      <c r="J22" s="658">
        <v>5722</v>
      </c>
      <c r="K22" s="658">
        <v>76692.11</v>
      </c>
      <c r="L22" s="387">
        <f t="shared" si="0"/>
        <v>8.0914459505276828E-2</v>
      </c>
      <c r="M22" s="651"/>
      <c r="N22" s="651">
        <v>0</v>
      </c>
      <c r="O22" s="17">
        <v>0</v>
      </c>
      <c r="P22" s="17">
        <v>0</v>
      </c>
      <c r="Q22" s="387">
        <f t="shared" si="2"/>
        <v>0</v>
      </c>
      <c r="R22" s="17"/>
      <c r="S22" s="17"/>
      <c r="T22" s="17"/>
      <c r="U22" s="17"/>
    </row>
    <row r="23" spans="1:21">
      <c r="A23" s="658" t="s">
        <v>1490</v>
      </c>
      <c r="B23" s="658" t="s">
        <v>1442</v>
      </c>
      <c r="C23" s="658">
        <v>8808</v>
      </c>
      <c r="D23" s="388">
        <v>0</v>
      </c>
      <c r="E23" s="658">
        <v>300.69</v>
      </c>
      <c r="F23" s="658">
        <v>1763429</v>
      </c>
      <c r="G23" s="388">
        <v>4</v>
      </c>
      <c r="H23" s="658">
        <v>60202.31</v>
      </c>
      <c r="I23" s="658">
        <v>1413865</v>
      </c>
      <c r="J23" s="388">
        <v>3</v>
      </c>
      <c r="K23" s="658">
        <v>48268.42</v>
      </c>
      <c r="L23" s="387">
        <f t="shared" si="0"/>
        <v>5.0925879017720256E-2</v>
      </c>
      <c r="M23" s="651"/>
      <c r="N23" s="651">
        <v>2731417.29</v>
      </c>
      <c r="O23" s="17">
        <v>4.7406759410000001</v>
      </c>
      <c r="P23" s="17">
        <v>93261.210819999993</v>
      </c>
      <c r="Q23" s="387">
        <f t="shared" si="2"/>
        <v>9.8395786298068652E-2</v>
      </c>
      <c r="R23" s="17"/>
      <c r="S23" s="17"/>
      <c r="T23" s="17"/>
      <c r="U23" s="17"/>
    </row>
    <row r="24" spans="1:21">
      <c r="A24" s="658" t="s">
        <v>1284</v>
      </c>
      <c r="B24" s="658" t="s">
        <v>1704</v>
      </c>
      <c r="C24" s="658">
        <v>8779889926</v>
      </c>
      <c r="D24" s="658">
        <v>3631833</v>
      </c>
      <c r="E24" s="658">
        <v>88150492.849999994</v>
      </c>
      <c r="F24" s="658">
        <v>8914989284</v>
      </c>
      <c r="G24" s="658">
        <v>2633196</v>
      </c>
      <c r="H24" s="658">
        <v>78080026.450000003</v>
      </c>
      <c r="I24" s="658">
        <v>8896415029</v>
      </c>
      <c r="J24" s="658">
        <v>2604342</v>
      </c>
      <c r="K24" s="658">
        <v>77587474.140000001</v>
      </c>
      <c r="L24" s="387">
        <f t="shared" si="0"/>
        <v>81.859118681409896</v>
      </c>
      <c r="M24" s="651"/>
      <c r="N24" s="651">
        <v>8939368045</v>
      </c>
      <c r="O24" s="17">
        <v>2583613.3739999998</v>
      </c>
      <c r="P24" s="17">
        <v>30501123.77</v>
      </c>
      <c r="Q24" s="387">
        <f t="shared" si="2"/>
        <v>32.180389145025501</v>
      </c>
      <c r="R24" s="17"/>
      <c r="S24" s="17"/>
      <c r="T24" s="17"/>
      <c r="U24" s="17"/>
    </row>
    <row r="25" spans="1:21">
      <c r="A25" s="658" t="s">
        <v>1705</v>
      </c>
      <c r="B25" s="658" t="s">
        <v>1445</v>
      </c>
      <c r="C25" s="658">
        <v>18090325</v>
      </c>
      <c r="D25" s="658">
        <v>910137</v>
      </c>
      <c r="E25" s="658">
        <v>18003633.57</v>
      </c>
      <c r="F25" s="658">
        <v>24097257</v>
      </c>
      <c r="G25" s="658">
        <v>1212350</v>
      </c>
      <c r="H25" s="658">
        <v>23981779.420000002</v>
      </c>
      <c r="I25" s="658">
        <v>26871577</v>
      </c>
      <c r="J25" s="658">
        <v>1351928</v>
      </c>
      <c r="K25" s="658">
        <v>26742803.940000001</v>
      </c>
      <c r="L25" s="387">
        <f t="shared" si="0"/>
        <v>28.215151812366194</v>
      </c>
      <c r="M25" s="651"/>
      <c r="N25" s="651">
        <v>30970906.34</v>
      </c>
      <c r="O25" s="17">
        <v>1558076.821</v>
      </c>
      <c r="P25" s="17">
        <v>30822488.719999999</v>
      </c>
      <c r="Q25" s="387">
        <f t="shared" si="2"/>
        <v>32.51944711634993</v>
      </c>
      <c r="R25" s="17"/>
      <c r="S25" s="17"/>
      <c r="T25" s="17"/>
      <c r="U25" s="17"/>
    </row>
    <row r="26" spans="1:21">
      <c r="A26" s="658" t="s">
        <v>1447</v>
      </c>
      <c r="B26" s="658" t="s">
        <v>1448</v>
      </c>
      <c r="C26" s="658">
        <v>2237335898</v>
      </c>
      <c r="D26" s="658">
        <v>371812</v>
      </c>
      <c r="E26" s="658">
        <v>6560941.2400000002</v>
      </c>
      <c r="F26" s="658">
        <v>1707498231</v>
      </c>
      <c r="G26" s="658">
        <v>179315</v>
      </c>
      <c r="H26" s="658">
        <v>3694638.5</v>
      </c>
      <c r="I26" s="658">
        <v>1639199412</v>
      </c>
      <c r="J26" s="658">
        <v>181554</v>
      </c>
      <c r="K26" s="658">
        <v>3773542.29</v>
      </c>
      <c r="L26" s="387">
        <f t="shared" si="0"/>
        <v>3.9812978781735771</v>
      </c>
      <c r="M26" s="651"/>
      <c r="N26" s="651">
        <v>1436706192</v>
      </c>
      <c r="O26" s="17">
        <v>146376.84359999999</v>
      </c>
      <c r="P26" s="17">
        <v>3268734.6630000002</v>
      </c>
      <c r="Q26" s="387">
        <f t="shared" si="2"/>
        <v>3.4486976368600133</v>
      </c>
      <c r="R26" s="17"/>
      <c r="S26" s="17"/>
      <c r="T26" s="17"/>
      <c r="U26" s="17"/>
    </row>
    <row r="27" spans="1:21" ht="18.75" customHeight="1">
      <c r="A27" s="658" t="s">
        <v>1708</v>
      </c>
      <c r="B27" s="658" t="s">
        <v>1445</v>
      </c>
      <c r="C27" s="658">
        <v>1604831</v>
      </c>
      <c r="D27" s="658">
        <v>184401</v>
      </c>
      <c r="E27" s="659"/>
      <c r="F27" s="658">
        <v>1190333</v>
      </c>
      <c r="G27" s="658">
        <v>97663</v>
      </c>
      <c r="H27" s="659"/>
      <c r="I27" s="658">
        <v>705041</v>
      </c>
      <c r="J27" s="658">
        <v>57332</v>
      </c>
      <c r="K27" s="659"/>
      <c r="L27" s="387">
        <f t="shared" si="0"/>
        <v>0</v>
      </c>
      <c r="M27" s="651"/>
      <c r="N27" s="651"/>
      <c r="O27" s="17"/>
      <c r="P27" s="17"/>
      <c r="Q27" s="387"/>
      <c r="R27" s="17"/>
      <c r="S27" s="17"/>
      <c r="T27" s="17"/>
      <c r="U27" s="17"/>
    </row>
    <row r="28" spans="1:21">
      <c r="A28" s="699" t="s">
        <v>1709</v>
      </c>
      <c r="B28" s="699"/>
      <c r="C28" s="658">
        <v>334042605</v>
      </c>
      <c r="D28" s="658">
        <v>55513</v>
      </c>
      <c r="E28" s="659"/>
      <c r="F28" s="658">
        <v>292536309</v>
      </c>
      <c r="G28" s="658">
        <v>30721</v>
      </c>
      <c r="H28" s="659"/>
      <c r="I28" s="658">
        <v>237330875</v>
      </c>
      <c r="J28" s="658">
        <v>26286</v>
      </c>
      <c r="K28" s="659"/>
      <c r="L28" s="387">
        <f t="shared" si="0"/>
        <v>0</v>
      </c>
      <c r="M28" s="651"/>
      <c r="N28" s="651"/>
      <c r="O28" s="17"/>
      <c r="P28" s="17"/>
      <c r="Q28" s="17"/>
      <c r="R28" s="17"/>
      <c r="S28" s="17"/>
      <c r="T28" s="17"/>
      <c r="U28" s="17"/>
    </row>
    <row r="29" spans="1:21">
      <c r="A29" s="657" t="s">
        <v>1710</v>
      </c>
      <c r="B29" s="657"/>
      <c r="C29" s="657"/>
      <c r="D29" s="657"/>
      <c r="E29" s="657"/>
      <c r="F29" s="657"/>
      <c r="G29" s="657"/>
      <c r="H29" s="657"/>
      <c r="I29" s="657"/>
      <c r="J29" s="657"/>
      <c r="K29" s="657"/>
      <c r="L29" s="387">
        <f t="shared" si="0"/>
        <v>0</v>
      </c>
      <c r="M29" s="651"/>
      <c r="N29" s="651"/>
      <c r="O29" s="17"/>
      <c r="P29" s="17"/>
      <c r="Q29" s="17"/>
      <c r="R29" s="17"/>
      <c r="S29" s="17"/>
      <c r="T29" s="17"/>
      <c r="U29" s="17"/>
    </row>
    <row r="30" spans="1:21">
      <c r="A30" s="658" t="s">
        <v>1711</v>
      </c>
      <c r="B30" s="658" t="s">
        <v>1445</v>
      </c>
      <c r="C30" s="658">
        <v>442833</v>
      </c>
      <c r="D30" s="658">
        <v>207588</v>
      </c>
      <c r="E30" s="659"/>
      <c r="F30" s="658">
        <v>522190</v>
      </c>
      <c r="G30" s="658">
        <v>244789</v>
      </c>
      <c r="H30" s="659"/>
      <c r="I30" s="658">
        <v>560347</v>
      </c>
      <c r="J30" s="658">
        <v>262676</v>
      </c>
      <c r="K30" s="659"/>
      <c r="L30" s="387">
        <f t="shared" si="0"/>
        <v>0</v>
      </c>
      <c r="M30" s="651"/>
      <c r="N30" s="651"/>
      <c r="O30" s="17"/>
      <c r="P30" s="17"/>
      <c r="Q30" s="17"/>
      <c r="R30" s="17"/>
      <c r="S30" s="17"/>
      <c r="T30" s="17"/>
      <c r="U30" s="17"/>
    </row>
    <row r="31" spans="1:21">
      <c r="A31" s="385" t="s">
        <v>1712</v>
      </c>
      <c r="B31" s="390"/>
      <c r="C31" s="390"/>
      <c r="D31" s="390"/>
      <c r="E31" s="390"/>
      <c r="F31" s="390"/>
      <c r="G31" s="390"/>
      <c r="H31" s="390"/>
      <c r="I31" s="390"/>
      <c r="J31" s="390"/>
      <c r="K31" s="390"/>
      <c r="L31" s="389"/>
      <c r="M31" s="651"/>
      <c r="N31" s="651"/>
      <c r="O31" s="17"/>
      <c r="P31" s="17"/>
      <c r="Q31" s="17"/>
      <c r="R31" s="17"/>
      <c r="S31" s="17"/>
      <c r="T31" s="17"/>
      <c r="U31" s="17"/>
    </row>
    <row r="32" spans="1:21">
      <c r="A32" s="698" t="s">
        <v>1713</v>
      </c>
      <c r="B32" s="698"/>
      <c r="C32" s="698"/>
      <c r="D32" s="698"/>
      <c r="E32" s="698"/>
      <c r="F32" s="698"/>
      <c r="G32" s="698"/>
      <c r="H32" s="698"/>
      <c r="I32" s="698"/>
      <c r="J32" s="698"/>
      <c r="K32" s="698"/>
      <c r="L32" s="387">
        <f t="shared" si="0"/>
        <v>0</v>
      </c>
      <c r="M32" s="651"/>
      <c r="N32" s="651"/>
      <c r="O32" s="17"/>
      <c r="P32" s="17"/>
      <c r="Q32" s="17"/>
      <c r="R32" s="17"/>
      <c r="S32" s="17"/>
      <c r="T32" s="17"/>
      <c r="U32" s="17"/>
    </row>
    <row r="33" spans="1:21">
      <c r="A33" s="658" t="s">
        <v>1714</v>
      </c>
      <c r="B33" s="658" t="s">
        <v>1442</v>
      </c>
      <c r="C33" s="658">
        <v>2956960860</v>
      </c>
      <c r="D33" s="658">
        <v>7171573</v>
      </c>
      <c r="E33" s="658">
        <v>94897868.239999995</v>
      </c>
      <c r="F33" s="658">
        <v>2875977547</v>
      </c>
      <c r="G33" s="658">
        <v>6975163</v>
      </c>
      <c r="H33" s="658">
        <v>92298867.379999995</v>
      </c>
      <c r="I33" s="658">
        <v>2884413472</v>
      </c>
      <c r="J33" s="658">
        <v>6995622</v>
      </c>
      <c r="K33" s="658">
        <v>92569601.890000001</v>
      </c>
      <c r="L33" s="387">
        <f t="shared" si="0"/>
        <v>97.66610024874791</v>
      </c>
      <c r="M33" s="651"/>
      <c r="N33" s="651"/>
      <c r="O33" s="17"/>
      <c r="P33" s="17"/>
      <c r="Q33" s="17"/>
      <c r="R33" s="17"/>
      <c r="S33" s="17"/>
      <c r="T33" s="17"/>
      <c r="U33" s="17"/>
    </row>
    <row r="34" spans="1:21">
      <c r="A34" s="658" t="s">
        <v>1715</v>
      </c>
      <c r="B34" s="658" t="s">
        <v>1442</v>
      </c>
      <c r="C34" s="658">
        <v>13636640</v>
      </c>
      <c r="D34" s="658">
        <v>36562</v>
      </c>
      <c r="E34" s="658">
        <v>504591.59</v>
      </c>
      <c r="F34" s="658">
        <v>14104152</v>
      </c>
      <c r="G34" s="658">
        <v>37816</v>
      </c>
      <c r="H34" s="658">
        <v>521890.78</v>
      </c>
      <c r="I34" s="658">
        <v>14155425</v>
      </c>
      <c r="J34" s="658">
        <v>37953</v>
      </c>
      <c r="K34" s="658">
        <v>523788</v>
      </c>
      <c r="L34" s="387">
        <f t="shared" si="0"/>
        <v>0.5526255949321246</v>
      </c>
      <c r="M34" s="651"/>
      <c r="N34" s="651"/>
      <c r="O34" s="17"/>
      <c r="P34" s="17"/>
      <c r="Q34" s="17"/>
      <c r="R34" s="17"/>
      <c r="S34" s="17"/>
      <c r="T34" s="17"/>
      <c r="U34" s="17"/>
    </row>
    <row r="35" spans="1:21">
      <c r="A35" s="658" t="s">
        <v>1716</v>
      </c>
      <c r="B35" s="658" t="s">
        <v>1442</v>
      </c>
      <c r="C35" s="658">
        <v>387703944</v>
      </c>
      <c r="D35" s="658">
        <v>940306</v>
      </c>
      <c r="E35" s="658">
        <v>12442598.859999999</v>
      </c>
      <c r="F35" s="658">
        <v>401465065</v>
      </c>
      <c r="G35" s="658">
        <v>973681</v>
      </c>
      <c r="H35" s="658">
        <v>12884235.060000001</v>
      </c>
      <c r="I35" s="658">
        <v>402924507</v>
      </c>
      <c r="J35" s="658">
        <v>977220</v>
      </c>
      <c r="K35" s="658">
        <v>12931073</v>
      </c>
      <c r="L35" s="387">
        <f t="shared" si="0"/>
        <v>13.643004249306461</v>
      </c>
      <c r="M35" s="651"/>
      <c r="N35" s="651"/>
      <c r="O35" s="17"/>
      <c r="P35" s="17"/>
      <c r="Q35" s="17"/>
      <c r="R35" s="17"/>
      <c r="S35" s="17"/>
      <c r="T35" s="17"/>
      <c r="U35" s="17"/>
    </row>
    <row r="36" spans="1:21">
      <c r="A36" s="658" t="s">
        <v>1717</v>
      </c>
      <c r="B36" s="658" t="s">
        <v>1442</v>
      </c>
      <c r="C36" s="658">
        <v>34436253</v>
      </c>
      <c r="D36" s="658">
        <v>92328</v>
      </c>
      <c r="E36" s="658">
        <v>1274232.05</v>
      </c>
      <c r="F36" s="658">
        <v>41467149</v>
      </c>
      <c r="G36" s="658">
        <v>111179</v>
      </c>
      <c r="H36" s="658">
        <v>1534393.72</v>
      </c>
      <c r="I36" s="658">
        <v>41617894</v>
      </c>
      <c r="J36" s="658">
        <v>111583</v>
      </c>
      <c r="K36" s="658">
        <v>1539971.69</v>
      </c>
      <c r="L36" s="387">
        <f t="shared" si="0"/>
        <v>1.6247561444036123</v>
      </c>
      <c r="M36" s="651"/>
      <c r="N36" s="651"/>
      <c r="O36" s="17"/>
      <c r="P36" s="17"/>
      <c r="Q36" s="17"/>
      <c r="R36" s="17"/>
      <c r="S36" s="17"/>
      <c r="T36" s="17"/>
      <c r="U36" s="17"/>
    </row>
    <row r="37" spans="1:21">
      <c r="A37" s="658" t="s">
        <v>1718</v>
      </c>
      <c r="B37" s="658" t="s">
        <v>1442</v>
      </c>
      <c r="C37" s="658">
        <v>350949585</v>
      </c>
      <c r="D37" s="658">
        <v>941739</v>
      </c>
      <c r="E37" s="658">
        <v>12986058.960000001</v>
      </c>
      <c r="F37" s="658">
        <v>327451162</v>
      </c>
      <c r="G37" s="658">
        <v>878683</v>
      </c>
      <c r="H37" s="658">
        <v>12116555.43</v>
      </c>
      <c r="I37" s="658">
        <v>328641543</v>
      </c>
      <c r="J37" s="658">
        <v>881877</v>
      </c>
      <c r="K37" s="658">
        <v>12160602.640000001</v>
      </c>
      <c r="L37" s="387">
        <f t="shared" si="0"/>
        <v>12.830114986718224</v>
      </c>
      <c r="M37" s="651"/>
      <c r="N37" s="651"/>
      <c r="O37" s="17"/>
      <c r="P37" s="17"/>
      <c r="Q37" s="17"/>
      <c r="R37" s="17"/>
      <c r="S37" s="17"/>
      <c r="T37" s="17"/>
      <c r="U37" s="17"/>
    </row>
    <row r="38" spans="1:21">
      <c r="A38" s="658" t="s">
        <v>1719</v>
      </c>
      <c r="B38" s="658" t="s">
        <v>1442</v>
      </c>
      <c r="C38" s="658">
        <v>182539690</v>
      </c>
      <c r="D38" s="658">
        <v>490133</v>
      </c>
      <c r="E38" s="658">
        <v>6754435.4199999999</v>
      </c>
      <c r="F38" s="658">
        <v>179119246</v>
      </c>
      <c r="G38" s="658">
        <v>480949</v>
      </c>
      <c r="H38" s="658">
        <v>6627870.2400000002</v>
      </c>
      <c r="I38" s="658">
        <v>183147184</v>
      </c>
      <c r="J38" s="658">
        <v>491765</v>
      </c>
      <c r="K38" s="658">
        <v>6776914.2599999998</v>
      </c>
      <c r="L38" s="387">
        <f t="shared" si="0"/>
        <v>7.1500230527169357</v>
      </c>
      <c r="M38" s="651"/>
      <c r="N38" s="651"/>
      <c r="O38" s="17"/>
      <c r="P38" s="17"/>
      <c r="Q38" s="17"/>
      <c r="R38" s="17"/>
      <c r="S38" s="17"/>
      <c r="T38" s="17"/>
      <c r="U38" s="17"/>
    </row>
    <row r="39" spans="1:21">
      <c r="A39" s="658" t="s">
        <v>1720</v>
      </c>
      <c r="B39" s="658" t="s">
        <v>1442</v>
      </c>
      <c r="C39" s="658">
        <v>68793026</v>
      </c>
      <c r="D39" s="658">
        <v>184715</v>
      </c>
      <c r="E39" s="658">
        <v>2545517.92</v>
      </c>
      <c r="F39" s="658">
        <v>7164770</v>
      </c>
      <c r="G39" s="658">
        <v>19238</v>
      </c>
      <c r="H39" s="658">
        <v>265114.81</v>
      </c>
      <c r="I39" s="658">
        <v>7325887</v>
      </c>
      <c r="J39" s="658">
        <v>19671</v>
      </c>
      <c r="K39" s="658">
        <v>271076.57</v>
      </c>
      <c r="L39" s="387">
        <f t="shared" si="0"/>
        <v>0.28600092168665509</v>
      </c>
      <c r="M39" s="651"/>
      <c r="N39" s="651"/>
      <c r="O39" s="17"/>
      <c r="P39" s="17"/>
      <c r="Q39" s="17"/>
      <c r="R39" s="17"/>
      <c r="S39" s="17"/>
      <c r="T39" s="17"/>
      <c r="U39" s="17"/>
    </row>
    <row r="40" spans="1:21">
      <c r="A40" s="658" t="s">
        <v>1721</v>
      </c>
      <c r="B40" s="658" t="s">
        <v>1445</v>
      </c>
      <c r="C40" s="658">
        <v>249113</v>
      </c>
      <c r="D40" s="658">
        <v>13363</v>
      </c>
      <c r="E40" s="658">
        <v>247919.07</v>
      </c>
      <c r="F40" s="658">
        <v>1441096</v>
      </c>
      <c r="G40" s="658">
        <v>77304</v>
      </c>
      <c r="H40" s="658">
        <v>1434190.08</v>
      </c>
      <c r="I40" s="658">
        <v>1173494</v>
      </c>
      <c r="J40" s="658">
        <v>62949</v>
      </c>
      <c r="K40" s="658">
        <v>1167870.5900000001</v>
      </c>
      <c r="L40" s="387">
        <f t="shared" si="0"/>
        <v>1.2321687010822724</v>
      </c>
      <c r="M40" s="651"/>
      <c r="N40" s="651"/>
      <c r="O40" s="651"/>
      <c r="P40" s="651"/>
      <c r="Q40" s="651"/>
      <c r="R40" s="651"/>
      <c r="S40" s="651"/>
      <c r="T40" s="651"/>
      <c r="U40" s="651"/>
    </row>
    <row r="41" spans="1:21">
      <c r="A41" s="658" t="s">
        <v>1490</v>
      </c>
      <c r="B41" s="658" t="s">
        <v>1442</v>
      </c>
      <c r="C41" s="391" t="s">
        <v>1722</v>
      </c>
      <c r="D41" s="391" t="s">
        <v>1722</v>
      </c>
      <c r="E41" s="391" t="s">
        <v>1722</v>
      </c>
      <c r="F41" s="391" t="s">
        <v>1722</v>
      </c>
      <c r="G41" s="391" t="s">
        <v>1722</v>
      </c>
      <c r="H41" s="391" t="s">
        <v>1722</v>
      </c>
      <c r="I41" s="391" t="s">
        <v>1722</v>
      </c>
      <c r="J41" s="391" t="s">
        <v>1722</v>
      </c>
      <c r="K41" s="391" t="s">
        <v>1722</v>
      </c>
      <c r="L41" s="387"/>
      <c r="M41" s="651"/>
      <c r="N41" s="651"/>
      <c r="O41" s="651"/>
      <c r="P41" s="651"/>
      <c r="Q41" s="651"/>
      <c r="R41" s="651"/>
      <c r="S41" s="651"/>
      <c r="T41" s="651"/>
      <c r="U41" s="651"/>
    </row>
    <row r="42" spans="1:21">
      <c r="A42" s="658" t="s">
        <v>1723</v>
      </c>
      <c r="B42" s="658" t="s">
        <v>1442</v>
      </c>
      <c r="C42" s="658">
        <v>371629423</v>
      </c>
      <c r="D42" s="658">
        <v>49008</v>
      </c>
      <c r="E42" s="658">
        <v>8381214.5300000003</v>
      </c>
      <c r="F42" s="658">
        <v>364160290</v>
      </c>
      <c r="G42" s="658">
        <v>48023</v>
      </c>
      <c r="H42" s="658">
        <v>8212766.0800000001</v>
      </c>
      <c r="I42" s="658">
        <v>365259775</v>
      </c>
      <c r="J42" s="658">
        <v>48168</v>
      </c>
      <c r="K42" s="658">
        <v>8237562.3399999999</v>
      </c>
      <c r="L42" s="387">
        <f t="shared" si="0"/>
        <v>8.6910883581391012</v>
      </c>
      <c r="M42" s="651"/>
      <c r="N42" s="651"/>
      <c r="O42" s="651"/>
      <c r="P42" s="651"/>
      <c r="Q42" s="651"/>
      <c r="R42" s="651"/>
      <c r="S42" s="651"/>
      <c r="T42" s="651"/>
      <c r="U42" s="651"/>
    </row>
    <row r="43" spans="1:21">
      <c r="A43" s="698" t="s">
        <v>1724</v>
      </c>
      <c r="B43" s="698"/>
      <c r="C43" s="698"/>
      <c r="D43" s="698"/>
      <c r="E43" s="698"/>
      <c r="F43" s="698"/>
      <c r="G43" s="698"/>
      <c r="H43" s="698"/>
      <c r="I43" s="698"/>
      <c r="J43" s="698"/>
      <c r="K43" s="698"/>
      <c r="L43" s="387">
        <f t="shared" si="0"/>
        <v>0</v>
      </c>
      <c r="M43" s="651"/>
      <c r="N43" s="651"/>
      <c r="O43" s="651"/>
      <c r="P43" s="651"/>
      <c r="Q43" s="651"/>
      <c r="R43" s="651"/>
      <c r="S43" s="651"/>
      <c r="T43" s="651"/>
      <c r="U43" s="651"/>
    </row>
    <row r="44" spans="1:21">
      <c r="A44" s="658" t="s">
        <v>1725</v>
      </c>
      <c r="B44" s="658" t="s">
        <v>1704</v>
      </c>
      <c r="C44" s="658">
        <v>2728682604</v>
      </c>
      <c r="D44" s="658">
        <v>1128538</v>
      </c>
      <c r="E44" s="658">
        <v>26017291.600000001</v>
      </c>
      <c r="F44" s="658">
        <v>2819611178</v>
      </c>
      <c r="G44" s="658">
        <v>832821</v>
      </c>
      <c r="H44" s="658">
        <v>24694076.690000001</v>
      </c>
      <c r="I44" s="658">
        <v>2827567062</v>
      </c>
      <c r="J44" s="658">
        <v>827744</v>
      </c>
      <c r="K44" s="658">
        <v>24659796.739999998</v>
      </c>
      <c r="L44" s="387">
        <f t="shared" si="0"/>
        <v>26.017462874956593</v>
      </c>
      <c r="M44" s="651"/>
      <c r="N44" s="651"/>
      <c r="O44" s="651"/>
      <c r="P44" s="651"/>
      <c r="Q44" s="651"/>
      <c r="R44" s="651"/>
      <c r="S44" s="651"/>
      <c r="T44" s="651"/>
      <c r="U44" s="651"/>
    </row>
    <row r="45" spans="1:21">
      <c r="A45" s="658" t="s">
        <v>1726</v>
      </c>
      <c r="B45" s="658" t="s">
        <v>1442</v>
      </c>
      <c r="C45" s="658">
        <v>5207217</v>
      </c>
      <c r="D45" s="658">
        <v>14089</v>
      </c>
      <c r="E45" s="658">
        <v>192680.36</v>
      </c>
      <c r="F45" s="658">
        <v>5457605</v>
      </c>
      <c r="G45" s="658">
        <v>14766</v>
      </c>
      <c r="H45" s="658">
        <v>201945.36</v>
      </c>
      <c r="I45" s="658">
        <v>5470547</v>
      </c>
      <c r="J45" s="658">
        <v>14801</v>
      </c>
      <c r="K45" s="658">
        <v>202424.23</v>
      </c>
      <c r="L45" s="387">
        <f t="shared" si="0"/>
        <v>0.213568868573597</v>
      </c>
      <c r="M45" s="651"/>
      <c r="N45" s="651"/>
      <c r="O45" s="651"/>
      <c r="P45" s="651"/>
      <c r="Q45" s="651"/>
      <c r="R45" s="651"/>
      <c r="S45" s="651"/>
      <c r="T45" s="651"/>
      <c r="U45" s="651"/>
    </row>
    <row r="46" spans="1:21">
      <c r="A46" s="385" t="s">
        <v>1727</v>
      </c>
      <c r="B46" s="390"/>
      <c r="C46" s="390"/>
      <c r="D46" s="390"/>
      <c r="E46" s="390"/>
      <c r="F46" s="390"/>
      <c r="G46" s="390"/>
      <c r="H46" s="390"/>
      <c r="I46" s="390"/>
      <c r="J46" s="390"/>
      <c r="K46" s="390"/>
      <c r="L46" s="389"/>
      <c r="M46" s="651"/>
      <c r="N46" s="651"/>
      <c r="O46" s="651"/>
      <c r="P46" s="651"/>
      <c r="Q46" s="651"/>
      <c r="R46" s="651"/>
      <c r="S46" s="651"/>
      <c r="T46" s="651"/>
      <c r="U46" s="651"/>
    </row>
    <row r="47" spans="1:21">
      <c r="A47" s="658" t="s">
        <v>1728</v>
      </c>
      <c r="B47" s="658" t="s">
        <v>1442</v>
      </c>
      <c r="C47" s="658">
        <v>18247504</v>
      </c>
      <c r="D47" s="658">
        <v>49555</v>
      </c>
      <c r="E47" s="658">
        <v>672306.45</v>
      </c>
      <c r="F47" s="658">
        <v>13979731</v>
      </c>
      <c r="G47" s="658">
        <v>37965</v>
      </c>
      <c r="H47" s="658">
        <v>515065.69</v>
      </c>
      <c r="I47" s="658">
        <v>14092419</v>
      </c>
      <c r="J47" s="658">
        <v>38271</v>
      </c>
      <c r="K47" s="658">
        <v>519217.54</v>
      </c>
      <c r="L47" s="387">
        <f t="shared" si="0"/>
        <v>0.54780350435995895</v>
      </c>
      <c r="M47" s="651"/>
      <c r="N47" s="651"/>
      <c r="O47" s="17"/>
      <c r="P47" s="17"/>
      <c r="Q47" s="17"/>
      <c r="R47" s="17"/>
      <c r="S47" s="17"/>
      <c r="T47" s="17"/>
      <c r="U47" s="17"/>
    </row>
    <row r="48" spans="1:21">
      <c r="A48" s="698" t="s">
        <v>1729</v>
      </c>
      <c r="B48" s="698"/>
      <c r="C48" s="698"/>
      <c r="D48" s="698"/>
      <c r="E48" s="698"/>
      <c r="F48" s="698"/>
      <c r="G48" s="698"/>
      <c r="H48" s="698"/>
      <c r="I48" s="698"/>
      <c r="J48" s="698"/>
      <c r="K48" s="698"/>
      <c r="L48" s="387">
        <f t="shared" si="0"/>
        <v>0</v>
      </c>
      <c r="M48" s="651"/>
      <c r="N48" s="651"/>
      <c r="O48" s="17"/>
      <c r="P48" s="17"/>
      <c r="Q48" s="17"/>
      <c r="R48" s="17"/>
      <c r="S48" s="17"/>
      <c r="T48" s="17"/>
      <c r="U48" s="17"/>
    </row>
    <row r="49" spans="1:21">
      <c r="A49" s="658" t="s">
        <v>1730</v>
      </c>
      <c r="B49" s="658" t="s">
        <v>1442</v>
      </c>
      <c r="C49" s="658">
        <v>933093</v>
      </c>
      <c r="D49" s="658">
        <v>2323</v>
      </c>
      <c r="E49" s="658">
        <v>33272.69</v>
      </c>
      <c r="F49" s="658">
        <v>849442</v>
      </c>
      <c r="G49" s="658">
        <v>2115</v>
      </c>
      <c r="H49" s="658">
        <v>31431.54</v>
      </c>
      <c r="I49" s="658">
        <v>898529</v>
      </c>
      <c r="J49" s="658">
        <v>2237</v>
      </c>
      <c r="K49" s="658">
        <v>33247.879999999997</v>
      </c>
      <c r="L49" s="387">
        <f t="shared" si="0"/>
        <v>3.5078370381207445E-2</v>
      </c>
      <c r="M49" s="651"/>
      <c r="N49" s="651"/>
      <c r="O49" s="17"/>
      <c r="P49" s="17"/>
      <c r="Q49" s="17"/>
      <c r="R49" s="17"/>
      <c r="S49" s="17"/>
      <c r="T49" s="17"/>
      <c r="U49" s="17"/>
    </row>
    <row r="50" spans="1:21">
      <c r="A50" s="698" t="s">
        <v>1731</v>
      </c>
      <c r="B50" s="698"/>
      <c r="C50" s="698"/>
      <c r="D50" s="698"/>
      <c r="E50" s="698"/>
      <c r="F50" s="698"/>
      <c r="G50" s="698"/>
      <c r="H50" s="698"/>
      <c r="I50" s="698"/>
      <c r="J50" s="698"/>
      <c r="K50" s="698"/>
      <c r="L50" s="387">
        <f t="shared" si="0"/>
        <v>0</v>
      </c>
      <c r="M50" s="651"/>
      <c r="N50" s="651"/>
      <c r="O50" s="17"/>
      <c r="P50" s="17"/>
      <c r="Q50" s="17"/>
      <c r="R50" s="17"/>
      <c r="S50" s="17"/>
      <c r="T50" s="17"/>
      <c r="U50" s="17"/>
    </row>
    <row r="51" spans="1:21">
      <c r="A51" s="698" t="s">
        <v>1732</v>
      </c>
      <c r="B51" s="698"/>
      <c r="C51" s="698"/>
      <c r="D51" s="698"/>
      <c r="E51" s="698"/>
      <c r="F51" s="698"/>
      <c r="G51" s="698"/>
      <c r="H51" s="698"/>
      <c r="I51" s="698"/>
      <c r="J51" s="698"/>
      <c r="K51" s="698"/>
      <c r="L51" s="387">
        <f t="shared" si="0"/>
        <v>0</v>
      </c>
      <c r="M51" s="651"/>
      <c r="N51" s="651"/>
      <c r="O51" s="17"/>
      <c r="P51" s="17"/>
      <c r="Q51" s="17"/>
      <c r="R51" s="17"/>
      <c r="S51" s="17"/>
      <c r="T51" s="17"/>
      <c r="U51" s="17"/>
    </row>
    <row r="52" spans="1:21">
      <c r="A52" s="658" t="s">
        <v>1733</v>
      </c>
      <c r="B52" s="658" t="s">
        <v>1734</v>
      </c>
      <c r="C52" s="658">
        <v>5963979</v>
      </c>
      <c r="D52" s="658">
        <v>2786944</v>
      </c>
      <c r="E52" s="391" t="s">
        <v>1722</v>
      </c>
      <c r="F52" s="658">
        <v>4865719</v>
      </c>
      <c r="G52" s="658">
        <v>2250738</v>
      </c>
      <c r="H52" s="659"/>
      <c r="I52" s="658">
        <v>4822473</v>
      </c>
      <c r="J52" s="658">
        <v>2228484</v>
      </c>
      <c r="K52" s="659"/>
      <c r="L52" s="387">
        <f t="shared" si="0"/>
        <v>0</v>
      </c>
      <c r="M52" s="651"/>
      <c r="N52" s="651"/>
      <c r="O52" s="17"/>
      <c r="P52" s="17"/>
      <c r="Q52" s="17"/>
      <c r="R52" s="17"/>
      <c r="S52" s="17"/>
      <c r="T52" s="17"/>
      <c r="U52" s="17"/>
    </row>
    <row r="53" spans="1:21">
      <c r="A53" s="658" t="s">
        <v>1735</v>
      </c>
      <c r="B53" s="658" t="s">
        <v>1734</v>
      </c>
      <c r="C53" s="658">
        <v>10059</v>
      </c>
      <c r="D53" s="658">
        <v>251475</v>
      </c>
      <c r="E53" s="391" t="s">
        <v>1722</v>
      </c>
      <c r="F53" s="658">
        <v>4154</v>
      </c>
      <c r="G53" s="658">
        <v>103852</v>
      </c>
      <c r="H53" s="659"/>
      <c r="I53" s="658">
        <v>3065</v>
      </c>
      <c r="J53" s="658">
        <v>76626</v>
      </c>
      <c r="K53" s="659"/>
      <c r="L53" s="387">
        <f t="shared" si="0"/>
        <v>0</v>
      </c>
      <c r="M53" s="651"/>
      <c r="N53" s="651"/>
      <c r="O53" s="17"/>
      <c r="P53" s="17"/>
      <c r="Q53" s="17"/>
      <c r="R53" s="17"/>
      <c r="S53" s="17"/>
      <c r="T53" s="17"/>
      <c r="U53" s="17"/>
    </row>
    <row r="54" spans="1:21">
      <c r="A54" s="698" t="s">
        <v>1736</v>
      </c>
      <c r="B54" s="698"/>
      <c r="C54" s="698"/>
      <c r="D54" s="698"/>
      <c r="E54" s="698"/>
      <c r="F54" s="698"/>
      <c r="G54" s="698"/>
      <c r="H54" s="698"/>
      <c r="I54" s="698"/>
      <c r="J54" s="698"/>
      <c r="K54" s="698"/>
      <c r="L54" s="387">
        <f t="shared" si="0"/>
        <v>0</v>
      </c>
      <c r="M54" s="651"/>
      <c r="N54" s="651"/>
      <c r="O54" s="17"/>
      <c r="P54" s="17"/>
      <c r="Q54" s="17"/>
      <c r="R54" s="17"/>
      <c r="S54" s="17"/>
      <c r="T54" s="17"/>
      <c r="U54" s="17"/>
    </row>
    <row r="55" spans="1:21">
      <c r="A55" s="658" t="s">
        <v>1737</v>
      </c>
      <c r="B55" s="658" t="s">
        <v>1734</v>
      </c>
      <c r="C55" s="658">
        <v>875480</v>
      </c>
      <c r="D55" s="658">
        <v>134873</v>
      </c>
      <c r="E55" s="659"/>
      <c r="F55" s="658">
        <v>975151</v>
      </c>
      <c r="G55" s="658">
        <v>161335</v>
      </c>
      <c r="H55" s="659"/>
      <c r="I55" s="658">
        <v>982507</v>
      </c>
      <c r="J55" s="658">
        <v>137306</v>
      </c>
      <c r="K55" s="659"/>
      <c r="L55" s="387">
        <f t="shared" si="0"/>
        <v>0</v>
      </c>
      <c r="M55" s="651"/>
      <c r="N55" s="651"/>
      <c r="O55" s="17"/>
      <c r="P55" s="17"/>
      <c r="Q55" s="17"/>
      <c r="R55" s="17"/>
      <c r="S55" s="17"/>
      <c r="T55" s="17"/>
      <c r="U55" s="17"/>
    </row>
    <row r="56" spans="1:21">
      <c r="A56" s="698" t="s">
        <v>1738</v>
      </c>
      <c r="B56" s="698"/>
      <c r="C56" s="698"/>
      <c r="D56" s="698"/>
      <c r="E56" s="698"/>
      <c r="F56" s="698"/>
      <c r="G56" s="698"/>
      <c r="H56" s="698"/>
      <c r="I56" s="698"/>
      <c r="J56" s="698"/>
      <c r="K56" s="698"/>
      <c r="L56" s="387">
        <f t="shared" si="0"/>
        <v>0</v>
      </c>
      <c r="M56" s="651"/>
      <c r="N56" s="651"/>
      <c r="O56" s="17"/>
      <c r="P56" s="17"/>
      <c r="Q56" s="17"/>
      <c r="R56" s="17"/>
      <c r="S56" s="17"/>
      <c r="T56" s="17"/>
      <c r="U56" s="17"/>
    </row>
    <row r="57" spans="1:21">
      <c r="A57" s="658" t="s">
        <v>1739</v>
      </c>
      <c r="B57" s="658" t="s">
        <v>1734</v>
      </c>
      <c r="C57" s="391" t="s">
        <v>1722</v>
      </c>
      <c r="D57" s="391" t="s">
        <v>1722</v>
      </c>
      <c r="E57" s="659"/>
      <c r="F57" s="391" t="s">
        <v>1722</v>
      </c>
      <c r="G57" s="658">
        <v>2910</v>
      </c>
      <c r="H57" s="659"/>
      <c r="I57" s="391" t="s">
        <v>1722</v>
      </c>
      <c r="J57" s="658">
        <v>2910</v>
      </c>
      <c r="K57" s="659"/>
      <c r="L57" s="387">
        <f t="shared" si="0"/>
        <v>0</v>
      </c>
      <c r="M57" s="651"/>
      <c r="N57" s="651"/>
      <c r="O57" s="17"/>
      <c r="P57" s="17"/>
      <c r="Q57" s="17"/>
      <c r="R57" s="17"/>
      <c r="S57" s="17"/>
      <c r="T57" s="17"/>
      <c r="U57" s="17"/>
    </row>
    <row r="58" spans="1:21">
      <c r="A58" s="385" t="s">
        <v>1740</v>
      </c>
      <c r="B58" s="385"/>
      <c r="C58" s="385"/>
      <c r="D58" s="385"/>
      <c r="E58" s="385"/>
      <c r="F58" s="385"/>
      <c r="G58" s="385"/>
      <c r="H58" s="385"/>
      <c r="I58" s="385"/>
      <c r="J58" s="385"/>
      <c r="K58" s="385"/>
      <c r="L58" s="389"/>
      <c r="M58" s="651"/>
      <c r="N58" s="651"/>
      <c r="O58" s="17"/>
      <c r="P58" s="17"/>
      <c r="Q58" s="17"/>
      <c r="R58" s="17"/>
      <c r="S58" s="17"/>
      <c r="T58" s="17"/>
      <c r="U58" s="17"/>
    </row>
    <row r="59" spans="1:21">
      <c r="A59" s="658" t="s">
        <v>1741</v>
      </c>
      <c r="B59" s="658" t="s">
        <v>1734</v>
      </c>
      <c r="C59" s="658">
        <v>6536</v>
      </c>
      <c r="D59" s="658">
        <v>163402</v>
      </c>
      <c r="E59" s="659"/>
      <c r="F59" s="658">
        <v>6490</v>
      </c>
      <c r="G59" s="658">
        <v>162254</v>
      </c>
      <c r="H59" s="659"/>
      <c r="I59" s="658">
        <v>5661</v>
      </c>
      <c r="J59" s="658">
        <v>141516</v>
      </c>
      <c r="K59" s="659"/>
      <c r="L59" s="387">
        <f t="shared" si="0"/>
        <v>0</v>
      </c>
      <c r="M59" s="651"/>
      <c r="N59" s="651"/>
      <c r="O59" s="17"/>
      <c r="P59" s="17"/>
      <c r="Q59" s="17"/>
      <c r="R59" s="17"/>
      <c r="S59" s="17"/>
      <c r="T59" s="17"/>
      <c r="U59" s="17"/>
    </row>
    <row r="60" spans="1:21">
      <c r="A60" s="658" t="s">
        <v>1742</v>
      </c>
      <c r="B60" s="658" t="s">
        <v>1734</v>
      </c>
      <c r="C60" s="388">
        <v>286</v>
      </c>
      <c r="D60" s="658">
        <v>85120</v>
      </c>
      <c r="E60" s="659"/>
      <c r="F60" s="388">
        <v>248</v>
      </c>
      <c r="G60" s="658">
        <v>73794</v>
      </c>
      <c r="H60" s="659"/>
      <c r="I60" s="388">
        <v>254</v>
      </c>
      <c r="J60" s="658">
        <v>75841</v>
      </c>
      <c r="K60" s="659"/>
      <c r="L60" s="387">
        <f t="shared" si="0"/>
        <v>0</v>
      </c>
      <c r="M60" s="651"/>
      <c r="N60" s="651"/>
      <c r="O60" s="17"/>
      <c r="P60" s="17"/>
      <c r="Q60" s="17"/>
      <c r="R60" s="17"/>
      <c r="S60" s="17"/>
      <c r="T60" s="17"/>
      <c r="U60" s="17"/>
    </row>
    <row r="61" spans="1:21">
      <c r="A61" s="651"/>
      <c r="B61" s="651"/>
      <c r="C61" s="651"/>
      <c r="D61" s="651"/>
      <c r="E61" s="651"/>
      <c r="F61" s="651"/>
      <c r="G61" s="651"/>
      <c r="H61" s="651"/>
      <c r="I61" s="651"/>
      <c r="J61" s="651"/>
      <c r="K61" s="651"/>
      <c r="M61" s="651"/>
      <c r="N61" s="651"/>
      <c r="O61" s="17"/>
      <c r="P61" s="17"/>
      <c r="Q61" s="17"/>
      <c r="R61" s="17"/>
      <c r="S61" s="17"/>
      <c r="T61" s="17"/>
      <c r="U61" s="17"/>
    </row>
    <row r="62" spans="1:21">
      <c r="A62" s="651"/>
      <c r="B62" s="651"/>
      <c r="C62" s="651"/>
      <c r="D62" s="651"/>
      <c r="E62" s="651"/>
      <c r="F62" s="651"/>
      <c r="G62" s="651"/>
      <c r="H62" s="651"/>
      <c r="I62" s="651"/>
      <c r="J62" s="651"/>
      <c r="K62" s="651"/>
      <c r="M62" s="651"/>
      <c r="N62" s="651"/>
      <c r="O62" s="17"/>
      <c r="P62" s="17"/>
      <c r="Q62" s="17"/>
      <c r="R62" s="17"/>
      <c r="S62" s="17"/>
      <c r="T62" s="17"/>
      <c r="U62" s="17"/>
    </row>
  </sheetData>
  <mergeCells count="13">
    <mergeCell ref="A28:B28"/>
    <mergeCell ref="A1:B1"/>
    <mergeCell ref="C1:E1"/>
    <mergeCell ref="F1:H1"/>
    <mergeCell ref="I1:K1"/>
    <mergeCell ref="A2:K2"/>
    <mergeCell ref="A56:K56"/>
    <mergeCell ref="A32:K32"/>
    <mergeCell ref="A43:K43"/>
    <mergeCell ref="A48:K48"/>
    <mergeCell ref="A50:K50"/>
    <mergeCell ref="A51:K51"/>
    <mergeCell ref="A54:K54"/>
  </mergeCells>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5"/>
  <dimension ref="A1:F24"/>
  <sheetViews>
    <sheetView workbookViewId="0">
      <pane xSplit="3" ySplit="7" topLeftCell="D8" activePane="bottomRight" state="frozen"/>
      <selection pane="topRight" activeCell="D1" sqref="D1"/>
      <selection pane="bottomLeft" activeCell="A8" sqref="A8"/>
      <selection pane="bottomRight"/>
    </sheetView>
  </sheetViews>
  <sheetFormatPr defaultRowHeight="12.5"/>
  <cols>
    <col min="1" max="1" width="12" customWidth="1"/>
    <col min="2" max="2" width="11.7265625" customWidth="1"/>
    <col min="3" max="3" width="21.453125" customWidth="1"/>
    <col min="4" max="4" width="8.7265625" customWidth="1"/>
    <col min="5" max="5" width="18.26953125" customWidth="1"/>
    <col min="6" max="6" width="10.26953125" customWidth="1"/>
  </cols>
  <sheetData>
    <row r="1" spans="1:6" ht="13">
      <c r="A1" s="1" t="s">
        <v>1745</v>
      </c>
      <c r="B1" s="12"/>
    </row>
    <row r="4" spans="1:6" ht="18.75" customHeight="1"/>
    <row r="5" spans="1:6" ht="17.25" customHeight="1">
      <c r="C5" s="2"/>
    </row>
    <row r="6" spans="1:6" ht="15.75" customHeight="1"/>
    <row r="7" spans="1:6" ht="13">
      <c r="B7" s="3" t="s">
        <v>429</v>
      </c>
      <c r="C7" s="1" t="s">
        <v>430</v>
      </c>
      <c r="D7" s="1" t="s">
        <v>431</v>
      </c>
      <c r="E7" s="1" t="s">
        <v>4</v>
      </c>
      <c r="F7" s="1" t="s">
        <v>5</v>
      </c>
    </row>
    <row r="8" spans="1:6" ht="13">
      <c r="B8" s="1"/>
      <c r="C8" s="1"/>
      <c r="D8" s="1"/>
      <c r="E8" s="2"/>
      <c r="F8" s="1"/>
    </row>
    <row r="10" spans="1:6" ht="13">
      <c r="B10" s="2"/>
      <c r="C10" s="2"/>
      <c r="D10" s="11"/>
      <c r="E10" s="11"/>
    </row>
    <row r="11" spans="1:6">
      <c r="B11" s="2"/>
      <c r="C11" s="2"/>
    </row>
    <row r="12" spans="1:6">
      <c r="B12" s="2"/>
      <c r="C12" s="2"/>
      <c r="D12" s="2"/>
      <c r="E12" s="2"/>
    </row>
    <row r="13" spans="1:6">
      <c r="B13" s="2"/>
      <c r="C13" s="2"/>
      <c r="D13" s="5"/>
      <c r="E13" s="2"/>
    </row>
    <row r="14" spans="1:6">
      <c r="B14" s="2"/>
      <c r="C14" s="2"/>
      <c r="D14" s="2"/>
      <c r="E14" s="2"/>
    </row>
    <row r="15" spans="1:6">
      <c r="B15" s="2"/>
      <c r="C15" s="2"/>
      <c r="E15" s="2"/>
    </row>
    <row r="16" spans="1:6">
      <c r="B16" s="2"/>
      <c r="C16" s="2"/>
    </row>
    <row r="17" spans="2:5">
      <c r="B17" s="2"/>
      <c r="C17" s="2"/>
      <c r="D17" s="5"/>
      <c r="E17" s="2"/>
    </row>
    <row r="18" spans="2:5" ht="13">
      <c r="B18" s="3"/>
      <c r="C18" s="2"/>
      <c r="E18" s="2"/>
    </row>
    <row r="19" spans="2:5">
      <c r="E19" s="2"/>
    </row>
    <row r="21" spans="2:5">
      <c r="B21" s="2"/>
      <c r="C21" s="2"/>
      <c r="D21" s="2"/>
      <c r="E21" s="2"/>
    </row>
    <row r="22" spans="2:5">
      <c r="B22" s="2"/>
      <c r="C22" s="2"/>
    </row>
    <row r="23" spans="2:5">
      <c r="B23" s="2"/>
      <c r="C23" s="2"/>
      <c r="E23" s="2"/>
    </row>
    <row r="24" spans="2:5">
      <c r="D24" s="2"/>
      <c r="E24" s="2"/>
    </row>
  </sheetData>
  <phoneticPr fontId="0" type="noConversion"/>
  <pageMargins left="0.75" right="0.75" top="1" bottom="1" header="0.5" footer="0.5"/>
  <pageSetup paperSize="9" orientation="portrait" horizontalDpi="1200" r:id="rId1"/>
  <headerFooter alignWithMargins="0"/>
  <drawing r:id="rId2"/>
  <legacyDrawing r:id="rId3"/>
  <controls>
    <mc:AlternateContent xmlns:mc="http://schemas.openxmlformats.org/markup-compatibility/2006">
      <mc:Choice Requires="x14">
        <control shapeId="10359" r:id="rId4" name="cmdRefreshUnits">
          <controlPr defaultSize="0" autoLine="0" r:id="rId5">
            <anchor moveWithCells="1">
              <from>
                <xdr:col>3</xdr:col>
                <xdr:colOff>19050</xdr:colOff>
                <xdr:row>2</xdr:row>
                <xdr:rowOff>57150</xdr:rowOff>
              </from>
              <to>
                <xdr:col>3</xdr:col>
                <xdr:colOff>571500</xdr:colOff>
                <xdr:row>4</xdr:row>
                <xdr:rowOff>38100</xdr:rowOff>
              </to>
            </anchor>
          </controlPr>
        </control>
      </mc:Choice>
      <mc:Fallback>
        <control shapeId="10359" r:id="rId4" name="cmdRefreshUnits"/>
      </mc:Fallback>
    </mc:AlternateContent>
    <mc:AlternateContent xmlns:mc="http://schemas.openxmlformats.org/markup-compatibility/2006">
      <mc:Choice Requires="x14">
        <control shapeId="10247" r:id="rId6" name="cmdConstraintUnit">
          <controlPr defaultSize="0" autoLine="0" r:id="rId7">
            <anchor moveWithCells="1">
              <from>
                <xdr:col>3</xdr:col>
                <xdr:colOff>19050</xdr:colOff>
                <xdr:row>4</xdr:row>
                <xdr:rowOff>19050</xdr:rowOff>
              </from>
              <to>
                <xdr:col>3</xdr:col>
                <xdr:colOff>571500</xdr:colOff>
                <xdr:row>5</xdr:row>
                <xdr:rowOff>38100</xdr:rowOff>
              </to>
            </anchor>
          </controlPr>
        </control>
      </mc:Choice>
      <mc:Fallback>
        <control shapeId="10247" r:id="rId6" name="cmdConstraintUnit"/>
      </mc:Fallback>
    </mc:AlternateContent>
    <mc:AlternateContent xmlns:mc="http://schemas.openxmlformats.org/markup-compatibility/2006">
      <mc:Choice Requires="x14">
        <control shapeId="10246" r:id="rId8" name="cmdCheckConstraintsSheet">
          <controlPr defaultSize="0" autoLine="0" r:id="rId9">
            <anchor moveWithCells="1">
              <from>
                <xdr:col>0</xdr:col>
                <xdr:colOff>19050</xdr:colOff>
                <xdr:row>3</xdr:row>
                <xdr:rowOff>0</xdr:rowOff>
              </from>
              <to>
                <xdr:col>0</xdr:col>
                <xdr:colOff>800100</xdr:colOff>
                <xdr:row>4</xdr:row>
                <xdr:rowOff>0</xdr:rowOff>
              </to>
            </anchor>
          </controlPr>
        </control>
      </mc:Choice>
      <mc:Fallback>
        <control shapeId="10246" r:id="rId8" name="cmdCheckConstraintsSheet"/>
      </mc:Fallback>
    </mc:AlternateContent>
    <mc:AlternateContent xmlns:mc="http://schemas.openxmlformats.org/markup-compatibility/2006">
      <mc:Choice Requires="x14">
        <control shapeId="10242" r:id="rId10" name="cmdConstraintSets">
          <controlPr defaultSize="0" autoLine="0" r:id="rId11">
            <anchor moveWithCells="1">
              <from>
                <xdr:col>4</xdr:col>
                <xdr:colOff>19050</xdr:colOff>
                <xdr:row>4</xdr:row>
                <xdr:rowOff>19050</xdr:rowOff>
              </from>
              <to>
                <xdr:col>4</xdr:col>
                <xdr:colOff>990600</xdr:colOff>
                <xdr:row>5</xdr:row>
                <xdr:rowOff>38100</xdr:rowOff>
              </to>
            </anchor>
          </controlPr>
        </control>
      </mc:Choice>
      <mc:Fallback>
        <control shapeId="10242" r:id="rId10" name="cmdConstraintSets"/>
      </mc:Fallback>
    </mc:AlternateContent>
  </controls>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3"/>
  <dimension ref="A1:H23"/>
  <sheetViews>
    <sheetView workbookViewId="0">
      <pane xSplit="4" ySplit="7" topLeftCell="E8" activePane="bottomRight" state="frozen"/>
      <selection pane="topRight" activeCell="E1" sqref="E1"/>
      <selection pane="bottomLeft" activeCell="A8" sqref="A8"/>
      <selection pane="bottomRight"/>
    </sheetView>
  </sheetViews>
  <sheetFormatPr defaultRowHeight="12.5"/>
  <cols>
    <col min="1" max="1" width="10.54296875" customWidth="1"/>
    <col min="2" max="2" width="11.7265625" customWidth="1"/>
    <col min="3" max="3" width="24" customWidth="1"/>
    <col min="4" max="4" width="5.453125" customWidth="1"/>
    <col min="6" max="6" width="10.26953125" bestFit="1" customWidth="1"/>
  </cols>
  <sheetData>
    <row r="1" spans="1:8" ht="13">
      <c r="A1" s="1" t="s">
        <v>1746</v>
      </c>
      <c r="B1" s="12"/>
    </row>
    <row r="3" spans="1:8" ht="15" customHeight="1"/>
    <row r="4" spans="1:8" ht="20.25" customHeight="1"/>
    <row r="5" spans="1:8" ht="19.5" customHeight="1">
      <c r="E5" s="2"/>
      <c r="F5" s="2"/>
      <c r="G5" s="11"/>
      <c r="H5" s="11"/>
    </row>
    <row r="6" spans="1:8" ht="19.5" customHeight="1">
      <c r="E6" s="8"/>
      <c r="F6" s="8"/>
      <c r="G6" s="11"/>
      <c r="H6" s="11"/>
    </row>
    <row r="7" spans="1:8" ht="13">
      <c r="B7" s="1" t="s">
        <v>1</v>
      </c>
      <c r="C7" s="1" t="s">
        <v>2</v>
      </c>
      <c r="D7" s="1" t="s">
        <v>431</v>
      </c>
      <c r="E7" s="10"/>
      <c r="F7" s="6"/>
      <c r="G7" s="6"/>
      <c r="H7" s="11"/>
    </row>
    <row r="9" spans="1:8">
      <c r="B9" s="8"/>
      <c r="C9" s="8"/>
      <c r="D9" s="8"/>
    </row>
    <row r="10" spans="1:8">
      <c r="B10" s="8"/>
      <c r="C10" s="8"/>
      <c r="D10" s="8"/>
    </row>
    <row r="13" spans="1:8">
      <c r="B13" s="8"/>
      <c r="C13" s="8"/>
      <c r="D13" s="8"/>
    </row>
    <row r="15" spans="1:8">
      <c r="B15" s="8"/>
      <c r="C15" s="8"/>
      <c r="D15" s="8"/>
    </row>
    <row r="17" spans="2:4">
      <c r="B17" s="8"/>
      <c r="C17" s="8"/>
      <c r="D17" s="8"/>
    </row>
    <row r="19" spans="2:4">
      <c r="B19" s="8"/>
      <c r="C19" s="8"/>
      <c r="D19" s="8"/>
    </row>
    <row r="21" spans="2:4">
      <c r="B21" s="8"/>
      <c r="C21" s="8"/>
      <c r="D21" s="8"/>
    </row>
    <row r="23" spans="2:4">
      <c r="B23" s="8"/>
      <c r="C23" s="8"/>
      <c r="D23" s="8"/>
    </row>
  </sheetData>
  <phoneticPr fontId="0" type="noConversion"/>
  <conditionalFormatting sqref="B13">
    <cfRule type="cellIs" dxfId="1" priority="1" stopIfTrue="1" operator="equal">
      <formula>"REF"</formula>
    </cfRule>
  </conditionalFormatting>
  <pageMargins left="0.75" right="0.75" top="1" bottom="1" header="0.5" footer="0.5"/>
  <pageSetup paperSize="9" orientation="landscape" horizontalDpi="1200" r:id="rId1"/>
  <headerFooter alignWithMargins="0"/>
  <drawing r:id="rId2"/>
  <legacyDrawing r:id="rId3"/>
  <controls>
    <mc:AlternateContent xmlns:mc="http://schemas.openxmlformats.org/markup-compatibility/2006">
      <mc:Choice Requires="x14">
        <control shapeId="4299" r:id="rId4" name="cmdRefreshUnits">
          <controlPr defaultSize="0" autoLine="0" r:id="rId5">
            <anchor moveWithCells="1">
              <from>
                <xdr:col>2</xdr:col>
                <xdr:colOff>1409700</xdr:colOff>
                <xdr:row>2</xdr:row>
                <xdr:rowOff>76200</xdr:rowOff>
              </from>
              <to>
                <xdr:col>3</xdr:col>
                <xdr:colOff>285750</xdr:colOff>
                <xdr:row>4</xdr:row>
                <xdr:rowOff>6350</xdr:rowOff>
              </to>
            </anchor>
          </controlPr>
        </control>
      </mc:Choice>
      <mc:Fallback>
        <control shapeId="4299" r:id="rId4" name="cmdRefreshUnits"/>
      </mc:Fallback>
    </mc:AlternateContent>
    <mc:AlternateContent xmlns:mc="http://schemas.openxmlformats.org/markup-compatibility/2006">
      <mc:Choice Requires="x14">
        <control shapeId="4106" r:id="rId6" name="cmdCheckCommDataSheet">
          <controlPr defaultSize="0" autoLine="0" r:id="rId7">
            <anchor moveWithCells="1">
              <from>
                <xdr:col>0</xdr:col>
                <xdr:colOff>19050</xdr:colOff>
                <xdr:row>3</xdr:row>
                <xdr:rowOff>19050</xdr:rowOff>
              </from>
              <to>
                <xdr:col>0</xdr:col>
                <xdr:colOff>704850</xdr:colOff>
                <xdr:row>4</xdr:row>
                <xdr:rowOff>0</xdr:rowOff>
              </to>
            </anchor>
          </controlPr>
        </control>
      </mc:Choice>
      <mc:Fallback>
        <control shapeId="4106" r:id="rId6" name="cmdCheckCommDataSheet"/>
      </mc:Fallback>
    </mc:AlternateContent>
    <mc:AlternateContent xmlns:mc="http://schemas.openxmlformats.org/markup-compatibility/2006">
      <mc:Choice Requires="x14">
        <control shapeId="4100" r:id="rId8" name="cmdAddParamQualifier">
          <controlPr defaultSize="0" autoLine="0" r:id="rId9">
            <anchor moveWithCells="1">
              <from>
                <xdr:col>0</xdr:col>
                <xdr:colOff>19050</xdr:colOff>
                <xdr:row>5</xdr:row>
                <xdr:rowOff>0</xdr:rowOff>
              </from>
              <to>
                <xdr:col>0</xdr:col>
                <xdr:colOff>704850</xdr:colOff>
                <xdr:row>5</xdr:row>
                <xdr:rowOff>234950</xdr:rowOff>
              </to>
            </anchor>
          </controlPr>
        </control>
      </mc:Choice>
      <mc:Fallback>
        <control shapeId="4100" r:id="rId8" name="cmdAddParamQualifier"/>
      </mc:Fallback>
    </mc:AlternateContent>
    <mc:AlternateContent xmlns:mc="http://schemas.openxmlformats.org/markup-compatibility/2006">
      <mc:Choice Requires="x14">
        <control shapeId="4098" r:id="rId10" name="cmdCommNameAndDesc">
          <controlPr defaultSize="0" autoLine="0" autoPict="0" r:id="rId11">
            <anchor moveWithCells="1">
              <from>
                <xdr:col>1</xdr:col>
                <xdr:colOff>0</xdr:colOff>
                <xdr:row>3</xdr:row>
                <xdr:rowOff>19050</xdr:rowOff>
              </from>
              <to>
                <xdr:col>2</xdr:col>
                <xdr:colOff>1390650</xdr:colOff>
                <xdr:row>4</xdr:row>
                <xdr:rowOff>0</xdr:rowOff>
              </to>
            </anchor>
          </controlPr>
        </control>
      </mc:Choice>
      <mc:Fallback>
        <control shapeId="4098" r:id="rId10" name="cmdCommNameAndDesc"/>
      </mc:Fallback>
    </mc:AlternateContent>
    <mc:AlternateContent xmlns:mc="http://schemas.openxmlformats.org/markup-compatibility/2006">
      <mc:Choice Requires="x14">
        <control shapeId="4097" r:id="rId12" name="cmdAddParameter">
          <controlPr defaultSize="0" autoLine="0" r:id="rId13">
            <anchor moveWithCells="1">
              <from>
                <xdr:col>0</xdr:col>
                <xdr:colOff>19050</xdr:colOff>
                <xdr:row>4</xdr:row>
                <xdr:rowOff>19050</xdr:rowOff>
              </from>
              <to>
                <xdr:col>0</xdr:col>
                <xdr:colOff>704850</xdr:colOff>
                <xdr:row>5</xdr:row>
                <xdr:rowOff>6350</xdr:rowOff>
              </to>
            </anchor>
          </controlPr>
        </control>
      </mc:Choice>
      <mc:Fallback>
        <control shapeId="4097" r:id="rId12" name="cmdAddParameter"/>
      </mc:Fallback>
    </mc:AlternateContent>
  </controls>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4"/>
  <dimension ref="A1:P7"/>
  <sheetViews>
    <sheetView workbookViewId="0">
      <pane xSplit="6" ySplit="7" topLeftCell="G8" activePane="bottomRight" state="frozen"/>
      <selection pane="topRight" activeCell="G1" sqref="G1"/>
      <selection pane="bottomLeft" activeCell="A8" sqref="A8"/>
      <selection pane="bottomRight"/>
    </sheetView>
  </sheetViews>
  <sheetFormatPr defaultRowHeight="12.5"/>
  <cols>
    <col min="1" max="2" width="10.26953125" customWidth="1"/>
    <col min="3" max="3" width="24.26953125" customWidth="1"/>
    <col min="4" max="4" width="7.7265625" customWidth="1"/>
    <col min="6" max="6" width="10.54296875" customWidth="1"/>
    <col min="7" max="7" width="9.7265625" customWidth="1"/>
    <col min="8" max="8" width="8.26953125" customWidth="1"/>
    <col min="9" max="11" width="9.26953125" customWidth="1"/>
    <col min="12" max="12" width="12.54296875" customWidth="1"/>
    <col min="13" max="13" width="12.453125" customWidth="1"/>
  </cols>
  <sheetData>
    <row r="1" spans="1:16" ht="13">
      <c r="A1" s="1" t="s">
        <v>1747</v>
      </c>
      <c r="B1" s="12"/>
    </row>
    <row r="4" spans="1:16" ht="17.25" customHeight="1"/>
    <row r="5" spans="1:16" ht="18" customHeight="1">
      <c r="G5" s="2"/>
      <c r="H5" s="2"/>
      <c r="I5" s="2"/>
      <c r="J5" s="11"/>
      <c r="K5" s="11"/>
      <c r="L5" s="2"/>
      <c r="M5" s="9"/>
      <c r="N5" s="2"/>
      <c r="O5" s="9"/>
      <c r="P5" s="9"/>
    </row>
    <row r="6" spans="1:16" ht="17.25" customHeight="1">
      <c r="G6" s="2"/>
      <c r="H6" s="2"/>
      <c r="I6" s="2"/>
      <c r="J6" s="2"/>
      <c r="K6" s="2"/>
      <c r="L6" s="2"/>
      <c r="M6" s="8"/>
      <c r="N6" s="2"/>
      <c r="O6" s="8"/>
    </row>
    <row r="7" spans="1:16" ht="15.75" customHeight="1">
      <c r="B7" s="1" t="s">
        <v>7</v>
      </c>
      <c r="C7" s="1" t="s">
        <v>8</v>
      </c>
      <c r="D7" s="1" t="s">
        <v>431</v>
      </c>
      <c r="E7" s="1" t="s">
        <v>74</v>
      </c>
      <c r="F7" s="1" t="s">
        <v>75</v>
      </c>
      <c r="G7" s="2"/>
      <c r="H7" s="2"/>
      <c r="I7" s="2"/>
      <c r="J7" s="11"/>
      <c r="K7" s="2"/>
      <c r="L7" s="2"/>
      <c r="M7" s="8"/>
      <c r="N7" s="2"/>
      <c r="P7" s="8"/>
    </row>
  </sheetData>
  <phoneticPr fontId="0" type="noConversion"/>
  <pageMargins left="0.75" right="0.75" top="1" bottom="1" header="0.5" footer="0.5"/>
  <pageSetup paperSize="9" orientation="landscape" horizontalDpi="1200" r:id="rId1"/>
  <headerFooter alignWithMargins="0"/>
  <drawing r:id="rId2"/>
  <legacyDrawing r:id="rId3"/>
  <controls>
    <mc:AlternateContent xmlns:mc="http://schemas.openxmlformats.org/markup-compatibility/2006">
      <mc:Choice Requires="x14">
        <control shapeId="3112" r:id="rId4" name="cmdRefreshUnits">
          <controlPr defaultSize="0" autoLine="0" r:id="rId5">
            <anchor moveWithCells="1">
              <from>
                <xdr:col>3</xdr:col>
                <xdr:colOff>0</xdr:colOff>
                <xdr:row>2</xdr:row>
                <xdr:rowOff>19050</xdr:rowOff>
              </from>
              <to>
                <xdr:col>4</xdr:col>
                <xdr:colOff>12700</xdr:colOff>
                <xdr:row>4</xdr:row>
                <xdr:rowOff>19050</xdr:rowOff>
              </to>
            </anchor>
          </controlPr>
        </control>
      </mc:Choice>
      <mc:Fallback>
        <control shapeId="3112" r:id="rId4" name="cmdRefreshUnits"/>
      </mc:Fallback>
    </mc:AlternateContent>
    <mc:AlternateContent xmlns:mc="http://schemas.openxmlformats.org/markup-compatibility/2006">
      <mc:Choice Requires="x14">
        <control shapeId="3080" r:id="rId6" name="cmdCheckTechDataSheet">
          <controlPr defaultSize="0" autoLine="0" autoPict="0" r:id="rId7">
            <anchor moveWithCells="1">
              <from>
                <xdr:col>0</xdr:col>
                <xdr:colOff>19050</xdr:colOff>
                <xdr:row>2</xdr:row>
                <xdr:rowOff>152400</xdr:rowOff>
              </from>
              <to>
                <xdr:col>1</xdr:col>
                <xdr:colOff>19050</xdr:colOff>
                <xdr:row>4</xdr:row>
                <xdr:rowOff>19050</xdr:rowOff>
              </to>
            </anchor>
          </controlPr>
        </control>
      </mc:Choice>
      <mc:Fallback>
        <control shapeId="3080" r:id="rId6" name="cmdCheckTechDataSheet"/>
      </mc:Fallback>
    </mc:AlternateContent>
    <mc:AlternateContent xmlns:mc="http://schemas.openxmlformats.org/markup-compatibility/2006">
      <mc:Choice Requires="x14">
        <control shapeId="3079" r:id="rId8" name="cmdAddParamQualifier">
          <controlPr defaultSize="0" autoLine="0" autoPict="0" r:id="rId9">
            <anchor moveWithCells="1">
              <from>
                <xdr:col>0</xdr:col>
                <xdr:colOff>19050</xdr:colOff>
                <xdr:row>5</xdr:row>
                <xdr:rowOff>19050</xdr:rowOff>
              </from>
              <to>
                <xdr:col>1</xdr:col>
                <xdr:colOff>19050</xdr:colOff>
                <xdr:row>6</xdr:row>
                <xdr:rowOff>31750</xdr:rowOff>
              </to>
            </anchor>
          </controlPr>
        </control>
      </mc:Choice>
      <mc:Fallback>
        <control shapeId="3079" r:id="rId8" name="cmdAddParamQualifier"/>
      </mc:Fallback>
    </mc:AlternateContent>
    <mc:AlternateContent xmlns:mc="http://schemas.openxmlformats.org/markup-compatibility/2006">
      <mc:Choice Requires="x14">
        <control shapeId="3077" r:id="rId10" name="cmdAddParameter">
          <controlPr defaultSize="0" autoLine="0" r:id="rId11">
            <anchor moveWithCells="1">
              <from>
                <xdr:col>0</xdr:col>
                <xdr:colOff>19050</xdr:colOff>
                <xdr:row>4</xdr:row>
                <xdr:rowOff>0</xdr:rowOff>
              </from>
              <to>
                <xdr:col>0</xdr:col>
                <xdr:colOff>704850</xdr:colOff>
                <xdr:row>5</xdr:row>
                <xdr:rowOff>6350</xdr:rowOff>
              </to>
            </anchor>
          </controlPr>
        </control>
      </mc:Choice>
      <mc:Fallback>
        <control shapeId="3077" r:id="rId10" name="cmdAddParameter"/>
      </mc:Fallback>
    </mc:AlternateContent>
    <mc:AlternateContent xmlns:mc="http://schemas.openxmlformats.org/markup-compatibility/2006">
      <mc:Choice Requires="x14">
        <control shapeId="3076" r:id="rId12" name="cmdCommOUT">
          <controlPr defaultSize="0" autoLine="0" r:id="rId13">
            <anchor moveWithCells="1">
              <from>
                <xdr:col>5</xdr:col>
                <xdr:colOff>19050</xdr:colOff>
                <xdr:row>2</xdr:row>
                <xdr:rowOff>146050</xdr:rowOff>
              </from>
              <to>
                <xdr:col>5</xdr:col>
                <xdr:colOff>711200</xdr:colOff>
                <xdr:row>4</xdr:row>
                <xdr:rowOff>6350</xdr:rowOff>
              </to>
            </anchor>
          </controlPr>
        </control>
      </mc:Choice>
      <mc:Fallback>
        <control shapeId="3076" r:id="rId12" name="cmdCommOUT"/>
      </mc:Fallback>
    </mc:AlternateContent>
    <mc:AlternateContent xmlns:mc="http://schemas.openxmlformats.org/markup-compatibility/2006">
      <mc:Choice Requires="x14">
        <control shapeId="3075" r:id="rId14" name="cmdCommIN">
          <controlPr defaultSize="0" autoLine="0" r:id="rId15">
            <anchor moveWithCells="1">
              <from>
                <xdr:col>4</xdr:col>
                <xdr:colOff>19050</xdr:colOff>
                <xdr:row>2</xdr:row>
                <xdr:rowOff>146050</xdr:rowOff>
              </from>
              <to>
                <xdr:col>5</xdr:col>
                <xdr:colOff>0</xdr:colOff>
                <xdr:row>4</xdr:row>
                <xdr:rowOff>6350</xdr:rowOff>
              </to>
            </anchor>
          </controlPr>
        </control>
      </mc:Choice>
      <mc:Fallback>
        <control shapeId="3075" r:id="rId14" name="cmdCommIN"/>
      </mc:Fallback>
    </mc:AlternateContent>
    <mc:AlternateContent xmlns:mc="http://schemas.openxmlformats.org/markup-compatibility/2006">
      <mc:Choice Requires="x14">
        <control shapeId="3074" r:id="rId16" name="cmdTechNameAndDesc">
          <controlPr defaultSize="0" autoLine="0" r:id="rId17">
            <anchor moveWithCells="1">
              <from>
                <xdr:col>1</xdr:col>
                <xdr:colOff>38100</xdr:colOff>
                <xdr:row>2</xdr:row>
                <xdr:rowOff>152400</xdr:rowOff>
              </from>
              <to>
                <xdr:col>2</xdr:col>
                <xdr:colOff>1549400</xdr:colOff>
                <xdr:row>4</xdr:row>
                <xdr:rowOff>12700</xdr:rowOff>
              </to>
            </anchor>
          </controlPr>
        </control>
      </mc:Choice>
      <mc:Fallback>
        <control shapeId="3074" r:id="rId16" name="cmdTechNameAndDesc"/>
      </mc:Fallback>
    </mc:AlternateContent>
  </controls>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6"/>
  <dimension ref="A1:E18"/>
  <sheetViews>
    <sheetView workbookViewId="0">
      <pane xSplit="5" ySplit="7" topLeftCell="F8" activePane="bottomRight" state="frozen"/>
      <selection pane="topRight" activeCell="G1" sqref="G1"/>
      <selection pane="bottomLeft" activeCell="A8" sqref="A8"/>
      <selection pane="bottomRight" activeCell="A2" sqref="A2"/>
    </sheetView>
  </sheetViews>
  <sheetFormatPr defaultRowHeight="12.5"/>
  <cols>
    <col min="1" max="1" width="10.453125" customWidth="1"/>
    <col min="2" max="2" width="11.54296875" customWidth="1"/>
    <col min="3" max="3" width="17.54296875" customWidth="1"/>
    <col min="4" max="4" width="5.7265625" customWidth="1"/>
    <col min="5" max="5" width="10.26953125" customWidth="1"/>
  </cols>
  <sheetData>
    <row r="1" spans="1:5" ht="13">
      <c r="A1" s="1" t="s">
        <v>1748</v>
      </c>
      <c r="B1" s="12"/>
    </row>
    <row r="4" spans="1:5" ht="17.25" customHeight="1"/>
    <row r="5" spans="1:5" ht="18" customHeight="1"/>
    <row r="6" spans="1:5" ht="17.25" customHeight="1"/>
    <row r="7" spans="1:5" ht="15.75" customHeight="1">
      <c r="B7" s="1" t="s">
        <v>429</v>
      </c>
      <c r="C7" s="1" t="s">
        <v>430</v>
      </c>
      <c r="D7" s="1" t="s">
        <v>431</v>
      </c>
      <c r="E7" s="1" t="s">
        <v>7</v>
      </c>
    </row>
    <row r="8" spans="1:5">
      <c r="B8" s="2"/>
      <c r="E8" s="2"/>
    </row>
    <row r="9" spans="1:5">
      <c r="B9" s="7"/>
      <c r="E9" s="2"/>
    </row>
    <row r="10" spans="1:5">
      <c r="B10" s="7"/>
      <c r="E10" s="2"/>
    </row>
    <row r="11" spans="1:5">
      <c r="B11" s="7"/>
      <c r="E11" s="2"/>
    </row>
    <row r="14" spans="1:5" ht="13">
      <c r="A14" s="1"/>
    </row>
    <row r="18" spans="1:5" ht="13">
      <c r="A18" s="1"/>
      <c r="B18" s="1"/>
      <c r="C18" s="1"/>
      <c r="D18" s="1"/>
      <c r="E18" s="1"/>
    </row>
  </sheetData>
  <phoneticPr fontId="0" type="noConversion"/>
  <pageMargins left="0.75" right="0.75" top="1" bottom="1" header="0.5" footer="0.5"/>
  <pageSetup paperSize="9" orientation="landscape" horizontalDpi="1200" r:id="rId1"/>
  <headerFooter alignWithMargins="0"/>
  <drawing r:id="rId2"/>
  <legacyDrawing r:id="rId3"/>
  <controls>
    <mc:AlternateContent xmlns:mc="http://schemas.openxmlformats.org/markup-compatibility/2006">
      <mc:Choice Requires="x14">
        <control shapeId="11374" r:id="rId4" name="cmdRefreshUnits">
          <controlPr defaultSize="0" autoLine="0" r:id="rId5">
            <anchor moveWithCells="1">
              <from>
                <xdr:col>2</xdr:col>
                <xdr:colOff>1009650</xdr:colOff>
                <xdr:row>2</xdr:row>
                <xdr:rowOff>31750</xdr:rowOff>
              </from>
              <to>
                <xdr:col>3</xdr:col>
                <xdr:colOff>336550</xdr:colOff>
                <xdr:row>4</xdr:row>
                <xdr:rowOff>31750</xdr:rowOff>
              </to>
            </anchor>
          </controlPr>
        </control>
      </mc:Choice>
      <mc:Fallback>
        <control shapeId="11374" r:id="rId4" name="cmdRefreshUnits"/>
      </mc:Fallback>
    </mc:AlternateContent>
    <mc:AlternateContent xmlns:mc="http://schemas.openxmlformats.org/markup-compatibility/2006">
      <mc:Choice Requires="x14">
        <control shapeId="11361" r:id="rId6" name="cmdAddParamQualifier">
          <controlPr defaultSize="0" autoLine="0" r:id="rId7">
            <anchor moveWithCells="1">
              <from>
                <xdr:col>0</xdr:col>
                <xdr:colOff>19050</xdr:colOff>
                <xdr:row>5</xdr:row>
                <xdr:rowOff>0</xdr:rowOff>
              </from>
              <to>
                <xdr:col>0</xdr:col>
                <xdr:colOff>704850</xdr:colOff>
                <xdr:row>6</xdr:row>
                <xdr:rowOff>19050</xdr:rowOff>
              </to>
            </anchor>
          </controlPr>
        </control>
      </mc:Choice>
      <mc:Fallback>
        <control shapeId="11361" r:id="rId6" name="cmdAddParamQualifier"/>
      </mc:Fallback>
    </mc:AlternateContent>
    <mc:AlternateContent xmlns:mc="http://schemas.openxmlformats.org/markup-compatibility/2006">
      <mc:Choice Requires="x14">
        <control shapeId="11271" r:id="rId8" name="cmdCheckConstrDataSheet">
          <controlPr defaultSize="0" autoLine="0" autoPict="0" r:id="rId9">
            <anchor moveWithCells="1">
              <from>
                <xdr:col>0</xdr:col>
                <xdr:colOff>19050</xdr:colOff>
                <xdr:row>2</xdr:row>
                <xdr:rowOff>152400</xdr:rowOff>
              </from>
              <to>
                <xdr:col>1</xdr:col>
                <xdr:colOff>0</xdr:colOff>
                <xdr:row>4</xdr:row>
                <xdr:rowOff>19050</xdr:rowOff>
              </to>
            </anchor>
          </controlPr>
        </control>
      </mc:Choice>
      <mc:Fallback>
        <control shapeId="11271" r:id="rId8" name="cmdCheckConstrDataSheet"/>
      </mc:Fallback>
    </mc:AlternateContent>
    <mc:AlternateContent xmlns:mc="http://schemas.openxmlformats.org/markup-compatibility/2006">
      <mc:Choice Requires="x14">
        <control shapeId="11268" r:id="rId10" name="cmdAddParameter">
          <controlPr defaultSize="0" autoLine="0" r:id="rId11">
            <anchor moveWithCells="1">
              <from>
                <xdr:col>0</xdr:col>
                <xdr:colOff>19050</xdr:colOff>
                <xdr:row>4</xdr:row>
                <xdr:rowOff>0</xdr:rowOff>
              </from>
              <to>
                <xdr:col>0</xdr:col>
                <xdr:colOff>704850</xdr:colOff>
                <xdr:row>5</xdr:row>
                <xdr:rowOff>6350</xdr:rowOff>
              </to>
            </anchor>
          </controlPr>
        </control>
      </mc:Choice>
      <mc:Fallback>
        <control shapeId="11268" r:id="rId10" name="cmdAddParameter"/>
      </mc:Fallback>
    </mc:AlternateContent>
    <mc:AlternateContent xmlns:mc="http://schemas.openxmlformats.org/markup-compatibility/2006">
      <mc:Choice Requires="x14">
        <control shapeId="11266" r:id="rId12" name="cmdTechName">
          <controlPr defaultSize="0" autoLine="0" r:id="rId13">
            <anchor moveWithCells="1">
              <from>
                <xdr:col>4</xdr:col>
                <xdr:colOff>0</xdr:colOff>
                <xdr:row>3</xdr:row>
                <xdr:rowOff>0</xdr:rowOff>
              </from>
              <to>
                <xdr:col>4</xdr:col>
                <xdr:colOff>660400</xdr:colOff>
                <xdr:row>4</xdr:row>
                <xdr:rowOff>19050</xdr:rowOff>
              </to>
            </anchor>
          </controlPr>
        </control>
      </mc:Choice>
      <mc:Fallback>
        <control shapeId="11266" r:id="rId12" name="cmdTechName"/>
      </mc:Fallback>
    </mc:AlternateContent>
    <mc:AlternateContent xmlns:mc="http://schemas.openxmlformats.org/markup-compatibility/2006">
      <mc:Choice Requires="x14">
        <control shapeId="11265" r:id="rId14" name="cmdConstrNameAndDesc">
          <controlPr defaultSize="0" autoLine="0" autoPict="0" r:id="rId15">
            <anchor moveWithCells="1">
              <from>
                <xdr:col>1</xdr:col>
                <xdr:colOff>19050</xdr:colOff>
                <xdr:row>3</xdr:row>
                <xdr:rowOff>0</xdr:rowOff>
              </from>
              <to>
                <xdr:col>2</xdr:col>
                <xdr:colOff>1009650</xdr:colOff>
                <xdr:row>4</xdr:row>
                <xdr:rowOff>19050</xdr:rowOff>
              </to>
            </anchor>
          </controlPr>
        </control>
      </mc:Choice>
      <mc:Fallback>
        <control shapeId="11265" r:id="rId14" name="cmdConstrNameAndDesc"/>
      </mc:Fallback>
    </mc:AlternateContent>
  </controls>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P127"/>
  <sheetViews>
    <sheetView topLeftCell="AC100" workbookViewId="0">
      <selection activeCell="R107" sqref="R107"/>
    </sheetView>
  </sheetViews>
  <sheetFormatPr defaultColWidth="9.26953125" defaultRowHeight="14"/>
  <cols>
    <col min="1" max="1" width="9.26953125" style="366"/>
    <col min="2" max="2" width="14.7265625" style="366" customWidth="1"/>
    <col min="3" max="3" width="27.26953125" style="366" customWidth="1"/>
    <col min="4" max="5" width="14.26953125" style="366" customWidth="1"/>
    <col min="6" max="8" width="12.26953125" style="366" customWidth="1"/>
    <col min="9" max="10" width="9.26953125" style="366"/>
    <col min="11" max="11" width="13.453125" style="366" customWidth="1"/>
    <col min="12" max="12" width="16.26953125" style="366" customWidth="1"/>
    <col min="13" max="15" width="12" style="366" customWidth="1"/>
    <col min="16" max="16" width="12.453125" style="366" customWidth="1"/>
    <col min="17" max="17" width="10.7265625" style="366" customWidth="1"/>
    <col min="18" max="18" width="12" style="366" customWidth="1"/>
    <col min="19" max="19" width="9.453125" style="366" customWidth="1"/>
    <col min="20" max="21" width="9.26953125" style="366"/>
    <col min="22" max="22" width="11.54296875" style="366" customWidth="1"/>
    <col min="23" max="26" width="9.26953125" style="366"/>
    <col min="27" max="27" width="3.26953125" style="366" customWidth="1"/>
    <col min="28" max="28" width="9.26953125" style="366"/>
    <col min="29" max="29" width="15.453125" style="366" customWidth="1"/>
    <col min="30" max="34" width="9.26953125" style="366"/>
    <col min="35" max="35" width="5.54296875" style="366" customWidth="1"/>
    <col min="36" max="16384" width="9.26953125" style="366"/>
  </cols>
  <sheetData>
    <row r="1" spans="1:18">
      <c r="A1" s="661"/>
      <c r="B1" s="661" t="s">
        <v>1750</v>
      </c>
      <c r="C1" s="661"/>
      <c r="D1" s="661"/>
      <c r="E1" s="661"/>
      <c r="F1" s="661"/>
      <c r="G1" s="661"/>
      <c r="H1" s="661"/>
      <c r="I1" s="661"/>
      <c r="J1" s="661"/>
      <c r="K1" s="661"/>
      <c r="L1" s="661"/>
      <c r="M1" s="661"/>
      <c r="N1" s="367" t="s">
        <v>1751</v>
      </c>
      <c r="O1" s="661"/>
      <c r="P1" s="661"/>
      <c r="Q1" s="661"/>
      <c r="R1" s="661"/>
    </row>
    <row r="2" spans="1:18">
      <c r="A2" s="661" t="s">
        <v>1752</v>
      </c>
      <c r="B2" s="661" t="s">
        <v>1753</v>
      </c>
      <c r="C2" s="661" t="s">
        <v>1754</v>
      </c>
      <c r="D2" s="661" t="s">
        <v>1755</v>
      </c>
      <c r="E2" s="661" t="s">
        <v>1756</v>
      </c>
      <c r="F2" s="661" t="s">
        <v>1757</v>
      </c>
      <c r="G2" s="661" t="s">
        <v>1758</v>
      </c>
      <c r="H2" s="661" t="s">
        <v>1759</v>
      </c>
      <c r="I2" s="661"/>
      <c r="J2" s="661"/>
      <c r="K2" s="661"/>
      <c r="L2" s="661"/>
      <c r="M2" s="661"/>
      <c r="N2" s="368">
        <v>100</v>
      </c>
      <c r="O2" s="661">
        <v>1000</v>
      </c>
      <c r="P2" s="661"/>
      <c r="Q2" s="661"/>
      <c r="R2" s="661"/>
    </row>
    <row r="3" spans="1:18">
      <c r="A3" s="661" t="s">
        <v>618</v>
      </c>
      <c r="B3" s="661" t="s">
        <v>1155</v>
      </c>
      <c r="C3" s="661" t="s">
        <v>1760</v>
      </c>
      <c r="D3" s="661">
        <v>540775.87804322469</v>
      </c>
      <c r="E3" s="661">
        <v>405581.90853245434</v>
      </c>
      <c r="F3" s="661">
        <v>270387.93902161234</v>
      </c>
      <c r="G3" s="661">
        <v>135193.96951080617</v>
      </c>
      <c r="H3" s="661">
        <v>54077.58780432785</v>
      </c>
      <c r="I3" s="661"/>
      <c r="J3" s="661"/>
      <c r="K3" s="661"/>
      <c r="L3" s="661"/>
      <c r="M3" s="661"/>
      <c r="N3" s="661"/>
      <c r="O3" s="661"/>
      <c r="P3" s="661"/>
      <c r="Q3" s="661"/>
      <c r="R3" s="661"/>
    </row>
    <row r="4" spans="1:18">
      <c r="A4" s="661" t="s">
        <v>618</v>
      </c>
      <c r="B4" s="661" t="s">
        <v>1761</v>
      </c>
      <c r="C4" s="661" t="s">
        <v>1762</v>
      </c>
      <c r="D4" s="661">
        <v>0</v>
      </c>
      <c r="E4" s="661">
        <v>0</v>
      </c>
      <c r="F4" s="661">
        <v>0</v>
      </c>
      <c r="G4" s="661">
        <v>0</v>
      </c>
      <c r="H4" s="661">
        <v>0</v>
      </c>
      <c r="I4" s="661"/>
      <c r="J4" s="661"/>
      <c r="K4" s="661"/>
      <c r="L4" s="661"/>
      <c r="M4" s="661"/>
      <c r="N4" s="661"/>
      <c r="O4" s="661"/>
      <c r="P4" s="661"/>
      <c r="Q4" s="661"/>
      <c r="R4" s="661"/>
    </row>
    <row r="5" spans="1:18">
      <c r="A5" s="661" t="s">
        <v>618</v>
      </c>
      <c r="B5" s="661" t="s">
        <v>1452</v>
      </c>
      <c r="C5" s="661" t="s">
        <v>1763</v>
      </c>
      <c r="D5" s="661">
        <v>77690.061166666681</v>
      </c>
      <c r="E5" s="661">
        <v>58267.545874999953</v>
      </c>
      <c r="F5" s="661">
        <v>38845.03058333334</v>
      </c>
      <c r="G5" s="661">
        <v>19422.51529166667</v>
      </c>
      <c r="H5" s="661">
        <v>7769.0061166666692</v>
      </c>
      <c r="I5" s="661"/>
      <c r="J5" s="661"/>
      <c r="K5" s="661"/>
      <c r="L5" s="661"/>
      <c r="M5" s="661"/>
      <c r="N5" s="661"/>
      <c r="O5" s="661"/>
      <c r="P5" s="661"/>
      <c r="Q5" s="661"/>
      <c r="R5" s="661"/>
    </row>
    <row r="6" spans="1:18">
      <c r="A6" s="661" t="s">
        <v>618</v>
      </c>
      <c r="B6" s="661" t="s">
        <v>1452</v>
      </c>
      <c r="C6" s="661" t="s">
        <v>1764</v>
      </c>
      <c r="D6" s="661">
        <v>51817.496197691216</v>
      </c>
      <c r="E6" s="661">
        <v>38863.122148268318</v>
      </c>
      <c r="F6" s="661">
        <v>25908.748098845608</v>
      </c>
      <c r="G6" s="661">
        <v>12954.374049422804</v>
      </c>
      <c r="H6" s="661">
        <v>5181.7496197691207</v>
      </c>
      <c r="I6" s="661"/>
      <c r="J6" s="661"/>
      <c r="K6" s="661"/>
      <c r="L6" s="661"/>
      <c r="M6" s="661"/>
      <c r="N6" s="661"/>
      <c r="O6" s="661"/>
      <c r="P6" s="661"/>
      <c r="Q6" s="661"/>
      <c r="R6" s="661"/>
    </row>
    <row r="7" spans="1:18">
      <c r="A7" s="661" t="s">
        <v>618</v>
      </c>
      <c r="B7" s="661" t="s">
        <v>1452</v>
      </c>
      <c r="C7" s="661" t="s">
        <v>1765</v>
      </c>
      <c r="D7" s="661">
        <v>29964.876491342002</v>
      </c>
      <c r="E7" s="661">
        <v>22473.657368506501</v>
      </c>
      <c r="F7" s="661">
        <v>14982.438245671001</v>
      </c>
      <c r="G7" s="661">
        <v>7491.2191228355005</v>
      </c>
      <c r="H7" s="661">
        <v>2996.4876491341997</v>
      </c>
      <c r="I7" s="661"/>
      <c r="J7" s="661"/>
      <c r="K7" s="661"/>
      <c r="L7" s="661"/>
      <c r="M7" s="661"/>
      <c r="N7" s="661"/>
      <c r="O7" s="661"/>
      <c r="P7" s="661"/>
      <c r="Q7" s="661"/>
      <c r="R7" s="661"/>
    </row>
    <row r="8" spans="1:18">
      <c r="A8" s="661" t="s">
        <v>618</v>
      </c>
      <c r="B8" s="661" t="s">
        <v>1452</v>
      </c>
      <c r="C8" s="661" t="s">
        <v>1766</v>
      </c>
      <c r="D8" s="661">
        <v>93476.642833333332</v>
      </c>
      <c r="E8" s="661">
        <v>70107.48212500001</v>
      </c>
      <c r="F8" s="661">
        <v>46738.321416666666</v>
      </c>
      <c r="G8" s="661">
        <v>23369.160708333333</v>
      </c>
      <c r="H8" s="661">
        <v>9347.6642833333353</v>
      </c>
      <c r="I8" s="661"/>
      <c r="J8" s="661"/>
      <c r="K8" s="661"/>
      <c r="L8" s="661"/>
      <c r="M8" s="661"/>
      <c r="N8" s="661"/>
      <c r="O8" s="661"/>
      <c r="P8" s="661"/>
      <c r="Q8" s="661"/>
      <c r="R8" s="661"/>
    </row>
    <row r="9" spans="1:18">
      <c r="A9" s="661" t="s">
        <v>618</v>
      </c>
      <c r="B9" s="661" t="s">
        <v>1767</v>
      </c>
      <c r="C9" s="661" t="s">
        <v>1767</v>
      </c>
      <c r="D9" s="661">
        <v>39459.57538888885</v>
      </c>
      <c r="E9" s="661">
        <v>29594.681541666672</v>
      </c>
      <c r="F9" s="661">
        <v>19729.787694444425</v>
      </c>
      <c r="G9" s="661">
        <v>9864.8938472222126</v>
      </c>
      <c r="H9" s="661">
        <v>3945.9575388888884</v>
      </c>
      <c r="I9" s="661"/>
      <c r="J9" s="661"/>
      <c r="K9" s="379" t="s">
        <v>1768</v>
      </c>
      <c r="L9" s="661" t="s">
        <v>1769</v>
      </c>
      <c r="M9" s="661"/>
      <c r="N9" s="661"/>
      <c r="O9" s="661"/>
      <c r="P9" s="661"/>
      <c r="Q9" s="661"/>
      <c r="R9" s="661"/>
    </row>
    <row r="10" spans="1:18">
      <c r="A10" s="661" t="s">
        <v>618</v>
      </c>
      <c r="B10" s="661" t="s">
        <v>1452</v>
      </c>
      <c r="C10" s="661" t="s">
        <v>1770</v>
      </c>
      <c r="D10" s="661">
        <v>87.815000000000012</v>
      </c>
      <c r="E10" s="661">
        <v>65.861249999999998</v>
      </c>
      <c r="F10" s="661">
        <v>43.907500000000006</v>
      </c>
      <c r="G10" s="661">
        <v>21.953750000000003</v>
      </c>
      <c r="H10" s="661">
        <v>8.7814999999999994</v>
      </c>
      <c r="I10" s="661"/>
      <c r="J10" s="661"/>
      <c r="K10" s="379" t="s">
        <v>1771</v>
      </c>
      <c r="L10" s="379" t="s">
        <v>618</v>
      </c>
      <c r="M10" s="379" t="s">
        <v>617</v>
      </c>
      <c r="N10" s="379" t="s">
        <v>619</v>
      </c>
      <c r="O10" s="379" t="s">
        <v>620</v>
      </c>
      <c r="P10" s="379" t="s">
        <v>621</v>
      </c>
      <c r="Q10" s="379" t="s">
        <v>1772</v>
      </c>
      <c r="R10" s="379" t="s">
        <v>1773</v>
      </c>
    </row>
    <row r="11" spans="1:18">
      <c r="A11" s="661" t="s">
        <v>618</v>
      </c>
      <c r="B11" s="661" t="s">
        <v>1454</v>
      </c>
      <c r="C11" s="661" t="s">
        <v>1454</v>
      </c>
      <c r="D11" s="661">
        <v>67240.060571428534</v>
      </c>
      <c r="E11" s="661">
        <v>50430.045428571451</v>
      </c>
      <c r="F11" s="661">
        <v>33620.030285714267</v>
      </c>
      <c r="G11" s="661">
        <v>16810.015142857133</v>
      </c>
      <c r="H11" s="661">
        <v>6724.0060571428512</v>
      </c>
      <c r="I11" s="661"/>
      <c r="J11" s="661"/>
      <c r="K11" s="661" t="s">
        <v>1452</v>
      </c>
      <c r="L11" s="661">
        <v>331670.10467056569</v>
      </c>
      <c r="M11" s="661">
        <v>582704.58734917839</v>
      </c>
      <c r="N11" s="661">
        <v>322227.95117456425</v>
      </c>
      <c r="O11" s="661">
        <v>642979.06521327246</v>
      </c>
      <c r="P11" s="661">
        <v>40028.159951073838</v>
      </c>
      <c r="Q11" s="661"/>
      <c r="R11" s="661">
        <v>1919609.8683586547</v>
      </c>
    </row>
    <row r="12" spans="1:18">
      <c r="A12" s="661" t="s">
        <v>618</v>
      </c>
      <c r="B12" s="661" t="s">
        <v>1155</v>
      </c>
      <c r="C12" s="661" t="s">
        <v>1774</v>
      </c>
      <c r="D12" s="661">
        <v>309335.15236562811</v>
      </c>
      <c r="E12" s="661">
        <v>232001.36427422159</v>
      </c>
      <c r="F12" s="661">
        <v>154667.57618281405</v>
      </c>
      <c r="G12" s="661">
        <v>77333.788091407027</v>
      </c>
      <c r="H12" s="661">
        <v>30933.515236562846</v>
      </c>
      <c r="I12" s="661"/>
      <c r="J12" s="661"/>
      <c r="K12" s="661" t="s">
        <v>1775</v>
      </c>
      <c r="L12" s="661"/>
      <c r="M12" s="661"/>
      <c r="N12" s="661"/>
      <c r="O12" s="661">
        <v>0</v>
      </c>
      <c r="P12" s="661"/>
      <c r="Q12" s="661"/>
      <c r="R12" s="661">
        <v>0</v>
      </c>
    </row>
    <row r="13" spans="1:18">
      <c r="A13" s="661" t="s">
        <v>618</v>
      </c>
      <c r="B13" s="661" t="s">
        <v>1452</v>
      </c>
      <c r="C13" s="661" t="s">
        <v>1776</v>
      </c>
      <c r="D13" s="661">
        <v>83207.477619047597</v>
      </c>
      <c r="E13" s="661">
        <v>62405.608214285727</v>
      </c>
      <c r="F13" s="661">
        <v>41603.738809523798</v>
      </c>
      <c r="G13" s="661">
        <v>20801.869404761899</v>
      </c>
      <c r="H13" s="661">
        <v>8320.747761904755</v>
      </c>
      <c r="I13" s="661"/>
      <c r="J13" s="661"/>
      <c r="K13" s="661" t="s">
        <v>1767</v>
      </c>
      <c r="L13" s="661">
        <v>19729.787694444425</v>
      </c>
      <c r="M13" s="661">
        <v>143673.41048051949</v>
      </c>
      <c r="N13" s="661">
        <v>29358.960374602568</v>
      </c>
      <c r="O13" s="661">
        <v>15440.311959093609</v>
      </c>
      <c r="P13" s="661">
        <v>1325.2537987987987</v>
      </c>
      <c r="Q13" s="661"/>
      <c r="R13" s="661">
        <v>209527.72430745888</v>
      </c>
    </row>
    <row r="14" spans="1:18">
      <c r="A14" s="661" t="s">
        <v>618</v>
      </c>
      <c r="B14" s="661" t="s">
        <v>1777</v>
      </c>
      <c r="C14" s="661" t="s">
        <v>1744</v>
      </c>
      <c r="D14" s="661">
        <v>12106.057500000004</v>
      </c>
      <c r="E14" s="661">
        <v>9079.5431249999929</v>
      </c>
      <c r="F14" s="661">
        <v>6053.0287500000022</v>
      </c>
      <c r="G14" s="661">
        <v>3026.5143750000011</v>
      </c>
      <c r="H14" s="661">
        <v>1210.6057500000002</v>
      </c>
      <c r="I14" s="661"/>
      <c r="J14" s="661"/>
      <c r="K14" s="661" t="s">
        <v>1454</v>
      </c>
      <c r="L14" s="661">
        <v>33620.030285714267</v>
      </c>
      <c r="M14" s="661">
        <v>84109.013290043251</v>
      </c>
      <c r="N14" s="661">
        <v>6402.9995892857123</v>
      </c>
      <c r="O14" s="661">
        <v>97762.301552988487</v>
      </c>
      <c r="P14" s="661">
        <v>659.03250000000014</v>
      </c>
      <c r="Q14" s="661"/>
      <c r="R14" s="661">
        <v>222553.3772180317</v>
      </c>
    </row>
    <row r="15" spans="1:18">
      <c r="A15" s="661" t="s">
        <v>618</v>
      </c>
      <c r="B15" s="661" t="s">
        <v>1777</v>
      </c>
      <c r="C15" s="661" t="s">
        <v>1778</v>
      </c>
      <c r="D15" s="661">
        <v>0</v>
      </c>
      <c r="E15" s="661">
        <v>0</v>
      </c>
      <c r="F15" s="661">
        <v>0</v>
      </c>
      <c r="G15" s="661">
        <v>0</v>
      </c>
      <c r="H15" s="661">
        <v>0</v>
      </c>
      <c r="I15" s="661"/>
      <c r="J15" s="661"/>
      <c r="K15" s="661" t="s">
        <v>1777</v>
      </c>
      <c r="L15" s="661">
        <v>6053.0287500000022</v>
      </c>
      <c r="M15" s="661">
        <v>3604.8270833333345</v>
      </c>
      <c r="N15" s="661">
        <v>3773.1327888888877</v>
      </c>
      <c r="O15" s="661">
        <v>1723.6733333333332</v>
      </c>
      <c r="P15" s="661">
        <v>803.80507142857164</v>
      </c>
      <c r="Q15" s="661"/>
      <c r="R15" s="661">
        <v>15958.46702698413</v>
      </c>
    </row>
    <row r="16" spans="1:18">
      <c r="A16" s="661" t="s">
        <v>618</v>
      </c>
      <c r="B16" s="661" t="s">
        <v>1452</v>
      </c>
      <c r="C16" s="661" t="s">
        <v>1779</v>
      </c>
      <c r="D16" s="661">
        <v>4538.383333333335</v>
      </c>
      <c r="E16" s="661">
        <v>3403.7874999999999</v>
      </c>
      <c r="F16" s="661">
        <v>2269.1916666666675</v>
      </c>
      <c r="G16" s="661">
        <v>1134.5958333333338</v>
      </c>
      <c r="H16" s="661">
        <v>453.83833333333337</v>
      </c>
      <c r="I16" s="661"/>
      <c r="J16" s="661"/>
      <c r="K16" s="661" t="s">
        <v>1155</v>
      </c>
      <c r="L16" s="661">
        <v>658592.7971964858</v>
      </c>
      <c r="M16" s="661">
        <v>1748367.2703294219</v>
      </c>
      <c r="N16" s="661">
        <v>573258.57783803763</v>
      </c>
      <c r="O16" s="661">
        <v>2609679.5033981609</v>
      </c>
      <c r="P16" s="661">
        <v>584547.24149297224</v>
      </c>
      <c r="Q16" s="661"/>
      <c r="R16" s="661">
        <v>6174445.3902550787</v>
      </c>
    </row>
    <row r="17" spans="1:30">
      <c r="A17" s="661" t="s">
        <v>618</v>
      </c>
      <c r="B17" s="661" t="s">
        <v>1761</v>
      </c>
      <c r="C17" s="661" t="s">
        <v>1780</v>
      </c>
      <c r="D17" s="661">
        <v>2935.0899999999997</v>
      </c>
      <c r="E17" s="661">
        <v>2201.3174999999997</v>
      </c>
      <c r="F17" s="661">
        <v>1467.5449999999998</v>
      </c>
      <c r="G17" s="661">
        <v>733.77249999999992</v>
      </c>
      <c r="H17" s="661">
        <v>293.50900000000007</v>
      </c>
      <c r="I17" s="661"/>
      <c r="J17" s="661"/>
      <c r="K17" s="661" t="s">
        <v>1761</v>
      </c>
      <c r="L17" s="661">
        <v>1467.5449999999998</v>
      </c>
      <c r="M17" s="661">
        <v>40343.432916666672</v>
      </c>
      <c r="N17" s="661">
        <v>19110.5975</v>
      </c>
      <c r="O17" s="661">
        <v>500.6752395400049</v>
      </c>
      <c r="P17" s="661">
        <v>1807.540105263158</v>
      </c>
      <c r="Q17" s="661"/>
      <c r="R17" s="661">
        <v>63229.790761469834</v>
      </c>
      <c r="S17" s="661"/>
      <c r="T17" s="661"/>
      <c r="U17" s="661"/>
      <c r="V17" s="661"/>
      <c r="W17" s="661"/>
      <c r="X17" s="661"/>
      <c r="Y17" s="661"/>
      <c r="Z17" s="661"/>
      <c r="AA17" s="661"/>
      <c r="AB17" s="661"/>
      <c r="AC17" s="661"/>
      <c r="AD17" s="661"/>
    </row>
    <row r="18" spans="1:30">
      <c r="A18" s="661" t="s">
        <v>618</v>
      </c>
      <c r="B18" s="661" t="s">
        <v>1155</v>
      </c>
      <c r="C18" s="661" t="s">
        <v>1781</v>
      </c>
      <c r="D18" s="661">
        <v>467074.56398411881</v>
      </c>
      <c r="E18" s="661">
        <v>350305.92298808118</v>
      </c>
      <c r="F18" s="661">
        <v>233537.2819920594</v>
      </c>
      <c r="G18" s="661">
        <v>116768.6409960297</v>
      </c>
      <c r="H18" s="661">
        <v>46707.456398411559</v>
      </c>
      <c r="I18" s="661"/>
      <c r="J18" s="661"/>
      <c r="K18" s="661" t="s">
        <v>1772</v>
      </c>
      <c r="L18" s="661"/>
      <c r="M18" s="661"/>
      <c r="N18" s="661"/>
      <c r="O18" s="661"/>
      <c r="P18" s="661"/>
      <c r="Q18" s="661"/>
      <c r="R18" s="661"/>
      <c r="S18" s="661"/>
      <c r="T18" s="661"/>
      <c r="U18" s="661"/>
      <c r="V18" s="661"/>
      <c r="W18" s="661"/>
      <c r="X18" s="661"/>
      <c r="Y18" s="661"/>
      <c r="Z18" s="661"/>
      <c r="AA18" s="661"/>
      <c r="AB18" s="661"/>
      <c r="AC18" s="661"/>
      <c r="AD18" s="661"/>
    </row>
    <row r="19" spans="1:30">
      <c r="A19" s="661" t="s">
        <v>618</v>
      </c>
      <c r="B19" s="661" t="s">
        <v>1452</v>
      </c>
      <c r="C19" s="661" t="s">
        <v>1782</v>
      </c>
      <c r="D19" s="661">
        <v>152929.31454387298</v>
      </c>
      <c r="E19" s="661">
        <v>114696.98590790445</v>
      </c>
      <c r="F19" s="661">
        <v>76464.657271936492</v>
      </c>
      <c r="G19" s="661">
        <v>38232.328635968246</v>
      </c>
      <c r="H19" s="661">
        <v>15292.931454387273</v>
      </c>
      <c r="I19" s="661"/>
      <c r="J19" s="661"/>
      <c r="K19" s="661" t="s">
        <v>1773</v>
      </c>
      <c r="L19" s="661">
        <v>1051133.2935972102</v>
      </c>
      <c r="M19" s="661">
        <v>2602802.5414491631</v>
      </c>
      <c r="N19" s="661">
        <v>954132.21926537913</v>
      </c>
      <c r="O19" s="661">
        <v>3368085.5306963888</v>
      </c>
      <c r="P19" s="661">
        <v>629171.03291953658</v>
      </c>
      <c r="Q19" s="661"/>
      <c r="R19" s="661">
        <v>8605324.6179276779</v>
      </c>
      <c r="S19" s="661"/>
      <c r="T19" s="661"/>
      <c r="U19" s="661"/>
      <c r="V19" s="661"/>
      <c r="W19" s="661"/>
      <c r="X19" s="661"/>
      <c r="Y19" s="661"/>
      <c r="Z19" s="661"/>
      <c r="AA19" s="661"/>
      <c r="AB19" s="661"/>
      <c r="AC19" s="661"/>
      <c r="AD19" s="661"/>
    </row>
    <row r="20" spans="1:30">
      <c r="A20" s="661" t="s">
        <v>618</v>
      </c>
      <c r="B20" s="661" t="s">
        <v>1452</v>
      </c>
      <c r="C20" s="661" t="s">
        <v>1783</v>
      </c>
      <c r="D20" s="661">
        <v>51941.221155844156</v>
      </c>
      <c r="E20" s="661">
        <v>38955.91586688313</v>
      </c>
      <c r="F20" s="661">
        <v>25970.610577922078</v>
      </c>
      <c r="G20" s="661">
        <v>12985.305288961039</v>
      </c>
      <c r="H20" s="661">
        <v>5194.1221155844141</v>
      </c>
      <c r="I20" s="661"/>
      <c r="J20" s="661"/>
      <c r="K20" s="661"/>
      <c r="L20" s="661"/>
      <c r="M20" s="661"/>
      <c r="N20" s="661"/>
      <c r="O20" s="661"/>
      <c r="P20" s="661"/>
      <c r="Q20" s="661"/>
      <c r="R20" s="661"/>
      <c r="S20" s="661"/>
      <c r="T20" s="661"/>
      <c r="U20" s="661"/>
      <c r="V20" s="661"/>
      <c r="W20" s="661"/>
      <c r="X20" s="661"/>
      <c r="Y20" s="661"/>
      <c r="Z20" s="661"/>
      <c r="AA20" s="661"/>
      <c r="AB20" s="661"/>
      <c r="AC20" s="661"/>
      <c r="AD20" s="661"/>
    </row>
    <row r="21" spans="1:30">
      <c r="A21" s="661" t="s">
        <v>618</v>
      </c>
      <c r="B21" s="661" t="s">
        <v>1452</v>
      </c>
      <c r="C21" s="661" t="s">
        <v>1784</v>
      </c>
      <c r="D21" s="661">
        <v>0</v>
      </c>
      <c r="E21" s="661">
        <v>0</v>
      </c>
      <c r="F21" s="661">
        <v>0</v>
      </c>
      <c r="G21" s="661">
        <v>0</v>
      </c>
      <c r="H21" s="661">
        <v>0</v>
      </c>
      <c r="I21" s="661"/>
      <c r="J21" s="661"/>
      <c r="K21" s="661"/>
      <c r="L21" s="661"/>
      <c r="M21" s="661"/>
      <c r="N21" s="661"/>
      <c r="O21" s="661"/>
      <c r="P21" s="661"/>
      <c r="Q21" s="661"/>
      <c r="R21" s="661"/>
      <c r="S21" s="661"/>
      <c r="T21" s="661"/>
      <c r="U21" s="661"/>
      <c r="V21" s="661"/>
      <c r="W21" s="661"/>
      <c r="X21" s="661"/>
      <c r="Y21" s="661"/>
      <c r="Z21" s="661"/>
      <c r="AA21" s="661"/>
      <c r="AB21" s="661"/>
      <c r="AC21" s="661"/>
      <c r="AD21" s="661"/>
    </row>
    <row r="22" spans="1:30">
      <c r="A22" s="661" t="s">
        <v>618</v>
      </c>
      <c r="B22" s="661" t="s">
        <v>1452</v>
      </c>
      <c r="C22" s="661" t="s">
        <v>1785</v>
      </c>
      <c r="D22" s="661">
        <v>0</v>
      </c>
      <c r="E22" s="661">
        <v>0</v>
      </c>
      <c r="F22" s="661">
        <v>0</v>
      </c>
      <c r="G22" s="661">
        <v>0</v>
      </c>
      <c r="H22" s="661">
        <v>0</v>
      </c>
      <c r="I22" s="661"/>
      <c r="J22" s="661"/>
      <c r="K22" s="661" t="s">
        <v>1771</v>
      </c>
      <c r="L22" s="661" t="s">
        <v>618</v>
      </c>
      <c r="M22" s="661" t="s">
        <v>617</v>
      </c>
      <c r="N22" s="661" t="s">
        <v>619</v>
      </c>
      <c r="O22" s="661" t="s">
        <v>620</v>
      </c>
      <c r="P22" s="661" t="s">
        <v>621</v>
      </c>
      <c r="Q22" s="661" t="s">
        <v>1772</v>
      </c>
      <c r="R22" s="661" t="s">
        <v>1773</v>
      </c>
      <c r="S22" s="661"/>
      <c r="T22" s="702" t="s">
        <v>1786</v>
      </c>
      <c r="U22" s="702"/>
      <c r="V22" s="702"/>
      <c r="W22" s="702"/>
      <c r="X22" s="702"/>
      <c r="Y22" s="702"/>
      <c r="Z22" s="702"/>
      <c r="AA22" s="702"/>
      <c r="AB22" s="702"/>
      <c r="AC22" s="702"/>
      <c r="AD22" s="702"/>
    </row>
    <row r="23" spans="1:30">
      <c r="A23" s="661" t="s">
        <v>618</v>
      </c>
      <c r="B23" s="661" t="s">
        <v>1452</v>
      </c>
      <c r="C23" s="661" t="s">
        <v>1787</v>
      </c>
      <c r="D23" s="661">
        <v>117686.92100000002</v>
      </c>
      <c r="E23" s="661">
        <v>88265.190750000023</v>
      </c>
      <c r="F23" s="661">
        <v>58843.460500000008</v>
      </c>
      <c r="G23" s="661">
        <v>29421.730250000004</v>
      </c>
      <c r="H23" s="661">
        <v>11768.692100000022</v>
      </c>
      <c r="I23" s="661"/>
      <c r="J23" s="661"/>
      <c r="K23" s="661" t="s">
        <v>1452</v>
      </c>
      <c r="L23" s="661">
        <v>331670.10467056569</v>
      </c>
      <c r="M23" s="661">
        <v>582704.58734917839</v>
      </c>
      <c r="N23" s="661">
        <v>322227.95117456425</v>
      </c>
      <c r="O23" s="661">
        <v>642979.06521327246</v>
      </c>
      <c r="P23" s="661">
        <v>40028.159951073838</v>
      </c>
      <c r="Q23" s="661"/>
      <c r="R23" s="661">
        <v>1919609.8683586547</v>
      </c>
      <c r="S23" s="661"/>
      <c r="T23" s="661"/>
      <c r="U23" s="661"/>
      <c r="V23" s="661"/>
      <c r="W23" s="661"/>
      <c r="X23" s="661"/>
      <c r="Y23" s="661"/>
      <c r="Z23" s="661"/>
      <c r="AA23" s="661"/>
      <c r="AB23" s="661"/>
      <c r="AC23" s="661"/>
      <c r="AD23" s="661"/>
    </row>
    <row r="24" spans="1:30">
      <c r="A24" s="661" t="s">
        <v>617</v>
      </c>
      <c r="B24" s="369" t="s">
        <v>1155</v>
      </c>
      <c r="C24" s="369" t="s">
        <v>1760</v>
      </c>
      <c r="D24" s="369">
        <v>1681893.1854580806</v>
      </c>
      <c r="E24" s="369">
        <v>1261419.889093691</v>
      </c>
      <c r="F24" s="369">
        <v>840946.59272904031</v>
      </c>
      <c r="G24" s="369">
        <v>420473.29636452015</v>
      </c>
      <c r="H24" s="369">
        <v>168189.31854582977</v>
      </c>
      <c r="I24" s="661"/>
      <c r="J24" s="661"/>
      <c r="K24" s="661" t="s">
        <v>1767</v>
      </c>
      <c r="L24" s="661">
        <v>19729.787694444425</v>
      </c>
      <c r="M24" s="661">
        <v>143673.41048051949</v>
      </c>
      <c r="N24" s="661">
        <v>29358.960374602568</v>
      </c>
      <c r="O24" s="661">
        <v>15440.311959093609</v>
      </c>
      <c r="P24" s="661">
        <v>1325.2537987987987</v>
      </c>
      <c r="Q24" s="661"/>
      <c r="R24" s="661">
        <v>209527.72430745888</v>
      </c>
      <c r="S24" s="661"/>
      <c r="T24" s="661"/>
      <c r="U24" s="661"/>
      <c r="V24" s="661"/>
      <c r="W24" s="661"/>
      <c r="X24" s="661"/>
      <c r="Y24" s="661"/>
      <c r="Z24" s="661"/>
      <c r="AA24" s="661"/>
      <c r="AB24" s="661"/>
      <c r="AC24" s="661"/>
      <c r="AD24" s="661"/>
    </row>
    <row r="25" spans="1:30">
      <c r="A25" s="661" t="s">
        <v>617</v>
      </c>
      <c r="B25" s="369" t="s">
        <v>1761</v>
      </c>
      <c r="C25" s="369" t="s">
        <v>1762</v>
      </c>
      <c r="D25" s="369">
        <v>35.07</v>
      </c>
      <c r="E25" s="369">
        <v>26.302499999999998</v>
      </c>
      <c r="F25" s="369">
        <v>17.535</v>
      </c>
      <c r="G25" s="369">
        <v>8.7675000000000001</v>
      </c>
      <c r="H25" s="369">
        <v>3.5070000000000006</v>
      </c>
      <c r="I25" s="661"/>
      <c r="J25" s="661"/>
      <c r="K25" s="661" t="s">
        <v>1454</v>
      </c>
      <c r="L25" s="661">
        <v>33620.030285714267</v>
      </c>
      <c r="M25" s="661">
        <v>84109.013290043251</v>
      </c>
      <c r="N25" s="661">
        <v>6402.9995892857123</v>
      </c>
      <c r="O25" s="661">
        <v>97762.301552988487</v>
      </c>
      <c r="P25" s="661">
        <v>659.03250000000014</v>
      </c>
      <c r="Q25" s="661"/>
      <c r="R25" s="661">
        <v>222553.3772180317</v>
      </c>
      <c r="S25" s="661"/>
      <c r="T25" s="661"/>
      <c r="U25" s="661"/>
      <c r="V25" s="661"/>
      <c r="W25" s="661"/>
      <c r="X25" s="661"/>
      <c r="Y25" s="661"/>
      <c r="Z25" s="661"/>
      <c r="AA25" s="661"/>
      <c r="AB25" s="661"/>
      <c r="AC25" s="661"/>
      <c r="AD25" s="661"/>
    </row>
    <row r="26" spans="1:30">
      <c r="A26" s="661" t="s">
        <v>617</v>
      </c>
      <c r="B26" s="369" t="s">
        <v>1452</v>
      </c>
      <c r="C26" s="369" t="s">
        <v>1763</v>
      </c>
      <c r="D26" s="369">
        <v>51774.064166666642</v>
      </c>
      <c r="E26" s="369">
        <v>38830.548124999943</v>
      </c>
      <c r="F26" s="369">
        <v>25887.032083333321</v>
      </c>
      <c r="G26" s="369">
        <v>12943.51604166666</v>
      </c>
      <c r="H26" s="369">
        <v>5177.4064166666649</v>
      </c>
      <c r="I26" s="661"/>
      <c r="J26" s="661"/>
      <c r="K26" s="661" t="s">
        <v>1155</v>
      </c>
      <c r="L26" s="661">
        <v>658592.7971964858</v>
      </c>
      <c r="M26" s="661">
        <v>1748367.2703294219</v>
      </c>
      <c r="N26" s="661">
        <v>573258.57783803763</v>
      </c>
      <c r="O26" s="661">
        <v>2609679.5033981609</v>
      </c>
      <c r="P26" s="661">
        <v>584547.24149297224</v>
      </c>
      <c r="Q26" s="661"/>
      <c r="R26" s="661">
        <v>6174445.3902550787</v>
      </c>
      <c r="S26" s="661"/>
      <c r="T26" s="661"/>
      <c r="U26" s="661"/>
      <c r="V26" s="661"/>
      <c r="W26" s="661"/>
      <c r="X26" s="661"/>
      <c r="Y26" s="661"/>
      <c r="Z26" s="661"/>
      <c r="AA26" s="661"/>
      <c r="AB26" s="661"/>
      <c r="AC26" s="661"/>
      <c r="AD26" s="661"/>
    </row>
    <row r="27" spans="1:30">
      <c r="A27" s="661" t="s">
        <v>617</v>
      </c>
      <c r="B27" s="369" t="s">
        <v>1452</v>
      </c>
      <c r="C27" s="369" t="s">
        <v>1764</v>
      </c>
      <c r="D27" s="369">
        <v>111602.51194465274</v>
      </c>
      <c r="E27" s="369">
        <v>83701.883958489547</v>
      </c>
      <c r="F27" s="369">
        <v>55801.255972326369</v>
      </c>
      <c r="G27" s="369">
        <v>27900.627986163185</v>
      </c>
      <c r="H27" s="369">
        <v>11160.251194465271</v>
      </c>
      <c r="I27" s="661"/>
      <c r="J27" s="661"/>
      <c r="K27" s="661" t="s">
        <v>1761</v>
      </c>
      <c r="L27" s="661">
        <v>1467.5449999999998</v>
      </c>
      <c r="M27" s="661">
        <v>40343.432916666672</v>
      </c>
      <c r="N27" s="661">
        <v>19110.5975</v>
      </c>
      <c r="O27" s="661">
        <v>500.6752395400049</v>
      </c>
      <c r="P27" s="661">
        <v>1807.540105263158</v>
      </c>
      <c r="Q27" s="661"/>
      <c r="R27" s="661">
        <v>63229.790761469834</v>
      </c>
      <c r="S27" s="661"/>
      <c r="T27" s="661"/>
      <c r="U27" s="661"/>
      <c r="V27" s="661"/>
      <c r="W27" s="661"/>
      <c r="X27" s="661"/>
      <c r="Y27" s="661"/>
      <c r="Z27" s="661"/>
      <c r="AA27" s="661"/>
      <c r="AB27" s="661"/>
      <c r="AC27" s="661"/>
      <c r="AD27" s="661"/>
    </row>
    <row r="28" spans="1:30">
      <c r="A28" s="661" t="s">
        <v>617</v>
      </c>
      <c r="B28" s="369" t="s">
        <v>1452</v>
      </c>
      <c r="C28" s="369" t="s">
        <v>1765</v>
      </c>
      <c r="D28" s="369">
        <v>33625.304278860029</v>
      </c>
      <c r="E28" s="369">
        <v>25218.978209145025</v>
      </c>
      <c r="F28" s="369">
        <v>16812.652139430014</v>
      </c>
      <c r="G28" s="369">
        <v>8406.3260697150072</v>
      </c>
      <c r="H28" s="369">
        <v>3362.5304278860035</v>
      </c>
      <c r="I28" s="661"/>
      <c r="J28" s="661"/>
      <c r="K28" s="661"/>
      <c r="L28" s="661"/>
      <c r="M28" s="661"/>
      <c r="N28" s="661"/>
      <c r="O28" s="661"/>
      <c r="P28" s="661"/>
      <c r="Q28" s="661"/>
      <c r="R28" s="661"/>
      <c r="S28" s="661"/>
      <c r="T28" s="661"/>
      <c r="U28" s="661"/>
      <c r="V28" s="661"/>
      <c r="W28" s="661"/>
      <c r="X28" s="661"/>
      <c r="Y28" s="661"/>
      <c r="Z28" s="661"/>
      <c r="AA28" s="661"/>
      <c r="AB28" s="661"/>
      <c r="AC28" s="661"/>
      <c r="AD28" s="661"/>
    </row>
    <row r="29" spans="1:30">
      <c r="A29" s="661" t="s">
        <v>617</v>
      </c>
      <c r="B29" s="369" t="s">
        <v>1452</v>
      </c>
      <c r="C29" s="369" t="s">
        <v>1766</v>
      </c>
      <c r="D29" s="369">
        <v>155625.43434711071</v>
      </c>
      <c r="E29" s="369">
        <v>116719.07576033314</v>
      </c>
      <c r="F29" s="369">
        <v>77812.717173555357</v>
      </c>
      <c r="G29" s="369">
        <v>38906.358586777678</v>
      </c>
      <c r="H29" s="369">
        <v>15562.543434711077</v>
      </c>
      <c r="I29" s="661"/>
      <c r="J29" s="661"/>
      <c r="K29" s="661"/>
      <c r="L29" s="661"/>
      <c r="M29" s="661"/>
      <c r="N29" s="661"/>
      <c r="O29" s="661"/>
      <c r="P29" s="661"/>
      <c r="Q29" s="661"/>
      <c r="R29" s="661"/>
      <c r="S29" s="661"/>
      <c r="T29" s="661"/>
      <c r="U29" s="661"/>
      <c r="V29" s="661"/>
      <c r="W29" s="661"/>
      <c r="X29" s="661"/>
      <c r="Y29" s="661"/>
      <c r="Z29" s="661"/>
      <c r="AA29" s="661"/>
      <c r="AB29" s="661"/>
      <c r="AC29" s="661"/>
      <c r="AD29" s="661"/>
    </row>
    <row r="30" spans="1:30">
      <c r="A30" s="661" t="s">
        <v>617</v>
      </c>
      <c r="B30" s="369" t="s">
        <v>1767</v>
      </c>
      <c r="C30" s="369" t="s">
        <v>1767</v>
      </c>
      <c r="D30" s="369">
        <v>287346.82096103899</v>
      </c>
      <c r="E30" s="369">
        <v>215510.11572077926</v>
      </c>
      <c r="F30" s="369">
        <v>143673.41048051949</v>
      </c>
      <c r="G30" s="369">
        <v>71836.705240259747</v>
      </c>
      <c r="H30" s="369">
        <v>28734.682096103897</v>
      </c>
      <c r="I30" s="661"/>
      <c r="J30" s="661"/>
      <c r="K30" s="661" t="s">
        <v>1771</v>
      </c>
      <c r="L30" s="661" t="s">
        <v>618</v>
      </c>
      <c r="M30" s="661" t="s">
        <v>617</v>
      </c>
      <c r="N30" s="661" t="s">
        <v>619</v>
      </c>
      <c r="O30" s="661" t="s">
        <v>620</v>
      </c>
      <c r="P30" s="661" t="s">
        <v>621</v>
      </c>
      <c r="Q30" s="661"/>
      <c r="R30" s="661"/>
      <c r="S30" s="661"/>
      <c r="T30" s="661"/>
      <c r="U30" s="661"/>
      <c r="V30" s="661"/>
      <c r="W30" s="661"/>
      <c r="X30" s="661"/>
      <c r="Y30" s="661"/>
      <c r="Z30" s="661"/>
      <c r="AA30" s="661"/>
      <c r="AB30" s="661"/>
      <c r="AC30" s="661"/>
      <c r="AD30" s="661"/>
    </row>
    <row r="31" spans="1:30">
      <c r="A31" s="661" t="s">
        <v>617</v>
      </c>
      <c r="B31" s="369" t="s">
        <v>1452</v>
      </c>
      <c r="C31" s="369" t="s">
        <v>1770</v>
      </c>
      <c r="D31" s="369">
        <v>47130.734421384201</v>
      </c>
      <c r="E31" s="369">
        <v>35348.0508160381</v>
      </c>
      <c r="F31" s="369">
        <v>23565.3672106921</v>
      </c>
      <c r="G31" s="369">
        <v>11782.68360534605</v>
      </c>
      <c r="H31" s="369">
        <v>4713.0734421384122</v>
      </c>
      <c r="I31" s="661"/>
      <c r="J31" s="661"/>
      <c r="K31" s="661" t="s">
        <v>1788</v>
      </c>
      <c r="L31" s="661">
        <f>L26</f>
        <v>658592.7971964858</v>
      </c>
      <c r="M31" s="661">
        <f t="shared" ref="M31:P31" si="0">M26</f>
        <v>1748367.2703294219</v>
      </c>
      <c r="N31" s="661">
        <f t="shared" si="0"/>
        <v>573258.57783803763</v>
      </c>
      <c r="O31" s="661">
        <f t="shared" si="0"/>
        <v>2609679.5033981609</v>
      </c>
      <c r="P31" s="661">
        <f t="shared" si="0"/>
        <v>584547.24149297224</v>
      </c>
      <c r="Q31" s="661"/>
      <c r="R31" s="661"/>
      <c r="S31" s="661"/>
      <c r="T31" s="661"/>
      <c r="U31" s="661"/>
      <c r="V31" s="661"/>
      <c r="W31" s="661"/>
      <c r="X31" s="661"/>
      <c r="Y31" s="661"/>
      <c r="Z31" s="661"/>
      <c r="AA31" s="661"/>
      <c r="AB31" s="661"/>
      <c r="AC31" s="661"/>
      <c r="AD31" s="661"/>
    </row>
    <row r="32" spans="1:30">
      <c r="A32" s="661" t="s">
        <v>617</v>
      </c>
      <c r="B32" s="369" t="s">
        <v>1454</v>
      </c>
      <c r="C32" s="369" t="s">
        <v>1454</v>
      </c>
      <c r="D32" s="369">
        <v>168218.0265800865</v>
      </c>
      <c r="E32" s="369">
        <v>126163.51993506502</v>
      </c>
      <c r="F32" s="369">
        <v>84109.013290043251</v>
      </c>
      <c r="G32" s="369">
        <v>42054.506645021625</v>
      </c>
      <c r="H32" s="369">
        <v>16821.802658008633</v>
      </c>
      <c r="I32" s="661"/>
      <c r="J32" s="661"/>
      <c r="K32" s="661" t="s">
        <v>1789</v>
      </c>
      <c r="L32" s="661">
        <f>L23+L27+L24+L25</f>
        <v>386487.46765072434</v>
      </c>
      <c r="M32" s="661">
        <f t="shared" ref="M32:P32" si="1">M23+M27+M24+M25</f>
        <v>850830.44403640786</v>
      </c>
      <c r="N32" s="661">
        <f t="shared" si="1"/>
        <v>377100.50863845251</v>
      </c>
      <c r="O32" s="661">
        <f t="shared" si="1"/>
        <v>756682.35396489454</v>
      </c>
      <c r="P32" s="661">
        <f t="shared" si="1"/>
        <v>43819.986355135792</v>
      </c>
      <c r="Q32" s="661"/>
      <c r="R32" s="661"/>
      <c r="S32" s="661"/>
      <c r="T32" s="661"/>
      <c r="U32" s="661"/>
      <c r="V32" s="661"/>
      <c r="W32" s="661"/>
      <c r="X32" s="661"/>
      <c r="Y32" s="661"/>
      <c r="Z32" s="661"/>
      <c r="AA32" s="661"/>
      <c r="AB32" s="661"/>
      <c r="AC32" s="661"/>
      <c r="AD32" s="661"/>
    </row>
    <row r="33" spans="1:25">
      <c r="A33" s="661"/>
      <c r="B33" s="369"/>
      <c r="C33" s="369"/>
      <c r="D33" s="369"/>
      <c r="E33" s="369"/>
      <c r="F33" s="369"/>
      <c r="G33" s="369"/>
      <c r="H33" s="369"/>
      <c r="I33" s="661"/>
      <c r="J33" s="661"/>
      <c r="K33" s="661"/>
      <c r="L33" s="661"/>
      <c r="M33" s="661"/>
      <c r="N33" s="661"/>
      <c r="O33" s="661"/>
      <c r="P33" s="661"/>
      <c r="Q33" s="661"/>
      <c r="R33" s="661"/>
      <c r="S33" s="661"/>
      <c r="T33" s="661"/>
      <c r="U33" s="661"/>
      <c r="V33" s="661"/>
      <c r="W33" s="661"/>
      <c r="X33" s="661"/>
      <c r="Y33" s="661"/>
    </row>
    <row r="34" spans="1:25">
      <c r="A34" s="661"/>
      <c r="B34" s="369"/>
      <c r="C34" s="369"/>
      <c r="D34" s="369"/>
      <c r="E34" s="369"/>
      <c r="F34" s="369"/>
      <c r="G34" s="369"/>
      <c r="H34" s="369"/>
      <c r="I34" s="661"/>
      <c r="J34" s="661"/>
      <c r="K34" s="661" t="s">
        <v>1771</v>
      </c>
      <c r="L34" s="661" t="s">
        <v>618</v>
      </c>
      <c r="M34" s="661" t="s">
        <v>617</v>
      </c>
      <c r="N34" s="661" t="s">
        <v>619</v>
      </c>
      <c r="O34" s="661" t="s">
        <v>620</v>
      </c>
      <c r="P34" s="661" t="s">
        <v>621</v>
      </c>
      <c r="Q34" s="661"/>
      <c r="R34" s="661"/>
      <c r="S34" s="661"/>
      <c r="T34" s="661"/>
      <c r="U34" s="661"/>
      <c r="V34" s="661"/>
      <c r="W34" s="661"/>
      <c r="X34" s="661"/>
      <c r="Y34" s="661"/>
    </row>
    <row r="35" spans="1:25">
      <c r="A35" s="661" t="s">
        <v>617</v>
      </c>
      <c r="B35" s="369" t="s">
        <v>1155</v>
      </c>
      <c r="C35" s="369" t="s">
        <v>1774</v>
      </c>
      <c r="D35" s="369">
        <v>414618.08359172504</v>
      </c>
      <c r="E35" s="369">
        <v>310963.56269379344</v>
      </c>
      <c r="F35" s="369">
        <v>207309.04179586252</v>
      </c>
      <c r="G35" s="369">
        <v>103654.52089793126</v>
      </c>
      <c r="H35" s="369">
        <v>41461.808359172363</v>
      </c>
      <c r="I35" s="661"/>
      <c r="J35" s="661"/>
      <c r="K35" s="661" t="s">
        <v>1788</v>
      </c>
      <c r="L35" s="661">
        <f>L31/(L31+L32)</f>
        <v>0.6301839383530714</v>
      </c>
      <c r="M35" s="661">
        <f t="shared" ref="M35:P35" si="2">M31/(M31+M32)</f>
        <v>0.67265651268703142</v>
      </c>
      <c r="N35" s="661">
        <f t="shared" si="2"/>
        <v>0.60320208013523191</v>
      </c>
      <c r="O35" s="661">
        <f t="shared" si="2"/>
        <v>0.77522251438601431</v>
      </c>
      <c r="P35" s="661">
        <f t="shared" si="2"/>
        <v>0.93026373048575317</v>
      </c>
      <c r="Q35" s="661"/>
      <c r="R35" s="661"/>
      <c r="S35" s="661"/>
      <c r="T35" s="661"/>
      <c r="U35" s="661"/>
      <c r="V35" s="661"/>
      <c r="W35" s="661"/>
      <c r="X35" s="661"/>
      <c r="Y35" s="661"/>
    </row>
    <row r="36" spans="1:25">
      <c r="A36" s="661" t="s">
        <v>617</v>
      </c>
      <c r="B36" s="369" t="s">
        <v>1452</v>
      </c>
      <c r="C36" s="369" t="s">
        <v>1776</v>
      </c>
      <c r="D36" s="369">
        <v>85942.197560051209</v>
      </c>
      <c r="E36" s="369">
        <v>64456.648170038359</v>
      </c>
      <c r="F36" s="369">
        <v>42971.098780025604</v>
      </c>
      <c r="G36" s="369">
        <v>21485.549390012802</v>
      </c>
      <c r="H36" s="369">
        <v>8594.2197560051263</v>
      </c>
      <c r="I36" s="661"/>
      <c r="J36" s="661"/>
      <c r="K36" s="661" t="s">
        <v>1789</v>
      </c>
      <c r="L36" s="661">
        <f>1-L35</f>
        <v>0.3698160616469286</v>
      </c>
      <c r="M36" s="661">
        <f t="shared" ref="M36:O36" si="3">1-M35</f>
        <v>0.32734348731296858</v>
      </c>
      <c r="N36" s="661">
        <f t="shared" si="3"/>
        <v>0.39679791986476809</v>
      </c>
      <c r="O36" s="661">
        <f t="shared" si="3"/>
        <v>0.22477748561398569</v>
      </c>
      <c r="P36" s="661">
        <f>1-P35</f>
        <v>6.9736269514246829E-2</v>
      </c>
      <c r="Q36" s="661"/>
      <c r="R36" s="661"/>
      <c r="S36" s="661"/>
      <c r="T36" s="661"/>
      <c r="U36" s="661"/>
      <c r="V36" s="661"/>
      <c r="W36" s="661"/>
      <c r="X36" s="661"/>
      <c r="Y36" s="661"/>
    </row>
    <row r="37" spans="1:25">
      <c r="A37" s="661" t="s">
        <v>617</v>
      </c>
      <c r="B37" s="369" t="s">
        <v>1777</v>
      </c>
      <c r="C37" s="369" t="s">
        <v>1744</v>
      </c>
      <c r="D37" s="369">
        <v>7209.654166666669</v>
      </c>
      <c r="E37" s="369">
        <v>5407.2406249999995</v>
      </c>
      <c r="F37" s="369">
        <v>3604.8270833333345</v>
      </c>
      <c r="G37" s="369">
        <v>1802.4135416666672</v>
      </c>
      <c r="H37" s="369">
        <v>720.9654166666669</v>
      </c>
      <c r="I37" s="661"/>
      <c r="J37" s="661"/>
      <c r="K37" s="370" t="s">
        <v>1790</v>
      </c>
      <c r="L37" s="661"/>
      <c r="M37" s="661"/>
      <c r="N37" s="661"/>
      <c r="O37" s="661"/>
      <c r="P37" s="661"/>
      <c r="Q37" s="661"/>
      <c r="R37" s="661"/>
      <c r="S37" s="661"/>
      <c r="T37" s="661"/>
      <c r="U37" s="661"/>
      <c r="V37" s="661"/>
      <c r="W37" s="661"/>
      <c r="X37" s="661"/>
      <c r="Y37" s="661"/>
    </row>
    <row r="38" spans="1:25">
      <c r="A38" s="661" t="s">
        <v>617</v>
      </c>
      <c r="B38" s="369" t="s">
        <v>1777</v>
      </c>
      <c r="C38" s="369" t="s">
        <v>1778</v>
      </c>
      <c r="D38" s="369">
        <v>0</v>
      </c>
      <c r="E38" s="369">
        <v>0</v>
      </c>
      <c r="F38" s="369">
        <v>0</v>
      </c>
      <c r="G38" s="369">
        <v>0</v>
      </c>
      <c r="H38" s="369">
        <v>0</v>
      </c>
      <c r="I38" s="661"/>
      <c r="J38" s="661"/>
      <c r="K38" s="661" t="s">
        <v>1791</v>
      </c>
      <c r="L38" s="661"/>
      <c r="M38" s="661"/>
      <c r="N38" s="661"/>
      <c r="O38" s="661"/>
      <c r="P38" s="661"/>
      <c r="Q38" s="661"/>
      <c r="R38" s="661"/>
      <c r="S38" s="661"/>
      <c r="T38" s="661"/>
      <c r="U38" s="661"/>
      <c r="V38" s="661"/>
      <c r="W38" s="661"/>
      <c r="X38" s="661"/>
      <c r="Y38" s="661"/>
    </row>
    <row r="39" spans="1:25">
      <c r="A39" s="661" t="s">
        <v>617</v>
      </c>
      <c r="B39" s="369" t="s">
        <v>1452</v>
      </c>
      <c r="C39" s="369" t="s">
        <v>1779</v>
      </c>
      <c r="D39" s="369">
        <v>59252.812333333386</v>
      </c>
      <c r="E39" s="369">
        <v>44439.609249999863</v>
      </c>
      <c r="F39" s="369">
        <v>29626.406166666693</v>
      </c>
      <c r="G39" s="369">
        <v>14813.203083333347</v>
      </c>
      <c r="H39" s="369">
        <v>5925.2812333333222</v>
      </c>
      <c r="I39" s="661"/>
      <c r="J39" s="661"/>
      <c r="K39" s="661"/>
      <c r="L39" s="661"/>
      <c r="M39" s="661"/>
      <c r="N39" s="661"/>
      <c r="O39" s="661"/>
      <c r="P39" s="661"/>
      <c r="Q39" s="661"/>
      <c r="R39" s="661"/>
      <c r="S39" s="661"/>
      <c r="T39" s="661"/>
      <c r="U39" s="661"/>
      <c r="V39" s="661"/>
      <c r="W39" s="661"/>
      <c r="X39" s="661"/>
      <c r="Y39" s="661"/>
    </row>
    <row r="40" spans="1:25">
      <c r="A40" s="661" t="s">
        <v>617</v>
      </c>
      <c r="B40" s="369" t="s">
        <v>1761</v>
      </c>
      <c r="C40" s="369" t="s">
        <v>1780</v>
      </c>
      <c r="D40" s="369">
        <v>80651.795833333337</v>
      </c>
      <c r="E40" s="369">
        <v>60488.84687500001</v>
      </c>
      <c r="F40" s="369">
        <v>40325.897916666669</v>
      </c>
      <c r="G40" s="369">
        <v>20162.948958333334</v>
      </c>
      <c r="H40" s="369">
        <v>8065.1795833333317</v>
      </c>
      <c r="I40" s="661"/>
      <c r="J40" s="661"/>
      <c r="K40" s="661" t="s">
        <v>1792</v>
      </c>
      <c r="L40" s="661"/>
      <c r="M40" s="661"/>
      <c r="N40" s="661"/>
      <c r="O40" s="661"/>
      <c r="P40" s="661"/>
      <c r="Q40" s="661"/>
      <c r="R40" s="661"/>
      <c r="S40" s="661"/>
      <c r="T40" s="661"/>
      <c r="U40" s="661"/>
      <c r="V40" s="661"/>
      <c r="W40" s="661"/>
      <c r="X40" s="661"/>
      <c r="Y40" s="661"/>
    </row>
    <row r="41" spans="1:25">
      <c r="A41" s="661" t="s">
        <v>617</v>
      </c>
      <c r="B41" s="369" t="s">
        <v>1155</v>
      </c>
      <c r="C41" s="369" t="s">
        <v>1781</v>
      </c>
      <c r="D41" s="369">
        <v>1400223.2716090381</v>
      </c>
      <c r="E41" s="369">
        <v>1050167.4537068873</v>
      </c>
      <c r="F41" s="369">
        <v>700111.63580451906</v>
      </c>
      <c r="G41" s="369">
        <v>350055.81790225953</v>
      </c>
      <c r="H41" s="369">
        <v>140022.32716091725</v>
      </c>
      <c r="I41" s="661"/>
      <c r="J41" s="661"/>
      <c r="K41" s="661" t="s">
        <v>1793</v>
      </c>
      <c r="L41" s="661"/>
      <c r="M41" s="661"/>
      <c r="N41" s="661"/>
      <c r="O41" s="661"/>
      <c r="P41" s="661"/>
      <c r="Q41" s="661"/>
      <c r="R41" s="661"/>
      <c r="S41" s="661"/>
      <c r="T41" s="661"/>
      <c r="U41" s="661"/>
      <c r="V41" s="661"/>
      <c r="W41" s="661"/>
      <c r="X41" s="661"/>
      <c r="Y41" s="661"/>
    </row>
    <row r="42" spans="1:25">
      <c r="A42" s="661" t="s">
        <v>617</v>
      </c>
      <c r="B42" s="369" t="s">
        <v>1452</v>
      </c>
      <c r="C42" s="369" t="s">
        <v>1782</v>
      </c>
      <c r="D42" s="369">
        <v>274395.13417376974</v>
      </c>
      <c r="E42" s="369">
        <v>205796.35063032576</v>
      </c>
      <c r="F42" s="369">
        <v>137197.56708688487</v>
      </c>
      <c r="G42" s="369">
        <v>68598.783543442434</v>
      </c>
      <c r="H42" s="369">
        <v>27439.513417376882</v>
      </c>
      <c r="I42" s="661"/>
      <c r="J42" s="661"/>
      <c r="K42" s="661" t="s">
        <v>1794</v>
      </c>
      <c r="L42" s="661"/>
      <c r="M42" s="661"/>
      <c r="N42" s="661"/>
      <c r="O42" s="661"/>
      <c r="P42" s="661"/>
      <c r="Q42" s="661"/>
      <c r="R42" s="661"/>
      <c r="S42" s="661"/>
      <c r="T42" s="661"/>
      <c r="U42" s="661"/>
      <c r="V42" s="661"/>
      <c r="W42" s="661"/>
      <c r="X42" s="661"/>
      <c r="Y42" s="661"/>
    </row>
    <row r="43" spans="1:25">
      <c r="A43" s="661" t="s">
        <v>617</v>
      </c>
      <c r="B43" s="369" t="s">
        <v>1452</v>
      </c>
      <c r="C43" s="369" t="s">
        <v>1783</v>
      </c>
      <c r="D43" s="369">
        <v>33974.147377289337</v>
      </c>
      <c r="E43" s="369">
        <v>25480.610532967043</v>
      </c>
      <c r="F43" s="369">
        <v>16987.073688644668</v>
      </c>
      <c r="G43" s="369">
        <v>8493.5368443223342</v>
      </c>
      <c r="H43" s="369">
        <v>3397.4147377289401</v>
      </c>
      <c r="I43" s="661"/>
      <c r="J43" s="661"/>
      <c r="K43" s="661"/>
      <c r="L43" s="661"/>
      <c r="M43" s="661"/>
      <c r="N43" s="661"/>
      <c r="O43" s="661"/>
      <c r="P43" s="661"/>
      <c r="Q43" s="661"/>
      <c r="R43" s="661"/>
      <c r="S43" s="661"/>
      <c r="T43" s="661" t="s">
        <v>1795</v>
      </c>
      <c r="U43" s="661"/>
      <c r="V43" s="661"/>
      <c r="W43" s="661"/>
      <c r="X43" s="661"/>
      <c r="Y43" s="661"/>
    </row>
    <row r="44" spans="1:25">
      <c r="A44" s="661" t="s">
        <v>617</v>
      </c>
      <c r="B44" s="369" t="s">
        <v>1452</v>
      </c>
      <c r="C44" s="369" t="s">
        <v>1784</v>
      </c>
      <c r="D44" s="369">
        <v>0</v>
      </c>
      <c r="E44" s="369">
        <v>0</v>
      </c>
      <c r="F44" s="369">
        <v>0</v>
      </c>
      <c r="G44" s="369">
        <v>0</v>
      </c>
      <c r="H44" s="369">
        <v>0</v>
      </c>
      <c r="I44" s="661"/>
      <c r="J44" s="661"/>
      <c r="K44" s="661"/>
      <c r="L44" s="661"/>
      <c r="M44" s="661"/>
      <c r="N44" s="661"/>
      <c r="O44" s="661"/>
      <c r="P44" s="661"/>
      <c r="Q44" s="661"/>
      <c r="R44" s="661"/>
      <c r="S44" s="661"/>
      <c r="T44" s="371" t="s">
        <v>617</v>
      </c>
      <c r="U44" s="371" t="s">
        <v>618</v>
      </c>
      <c r="V44" s="371" t="s">
        <v>619</v>
      </c>
      <c r="W44" s="371" t="s">
        <v>925</v>
      </c>
      <c r="X44" s="371" t="s">
        <v>620</v>
      </c>
      <c r="Y44" s="371" t="s">
        <v>1455</v>
      </c>
    </row>
    <row r="45" spans="1:25">
      <c r="A45" s="661" t="s">
        <v>617</v>
      </c>
      <c r="B45" s="369" t="s">
        <v>1452</v>
      </c>
      <c r="C45" s="369" t="s">
        <v>1785</v>
      </c>
      <c r="D45" s="369">
        <v>3629.09</v>
      </c>
      <c r="E45" s="369">
        <v>2721.8175000000001</v>
      </c>
      <c r="F45" s="369">
        <v>1814.5450000000001</v>
      </c>
      <c r="G45" s="369">
        <v>907.27250000000004</v>
      </c>
      <c r="H45" s="369">
        <v>362.90899999999999</v>
      </c>
      <c r="I45" s="661"/>
      <c r="J45" s="661"/>
      <c r="K45" s="661"/>
      <c r="L45" s="661"/>
      <c r="M45" s="661"/>
      <c r="N45" s="661"/>
      <c r="O45" s="661"/>
      <c r="P45" s="661"/>
      <c r="Q45" s="661"/>
      <c r="R45" s="661"/>
      <c r="S45" s="661"/>
      <c r="T45" s="371">
        <v>0.97</v>
      </c>
      <c r="U45" s="371">
        <v>0.54</v>
      </c>
      <c r="V45" s="371">
        <v>0.18</v>
      </c>
      <c r="W45" s="371">
        <v>0.17</v>
      </c>
      <c r="X45" s="371">
        <v>1.52</v>
      </c>
      <c r="Y45" s="371">
        <f>SUM(T45:X45)</f>
        <v>3.38</v>
      </c>
    </row>
    <row r="46" spans="1:25">
      <c r="A46" s="661" t="s">
        <v>617</v>
      </c>
      <c r="B46" s="369" t="s">
        <v>1452</v>
      </c>
      <c r="C46" s="369" t="s">
        <v>1787</v>
      </c>
      <c r="D46" s="369">
        <v>308457.74409523874</v>
      </c>
      <c r="E46" s="369">
        <v>231343.30807142862</v>
      </c>
      <c r="F46" s="369">
        <v>154228.87204761937</v>
      </c>
      <c r="G46" s="369">
        <v>77114.436023809685</v>
      </c>
      <c r="H46" s="369">
        <v>30845.774409523903</v>
      </c>
      <c r="I46" s="661"/>
      <c r="J46" s="661"/>
      <c r="K46" s="661"/>
      <c r="L46" s="661"/>
      <c r="M46" s="661"/>
      <c r="N46" s="661"/>
      <c r="O46" s="661"/>
      <c r="P46" s="661"/>
      <c r="Q46" s="661"/>
      <c r="R46" s="661"/>
      <c r="S46" s="661" t="s">
        <v>1788</v>
      </c>
      <c r="T46" s="372">
        <f>T45*M35</f>
        <v>0.65247681730642049</v>
      </c>
      <c r="U46" s="372">
        <f>U45*L35</f>
        <v>0.3402993267106586</v>
      </c>
      <c r="V46" s="372">
        <f t="shared" ref="V46" si="4">V45*N35</f>
        <v>0.10857637442434175</v>
      </c>
      <c r="W46" s="372">
        <f>W45*P35</f>
        <v>0.15814483418257805</v>
      </c>
      <c r="X46" s="372">
        <f>X45*O35</f>
        <v>1.1783382218667418</v>
      </c>
      <c r="Y46" s="372">
        <f>SUM(T46:X46)</f>
        <v>2.4378355744907405</v>
      </c>
    </row>
    <row r="47" spans="1:25">
      <c r="A47" s="661" t="s">
        <v>619</v>
      </c>
      <c r="B47" s="661" t="s">
        <v>1155</v>
      </c>
      <c r="C47" s="661" t="s">
        <v>1760</v>
      </c>
      <c r="D47" s="661">
        <v>83712.548231412933</v>
      </c>
      <c r="E47" s="661">
        <v>62784.411173559041</v>
      </c>
      <c r="F47" s="661">
        <v>41856.274115706467</v>
      </c>
      <c r="G47" s="661">
        <v>20928.137057853233</v>
      </c>
      <c r="H47" s="661">
        <v>8371.2548231411911</v>
      </c>
      <c r="I47" s="661"/>
      <c r="J47" s="661"/>
      <c r="K47" s="661"/>
      <c r="L47" s="661"/>
      <c r="M47" s="661"/>
      <c r="N47" s="661"/>
      <c r="O47" s="661"/>
      <c r="P47" s="661"/>
      <c r="Q47" s="661"/>
      <c r="R47" s="661"/>
      <c r="S47" s="661" t="s">
        <v>1789</v>
      </c>
      <c r="T47" s="372">
        <f>T45*M36</f>
        <v>0.31752318269357954</v>
      </c>
      <c r="U47" s="372">
        <f>U45*L36</f>
        <v>0.19970067328934146</v>
      </c>
      <c r="V47" s="372">
        <f t="shared" ref="V47" si="5">V45*N36</f>
        <v>7.1423625575658248E-2</v>
      </c>
      <c r="W47" s="372">
        <f>W45*P36</f>
        <v>1.1855165817421963E-2</v>
      </c>
      <c r="X47" s="372">
        <f>X45*O36</f>
        <v>0.34166177813325826</v>
      </c>
      <c r="Y47" s="372">
        <f>SUM(T47:X47)</f>
        <v>0.9421644255092595</v>
      </c>
    </row>
    <row r="48" spans="1:25">
      <c r="A48" s="661" t="s">
        <v>619</v>
      </c>
      <c r="B48" s="661" t="s">
        <v>1761</v>
      </c>
      <c r="C48" s="661" t="s">
        <v>1762</v>
      </c>
      <c r="D48" s="661">
        <v>742.375</v>
      </c>
      <c r="E48" s="661">
        <v>556.78125</v>
      </c>
      <c r="F48" s="661">
        <v>371.1875</v>
      </c>
      <c r="G48" s="661">
        <v>185.59375</v>
      </c>
      <c r="H48" s="661">
        <v>74.237499999999997</v>
      </c>
      <c r="I48" s="661"/>
      <c r="J48" s="661"/>
      <c r="K48" s="661"/>
      <c r="L48" s="661"/>
      <c r="M48" s="661"/>
      <c r="N48" s="661"/>
      <c r="O48" s="661"/>
      <c r="P48" s="661"/>
      <c r="Q48" s="661"/>
      <c r="R48" s="661"/>
      <c r="S48" s="661"/>
      <c r="T48" s="371"/>
      <c r="U48" s="371"/>
      <c r="V48" s="371"/>
      <c r="W48" s="371"/>
      <c r="X48" s="371"/>
      <c r="Y48" s="371"/>
    </row>
    <row r="49" spans="1:34">
      <c r="A49" s="661" t="s">
        <v>619</v>
      </c>
      <c r="B49" s="661" t="s">
        <v>1452</v>
      </c>
      <c r="C49" s="661" t="s">
        <v>1763</v>
      </c>
      <c r="D49" s="661">
        <v>24407.755269841244</v>
      </c>
      <c r="E49" s="661">
        <v>18305.816452380943</v>
      </c>
      <c r="F49" s="661">
        <v>12203.877634920622</v>
      </c>
      <c r="G49" s="661">
        <v>6101.9388174603109</v>
      </c>
      <c r="H49" s="661">
        <v>2440.7755269841286</v>
      </c>
      <c r="I49" s="661"/>
      <c r="J49" s="661"/>
      <c r="K49" s="661"/>
      <c r="L49" s="661"/>
      <c r="M49" s="661"/>
      <c r="N49" s="661"/>
      <c r="O49" s="661"/>
      <c r="P49" s="661"/>
      <c r="Q49" s="661"/>
      <c r="R49" s="661"/>
      <c r="S49" s="661"/>
      <c r="T49" s="371" t="s">
        <v>1796</v>
      </c>
      <c r="U49" s="371"/>
      <c r="V49" s="371"/>
      <c r="W49" s="371"/>
      <c r="X49" s="371"/>
      <c r="Y49" s="371"/>
      <c r="Z49" s="661"/>
      <c r="AA49" s="661"/>
      <c r="AB49" s="661"/>
      <c r="AC49" s="661"/>
      <c r="AD49" s="661"/>
      <c r="AE49" s="661"/>
      <c r="AF49" s="661"/>
      <c r="AG49" s="661"/>
      <c r="AH49" s="661"/>
    </row>
    <row r="50" spans="1:34">
      <c r="A50" s="661" t="s">
        <v>619</v>
      </c>
      <c r="B50" s="661" t="s">
        <v>1452</v>
      </c>
      <c r="C50" s="661" t="s">
        <v>1764</v>
      </c>
      <c r="D50" s="661">
        <v>55244.09661806401</v>
      </c>
      <c r="E50" s="661">
        <v>41433.072463548029</v>
      </c>
      <c r="F50" s="661">
        <v>27622.048309032005</v>
      </c>
      <c r="G50" s="661">
        <v>13811.024154516002</v>
      </c>
      <c r="H50" s="661">
        <v>5524.4096618064059</v>
      </c>
      <c r="I50" s="661"/>
      <c r="J50" s="661"/>
      <c r="K50" s="661"/>
      <c r="L50" s="661"/>
      <c r="M50" s="661"/>
      <c r="N50" s="661"/>
      <c r="O50" s="661"/>
      <c r="P50" s="661"/>
      <c r="Q50" s="661"/>
      <c r="R50" s="661"/>
      <c r="S50" s="661"/>
      <c r="T50" s="371" t="s">
        <v>617</v>
      </c>
      <c r="U50" s="371" t="s">
        <v>618</v>
      </c>
      <c r="V50" s="371" t="s">
        <v>619</v>
      </c>
      <c r="W50" s="371" t="s">
        <v>925</v>
      </c>
      <c r="X50" s="371" t="s">
        <v>620</v>
      </c>
      <c r="Y50" s="371" t="s">
        <v>1455</v>
      </c>
      <c r="Z50" s="661"/>
      <c r="AA50" s="661"/>
      <c r="AB50" s="661"/>
      <c r="AC50" s="661"/>
      <c r="AD50" s="661"/>
      <c r="AE50" s="661"/>
      <c r="AF50" s="661"/>
      <c r="AG50" s="661"/>
      <c r="AH50" s="661"/>
    </row>
    <row r="51" spans="1:34">
      <c r="A51" s="661" t="s">
        <v>619</v>
      </c>
      <c r="B51" s="661" t="s">
        <v>1452</v>
      </c>
      <c r="C51" s="661" t="s">
        <v>1765</v>
      </c>
      <c r="D51" s="661">
        <v>40963.149280698148</v>
      </c>
      <c r="E51" s="661">
        <v>30722.361960523558</v>
      </c>
      <c r="F51" s="661">
        <v>20481.574640349074</v>
      </c>
      <c r="G51" s="661">
        <v>10240.787320174537</v>
      </c>
      <c r="H51" s="661">
        <v>4096.314928069809</v>
      </c>
      <c r="I51" s="661"/>
      <c r="J51" s="661"/>
      <c r="K51" s="661"/>
      <c r="L51" s="661"/>
      <c r="M51" s="661"/>
      <c r="N51" s="661"/>
      <c r="O51" s="661"/>
      <c r="P51" s="661"/>
      <c r="Q51" s="661"/>
      <c r="R51" s="661"/>
      <c r="S51" s="661"/>
      <c r="T51" s="371">
        <v>14.74</v>
      </c>
      <c r="U51" s="371">
        <v>10.57</v>
      </c>
      <c r="V51" s="371">
        <v>1.4</v>
      </c>
      <c r="W51" s="371">
        <v>31.23</v>
      </c>
      <c r="X51" s="371">
        <v>20.5</v>
      </c>
      <c r="Y51" s="371">
        <f>SUM(T51:X51)</f>
        <v>78.44</v>
      </c>
      <c r="Z51" s="661"/>
      <c r="AA51" s="661"/>
      <c r="AB51" s="661"/>
      <c r="AC51" s="661"/>
      <c r="AD51" s="661"/>
      <c r="AE51" s="661"/>
      <c r="AF51" s="661"/>
      <c r="AG51" s="661"/>
      <c r="AH51" s="661"/>
    </row>
    <row r="52" spans="1:34">
      <c r="A52" s="661" t="s">
        <v>619</v>
      </c>
      <c r="B52" s="661" t="s">
        <v>1452</v>
      </c>
      <c r="C52" s="661" t="s">
        <v>1766</v>
      </c>
      <c r="D52" s="661">
        <v>65418.312664141427</v>
      </c>
      <c r="E52" s="661">
        <v>49063.734498106089</v>
      </c>
      <c r="F52" s="661">
        <v>32709.156332070714</v>
      </c>
      <c r="G52" s="661">
        <v>16354.578166035357</v>
      </c>
      <c r="H52" s="661">
        <v>6541.8312664141404</v>
      </c>
      <c r="I52" s="661"/>
      <c r="J52" s="661"/>
      <c r="K52" s="661"/>
      <c r="L52" s="661"/>
      <c r="M52" s="661"/>
      <c r="N52" s="661"/>
      <c r="O52" s="661"/>
      <c r="P52" s="661"/>
      <c r="Q52" s="661"/>
      <c r="R52" s="661"/>
      <c r="S52" s="661" t="s">
        <v>1788</v>
      </c>
      <c r="T52" s="372">
        <f>T51*M35</f>
        <v>9.9149569970068434</v>
      </c>
      <c r="U52" s="372">
        <f>U51*L35</f>
        <v>6.6610442283919653</v>
      </c>
      <c r="V52" s="372">
        <f t="shared" ref="V52" si="6">V51*N35</f>
        <v>0.84448291218932459</v>
      </c>
      <c r="W52" s="372">
        <f>W51*P35</f>
        <v>29.052136303070071</v>
      </c>
      <c r="X52" s="372">
        <f>X51*O35</f>
        <v>15.892061544913293</v>
      </c>
      <c r="Y52" s="372">
        <f t="shared" ref="Y52:Y53" si="7">SUM(T52:X52)</f>
        <v>62.364681985571494</v>
      </c>
      <c r="Z52" s="661"/>
      <c r="AA52" s="661"/>
      <c r="AB52" s="661"/>
      <c r="AC52" s="661"/>
      <c r="AD52" s="661"/>
      <c r="AE52" s="661"/>
      <c r="AF52" s="661"/>
      <c r="AG52" s="661"/>
      <c r="AH52" s="661"/>
    </row>
    <row r="53" spans="1:34">
      <c r="A53" s="661" t="s">
        <v>619</v>
      </c>
      <c r="B53" s="661" t="s">
        <v>1767</v>
      </c>
      <c r="C53" s="661" t="s">
        <v>1767</v>
      </c>
      <c r="D53" s="661">
        <v>58717.920749205136</v>
      </c>
      <c r="E53" s="661">
        <v>44038.440561903888</v>
      </c>
      <c r="F53" s="661">
        <v>29358.960374602568</v>
      </c>
      <c r="G53" s="661">
        <v>14679.480187301284</v>
      </c>
      <c r="H53" s="661">
        <v>5871.7920749205141</v>
      </c>
      <c r="I53" s="661"/>
      <c r="J53" s="661"/>
      <c r="K53" s="661"/>
      <c r="L53" s="661"/>
      <c r="M53" s="661"/>
      <c r="N53" s="661"/>
      <c r="O53" s="661"/>
      <c r="P53" s="661"/>
      <c r="Q53" s="661"/>
      <c r="R53" s="661"/>
      <c r="S53" s="661" t="s">
        <v>1789</v>
      </c>
      <c r="T53" s="372">
        <f>T51*M36</f>
        <v>4.8250430029931568</v>
      </c>
      <c r="U53" s="372">
        <f>U51*L36</f>
        <v>3.9089557716080354</v>
      </c>
      <c r="V53" s="372">
        <f t="shared" ref="V53" si="8">V51*N36</f>
        <v>0.55551708781067533</v>
      </c>
      <c r="W53" s="372">
        <f>W51*P36</f>
        <v>2.1778636969299283</v>
      </c>
      <c r="X53" s="372">
        <f>X51*O36</f>
        <v>4.6079384550867069</v>
      </c>
      <c r="Y53" s="372">
        <f t="shared" si="7"/>
        <v>16.075318014428504</v>
      </c>
      <c r="Z53" s="661"/>
      <c r="AA53" s="661"/>
      <c r="AB53" s="661"/>
      <c r="AC53" s="661"/>
      <c r="AD53" s="661"/>
      <c r="AE53" s="661"/>
      <c r="AF53" s="661"/>
      <c r="AG53" s="661"/>
      <c r="AH53" s="661"/>
    </row>
    <row r="54" spans="1:34">
      <c r="A54" s="661" t="s">
        <v>619</v>
      </c>
      <c r="B54" s="661" t="s">
        <v>1452</v>
      </c>
      <c r="C54" s="661" t="s">
        <v>1770</v>
      </c>
      <c r="D54" s="661">
        <v>43393.473510795484</v>
      </c>
      <c r="E54" s="661">
        <v>32545.105133096604</v>
      </c>
      <c r="F54" s="661">
        <v>21696.736755397742</v>
      </c>
      <c r="G54" s="661">
        <v>10848.368377698871</v>
      </c>
      <c r="H54" s="661">
        <v>4339.347351079552</v>
      </c>
      <c r="I54" s="661"/>
      <c r="J54" s="661"/>
      <c r="K54" s="661"/>
      <c r="L54" s="661"/>
      <c r="M54" s="661"/>
      <c r="N54" s="661"/>
      <c r="O54" s="661"/>
      <c r="P54" s="661"/>
      <c r="Q54" s="661"/>
      <c r="R54" s="661"/>
      <c r="S54" s="661"/>
      <c r="T54" s="371"/>
      <c r="U54" s="371"/>
      <c r="V54" s="371"/>
      <c r="W54" s="371"/>
      <c r="X54" s="371"/>
      <c r="Y54" s="371"/>
      <c r="Z54" s="661"/>
      <c r="AA54" s="661"/>
      <c r="AB54" s="661"/>
      <c r="AC54" s="661"/>
      <c r="AD54" s="661"/>
      <c r="AE54" s="661"/>
      <c r="AF54" s="661"/>
      <c r="AG54" s="661"/>
      <c r="AH54" s="661"/>
    </row>
    <row r="55" spans="1:34">
      <c r="A55" s="661" t="s">
        <v>619</v>
      </c>
      <c r="B55" s="661" t="s">
        <v>1454</v>
      </c>
      <c r="C55" s="661" t="s">
        <v>1454</v>
      </c>
      <c r="D55" s="661">
        <v>12805.999178571425</v>
      </c>
      <c r="E55" s="661">
        <v>9604.4993839285798</v>
      </c>
      <c r="F55" s="661">
        <v>6402.9995892857123</v>
      </c>
      <c r="G55" s="661">
        <v>3201.4997946428562</v>
      </c>
      <c r="H55" s="661">
        <v>1280.5999178571428</v>
      </c>
      <c r="I55" s="661"/>
      <c r="J55" s="661"/>
      <c r="K55" s="661"/>
      <c r="L55" s="661"/>
      <c r="M55" s="661"/>
      <c r="N55" s="661"/>
      <c r="O55" s="661"/>
      <c r="P55" s="661"/>
      <c r="Q55" s="661"/>
      <c r="R55" s="661"/>
      <c r="S55" s="661"/>
      <c r="T55" s="371" t="s">
        <v>1797</v>
      </c>
      <c r="U55" s="371"/>
      <c r="V55" s="371"/>
      <c r="W55" s="371"/>
      <c r="X55" s="371"/>
      <c r="Y55" s="371"/>
      <c r="Z55" s="661"/>
      <c r="AA55" s="661"/>
      <c r="AB55" s="661"/>
      <c r="AC55" s="661"/>
      <c r="AD55" s="661"/>
      <c r="AE55" s="661"/>
      <c r="AF55" s="661"/>
      <c r="AG55" s="661"/>
      <c r="AH55" s="661"/>
    </row>
    <row r="56" spans="1:34">
      <c r="A56" s="661" t="s">
        <v>619</v>
      </c>
      <c r="B56" s="661" t="s">
        <v>1155</v>
      </c>
      <c r="C56" s="661" t="s">
        <v>1774</v>
      </c>
      <c r="D56" s="661">
        <v>556484.98174975382</v>
      </c>
      <c r="E56" s="661">
        <v>417363.73631231586</v>
      </c>
      <c r="F56" s="661">
        <v>278242.49087487691</v>
      </c>
      <c r="G56" s="661">
        <v>139121.24543743845</v>
      </c>
      <c r="H56" s="661">
        <v>55648.498174975641</v>
      </c>
      <c r="I56" s="661"/>
      <c r="J56" s="661"/>
      <c r="K56" s="661"/>
      <c r="L56" s="661"/>
      <c r="M56" s="661"/>
      <c r="N56" s="661"/>
      <c r="O56" s="661"/>
      <c r="P56" s="661"/>
      <c r="Q56" s="661"/>
      <c r="R56" s="661"/>
      <c r="S56" s="661"/>
      <c r="T56" s="371" t="s">
        <v>617</v>
      </c>
      <c r="U56" s="371" t="s">
        <v>618</v>
      </c>
      <c r="V56" s="371" t="s">
        <v>619</v>
      </c>
      <c r="W56" s="371" t="s">
        <v>925</v>
      </c>
      <c r="X56" s="371" t="s">
        <v>620</v>
      </c>
      <c r="Y56" s="371" t="s">
        <v>1455</v>
      </c>
      <c r="Z56" s="661"/>
      <c r="AA56" s="661"/>
      <c r="AB56" s="661"/>
      <c r="AC56" s="661"/>
      <c r="AD56" s="661"/>
      <c r="AE56" s="661"/>
      <c r="AF56" s="661"/>
      <c r="AG56" s="661"/>
      <c r="AH56" s="661"/>
    </row>
    <row r="57" spans="1:34">
      <c r="A57" s="661" t="s">
        <v>619</v>
      </c>
      <c r="B57" s="661" t="s">
        <v>1452</v>
      </c>
      <c r="C57" s="661" t="s">
        <v>1776</v>
      </c>
      <c r="D57" s="661">
        <v>197577.75750341895</v>
      </c>
      <c r="E57" s="661">
        <v>148183.31812756366</v>
      </c>
      <c r="F57" s="661">
        <v>98788.878751709475</v>
      </c>
      <c r="G57" s="661">
        <v>49394.439375854738</v>
      </c>
      <c r="H57" s="661">
        <v>19757.775750341927</v>
      </c>
      <c r="I57" s="661"/>
      <c r="J57" s="661"/>
      <c r="K57" s="661"/>
      <c r="L57" s="661"/>
      <c r="M57" s="661"/>
      <c r="N57" s="661"/>
      <c r="O57" s="661"/>
      <c r="P57" s="661"/>
      <c r="Q57" s="661"/>
      <c r="R57" s="661"/>
      <c r="S57" s="661"/>
      <c r="T57" s="371">
        <f>22.24*(891+1837)/1837</f>
        <v>33.02706586826347</v>
      </c>
      <c r="U57" s="371">
        <f>14.3*(306+783)/783</f>
        <v>19.888505747126437</v>
      </c>
      <c r="V57" s="371">
        <f>1.59*(87+126)/126</f>
        <v>2.6878571428571432</v>
      </c>
      <c r="W57" s="371">
        <f>47.1*(941+5208)/5208</f>
        <v>55.610195852534567</v>
      </c>
      <c r="X57" s="371">
        <f>38.97*(1860+4463)/4463</f>
        <v>55.21113824781537</v>
      </c>
      <c r="Y57" s="371">
        <f>SUM(T57:X57)</f>
        <v>166.42476285859698</v>
      </c>
      <c r="Z57" s="661"/>
      <c r="AA57" s="661"/>
      <c r="AB57" s="661"/>
      <c r="AC57" s="373">
        <f>T65*24*365*$AC$60*1000000*3.6*10^(-9)</f>
        <v>7.1945835351661831E-3</v>
      </c>
      <c r="AD57" s="661"/>
      <c r="AE57" s="661"/>
      <c r="AF57" s="661"/>
      <c r="AG57" s="661"/>
      <c r="AH57" s="661"/>
    </row>
    <row r="58" spans="1:34">
      <c r="A58" s="661" t="s">
        <v>619</v>
      </c>
      <c r="B58" s="661" t="s">
        <v>1777</v>
      </c>
      <c r="C58" s="661" t="s">
        <v>1744</v>
      </c>
      <c r="D58" s="661">
        <v>7546.2655777777754</v>
      </c>
      <c r="E58" s="661">
        <v>5659.699183333335</v>
      </c>
      <c r="F58" s="661">
        <v>3773.1327888888877</v>
      </c>
      <c r="G58" s="661">
        <v>1886.5663944444439</v>
      </c>
      <c r="H58" s="661">
        <v>754.62655777777798</v>
      </c>
      <c r="I58" s="661"/>
      <c r="J58" s="661"/>
      <c r="K58" s="661"/>
      <c r="L58" s="661"/>
      <c r="M58" s="661"/>
      <c r="N58" s="661"/>
      <c r="O58" s="661"/>
      <c r="P58" s="661"/>
      <c r="Q58" s="661"/>
      <c r="R58" s="661"/>
      <c r="S58" s="661" t="s">
        <v>1788</v>
      </c>
      <c r="T58" s="372">
        <f>T57*M35</f>
        <v>22.21587095123099</v>
      </c>
      <c r="U58" s="372">
        <f>U57*L35</f>
        <v>12.533416879681834</v>
      </c>
      <c r="V58" s="372">
        <f t="shared" ref="V58" si="9">V57*N35</f>
        <v>1.6213210196777699</v>
      </c>
      <c r="W58" s="372">
        <f>W57*P35</f>
        <v>51.732148246822163</v>
      </c>
      <c r="X58" s="372">
        <f>X57*O35</f>
        <v>42.800917414585278</v>
      </c>
      <c r="Y58" s="372">
        <f t="shared" ref="Y58:Y59" si="10">SUM(T58:X58)</f>
        <v>130.90367451199805</v>
      </c>
      <c r="Z58" s="661"/>
      <c r="AA58" s="661"/>
      <c r="AB58" s="661"/>
      <c r="AC58" s="661"/>
      <c r="AD58" s="661"/>
      <c r="AE58" s="661"/>
      <c r="AF58" s="661"/>
      <c r="AG58" s="661"/>
      <c r="AH58" s="661"/>
    </row>
    <row r="59" spans="1:34">
      <c r="A59" s="661" t="s">
        <v>619</v>
      </c>
      <c r="B59" s="661" t="s">
        <v>1777</v>
      </c>
      <c r="C59" s="661" t="s">
        <v>1778</v>
      </c>
      <c r="D59" s="661">
        <v>0</v>
      </c>
      <c r="E59" s="661">
        <v>0</v>
      </c>
      <c r="F59" s="661">
        <v>0</v>
      </c>
      <c r="G59" s="661">
        <v>0</v>
      </c>
      <c r="H59" s="661">
        <v>0</v>
      </c>
      <c r="I59" s="661"/>
      <c r="J59" s="661"/>
      <c r="K59" s="661"/>
      <c r="L59" s="661"/>
      <c r="M59" s="661"/>
      <c r="N59" s="661"/>
      <c r="O59" s="661"/>
      <c r="P59" s="661"/>
      <c r="Q59" s="661"/>
      <c r="R59" s="661"/>
      <c r="S59" s="661" t="s">
        <v>1789</v>
      </c>
      <c r="T59" s="372">
        <f>T57*M36</f>
        <v>10.811194917032481</v>
      </c>
      <c r="U59" s="372">
        <f>U57*L36</f>
        <v>7.3550888674446044</v>
      </c>
      <c r="V59" s="372">
        <f t="shared" ref="V59" si="11">V57*N36</f>
        <v>1.0665361231793733</v>
      </c>
      <c r="W59" s="372">
        <f>W57*P36</f>
        <v>3.8780476057124016</v>
      </c>
      <c r="X59" s="372">
        <f>X57*O36</f>
        <v>12.410220833230095</v>
      </c>
      <c r="Y59" s="372">
        <f t="shared" si="10"/>
        <v>35.521088346598958</v>
      </c>
      <c r="Z59" s="661"/>
      <c r="AA59" s="661"/>
      <c r="AB59" s="661"/>
      <c r="AC59" s="661"/>
      <c r="AD59" s="661"/>
      <c r="AE59" s="661"/>
      <c r="AF59" s="661"/>
      <c r="AG59" s="661"/>
      <c r="AH59" s="661"/>
    </row>
    <row r="60" spans="1:34">
      <c r="A60" s="661" t="s">
        <v>619</v>
      </c>
      <c r="B60" s="661" t="s">
        <v>1452</v>
      </c>
      <c r="C60" s="661" t="s">
        <v>1779</v>
      </c>
      <c r="D60" s="661">
        <v>14277.777166666672</v>
      </c>
      <c r="E60" s="661">
        <v>10708.332875</v>
      </c>
      <c r="F60" s="661">
        <v>7138.8885833333361</v>
      </c>
      <c r="G60" s="661">
        <v>3569.4442916666681</v>
      </c>
      <c r="H60" s="661">
        <v>1427.7777166666656</v>
      </c>
      <c r="I60" s="661"/>
      <c r="J60" s="661"/>
      <c r="K60" s="661"/>
      <c r="L60" s="661"/>
      <c r="M60" s="661"/>
      <c r="N60" s="661"/>
      <c r="O60" s="661"/>
      <c r="P60" s="661"/>
      <c r="Q60" s="661"/>
      <c r="R60" s="661"/>
      <c r="S60" s="661"/>
      <c r="T60" s="371"/>
      <c r="U60" s="371"/>
      <c r="V60" s="371"/>
      <c r="W60" s="371"/>
      <c r="X60" s="371"/>
      <c r="Y60" s="371"/>
      <c r="Z60" s="661"/>
      <c r="AA60" s="661"/>
      <c r="AB60" s="661" t="s">
        <v>1798</v>
      </c>
      <c r="AC60" s="661">
        <v>0.34965034965034969</v>
      </c>
      <c r="AD60" s="661"/>
      <c r="AE60" s="661"/>
      <c r="AF60" s="661"/>
      <c r="AG60" s="661"/>
      <c r="AH60" s="661"/>
    </row>
    <row r="61" spans="1:34">
      <c r="A61" s="661" t="s">
        <v>619</v>
      </c>
      <c r="B61" s="661" t="s">
        <v>1761</v>
      </c>
      <c r="C61" s="661" t="s">
        <v>1780</v>
      </c>
      <c r="D61" s="661">
        <v>37478.82</v>
      </c>
      <c r="E61" s="661">
        <v>28109.114999999998</v>
      </c>
      <c r="F61" s="661">
        <v>18739.41</v>
      </c>
      <c r="G61" s="661">
        <v>9369.7049999999999</v>
      </c>
      <c r="H61" s="661">
        <v>3747.8820000000001</v>
      </c>
      <c r="I61" s="661"/>
      <c r="J61" s="661"/>
      <c r="K61" s="661"/>
      <c r="L61" s="661"/>
      <c r="M61" s="661"/>
      <c r="N61" s="661"/>
      <c r="O61" s="661"/>
      <c r="P61" s="661"/>
      <c r="Q61" s="661"/>
      <c r="R61" s="661"/>
      <c r="S61" s="661"/>
      <c r="T61" s="371"/>
      <c r="U61" s="371"/>
      <c r="V61" s="371"/>
      <c r="W61" s="371"/>
      <c r="X61" s="371"/>
      <c r="Y61" s="371"/>
      <c r="Z61" s="661"/>
      <c r="AA61" s="661"/>
      <c r="AB61" s="661"/>
      <c r="AC61" s="661"/>
      <c r="AD61" s="661"/>
      <c r="AE61" s="661"/>
      <c r="AF61" s="661"/>
      <c r="AG61" s="661"/>
      <c r="AH61" s="661"/>
    </row>
    <row r="62" spans="1:34">
      <c r="A62" s="661" t="s">
        <v>619</v>
      </c>
      <c r="B62" s="661" t="s">
        <v>1155</v>
      </c>
      <c r="C62" s="661" t="s">
        <v>1781</v>
      </c>
      <c r="D62" s="661">
        <v>506319.62569490843</v>
      </c>
      <c r="E62" s="661">
        <v>379739.71927118872</v>
      </c>
      <c r="F62" s="661">
        <v>253159.81284745422</v>
      </c>
      <c r="G62" s="661">
        <v>126579.90642372711</v>
      </c>
      <c r="H62" s="661">
        <v>50631.962569491356</v>
      </c>
      <c r="I62" s="661"/>
      <c r="J62" s="661"/>
      <c r="K62" s="661"/>
      <c r="L62" s="661"/>
      <c r="M62" s="661"/>
      <c r="N62" s="661"/>
      <c r="O62" s="661"/>
      <c r="P62" s="661"/>
      <c r="Q62" s="661"/>
      <c r="R62" s="661"/>
      <c r="S62" s="661"/>
      <c r="T62" s="371" t="s">
        <v>1799</v>
      </c>
      <c r="U62" s="371"/>
      <c r="V62" s="371"/>
      <c r="W62" s="371"/>
      <c r="X62" s="371"/>
      <c r="Y62" s="371"/>
      <c r="Z62" s="661"/>
      <c r="AA62" s="661"/>
      <c r="AB62" s="661" t="s">
        <v>1800</v>
      </c>
      <c r="AC62" s="661"/>
      <c r="AD62" s="661"/>
      <c r="AE62" s="661"/>
      <c r="AF62" s="661"/>
      <c r="AG62" s="661"/>
      <c r="AH62" s="661"/>
    </row>
    <row r="63" spans="1:34">
      <c r="A63" s="661" t="s">
        <v>619</v>
      </c>
      <c r="B63" s="661" t="s">
        <v>1452</v>
      </c>
      <c r="C63" s="661" t="s">
        <v>1782</v>
      </c>
      <c r="D63" s="661">
        <v>130673.33220296477</v>
      </c>
      <c r="E63" s="661">
        <v>98004.999152223885</v>
      </c>
      <c r="F63" s="661">
        <v>65336.666101482384</v>
      </c>
      <c r="G63" s="661">
        <v>32668.333050741192</v>
      </c>
      <c r="H63" s="661">
        <v>13067.333220296436</v>
      </c>
      <c r="I63" s="661"/>
      <c r="J63" s="661"/>
      <c r="K63" s="661"/>
      <c r="L63" s="661"/>
      <c r="M63" s="661"/>
      <c r="N63" s="661"/>
      <c r="O63" s="661"/>
      <c r="P63" s="661"/>
      <c r="Q63" s="661"/>
      <c r="R63" s="661"/>
      <c r="S63" s="661"/>
      <c r="T63" s="371" t="s">
        <v>617</v>
      </c>
      <c r="U63" s="371" t="s">
        <v>618</v>
      </c>
      <c r="V63" s="371" t="s">
        <v>619</v>
      </c>
      <c r="W63" s="371" t="s">
        <v>925</v>
      </c>
      <c r="X63" s="371" t="s">
        <v>620</v>
      </c>
      <c r="Y63" s="371" t="s">
        <v>1455</v>
      </c>
      <c r="Z63" s="661"/>
      <c r="AA63" s="661"/>
      <c r="AB63" s="661" t="s">
        <v>1801</v>
      </c>
      <c r="AC63" s="371" t="s">
        <v>617</v>
      </c>
      <c r="AD63" s="371" t="s">
        <v>618</v>
      </c>
      <c r="AE63" s="371" t="s">
        <v>619</v>
      </c>
      <c r="AF63" s="371" t="s">
        <v>925</v>
      </c>
      <c r="AG63" s="371" t="s">
        <v>620</v>
      </c>
      <c r="AH63" s="371" t="s">
        <v>1455</v>
      </c>
    </row>
    <row r="64" spans="1:34">
      <c r="A64" s="661" t="s">
        <v>619</v>
      </c>
      <c r="B64" s="661" t="s">
        <v>1452</v>
      </c>
      <c r="C64" s="661" t="s">
        <v>1783</v>
      </c>
      <c r="D64" s="661">
        <v>52058.030626585372</v>
      </c>
      <c r="E64" s="661">
        <v>39043.522969939033</v>
      </c>
      <c r="F64" s="661">
        <v>26029.015313292686</v>
      </c>
      <c r="G64" s="661">
        <v>13014.507656646343</v>
      </c>
      <c r="H64" s="661">
        <v>5205.803062658536</v>
      </c>
      <c r="I64" s="661"/>
      <c r="J64" s="661"/>
      <c r="K64" s="661"/>
      <c r="L64" s="661"/>
      <c r="M64" s="661"/>
      <c r="N64" s="661"/>
      <c r="O64" s="661"/>
      <c r="P64" s="661"/>
      <c r="Q64" s="661"/>
      <c r="R64" s="661"/>
      <c r="S64" s="661"/>
      <c r="T64" s="374">
        <f>T45/1000</f>
        <v>9.6999999999999994E-4</v>
      </c>
      <c r="U64" s="374">
        <f t="shared" ref="U64:Y64" si="12">U45/1000</f>
        <v>5.4000000000000001E-4</v>
      </c>
      <c r="V64" s="374">
        <f t="shared" si="12"/>
        <v>1.7999999999999998E-4</v>
      </c>
      <c r="W64" s="374">
        <f t="shared" si="12"/>
        <v>1.7000000000000001E-4</v>
      </c>
      <c r="X64" s="374">
        <f t="shared" si="12"/>
        <v>1.5200000000000001E-3</v>
      </c>
      <c r="Y64" s="374">
        <f t="shared" si="12"/>
        <v>3.3799999999999998E-3</v>
      </c>
      <c r="Z64" s="661"/>
      <c r="AA64" s="661"/>
      <c r="AB64" s="661"/>
      <c r="AC64" s="374">
        <f>SUM(AC65:AC66)</f>
        <v>1.0695776223776227E-2</v>
      </c>
      <c r="AD64" s="374">
        <f t="shared" ref="AD64:AG64" si="13">SUM(AD65:AD66)</f>
        <v>5.954349650349652E-3</v>
      </c>
      <c r="AE64" s="374">
        <f t="shared" si="13"/>
        <v>1.9847832167832172E-3</v>
      </c>
      <c r="AF64" s="374">
        <f t="shared" si="13"/>
        <v>1.8745174825174828E-3</v>
      </c>
      <c r="AG64" s="374">
        <f t="shared" si="13"/>
        <v>1.6760391608391611E-2</v>
      </c>
      <c r="AH64" s="374">
        <f>SUM(AH65:AH66)</f>
        <v>3.7269818181818182E-2</v>
      </c>
    </row>
    <row r="65" spans="1:42">
      <c r="A65" s="661" t="s">
        <v>619</v>
      </c>
      <c r="B65" s="661" t="s">
        <v>1452</v>
      </c>
      <c r="C65" s="661" t="s">
        <v>1784</v>
      </c>
      <c r="D65" s="661">
        <v>228.85</v>
      </c>
      <c r="E65" s="661">
        <v>171.63749999999999</v>
      </c>
      <c r="F65" s="661">
        <v>114.425</v>
      </c>
      <c r="G65" s="661">
        <v>57.212499999999999</v>
      </c>
      <c r="H65" s="661">
        <v>22.885000000000002</v>
      </c>
      <c r="I65" s="661"/>
      <c r="J65" s="661"/>
      <c r="K65" s="661"/>
      <c r="L65" s="661"/>
      <c r="M65" s="661"/>
      <c r="N65" s="661"/>
      <c r="O65" s="661"/>
      <c r="P65" s="661"/>
      <c r="Q65" s="661"/>
      <c r="R65" s="661"/>
      <c r="S65" s="661" t="s">
        <v>1788</v>
      </c>
      <c r="T65" s="375">
        <f t="shared" ref="T65:Y66" si="14">T46/1000</f>
        <v>6.5247681730642049E-4</v>
      </c>
      <c r="U65" s="375">
        <f t="shared" si="14"/>
        <v>3.402993267106586E-4</v>
      </c>
      <c r="V65" s="375">
        <f t="shared" si="14"/>
        <v>1.0857637442434175E-4</v>
      </c>
      <c r="W65" s="375">
        <f t="shared" si="14"/>
        <v>1.5814483418257806E-4</v>
      </c>
      <c r="X65" s="375">
        <f t="shared" si="14"/>
        <v>1.1783382218667417E-3</v>
      </c>
      <c r="Y65" s="375">
        <f t="shared" si="14"/>
        <v>2.4378355744907403E-3</v>
      </c>
      <c r="Z65" s="661">
        <f>SUM(T65:Y65)</f>
        <v>4.8756711489814815E-3</v>
      </c>
      <c r="AA65" s="661"/>
      <c r="AB65" s="661" t="s">
        <v>1788</v>
      </c>
      <c r="AC65" s="375">
        <f>T46*24*365*$AC$60*1000*3.6*10^(-9)</f>
        <v>7.1945835351661823E-3</v>
      </c>
      <c r="AD65" s="375">
        <f>U65*24*365*$AC$60*1000000*3.6*10^(-9)</f>
        <v>3.7523355129885777E-3</v>
      </c>
      <c r="AE65" s="375">
        <f t="shared" ref="AE65:AG66" si="15">V65*24*365*$AC$60*1000000*3.6*10^(-9)</f>
        <v>1.1972253649811335E-3</v>
      </c>
      <c r="AF65" s="375">
        <f t="shared" si="15"/>
        <v>1.7437956261474761E-3</v>
      </c>
      <c r="AG65" s="375">
        <f t="shared" si="15"/>
        <v>1.2993032924751598E-2</v>
      </c>
      <c r="AH65" s="375">
        <f>SUM(AC65:AG65)</f>
        <v>2.6880972964034966E-2</v>
      </c>
      <c r="AI65" s="661"/>
      <c r="AJ65" s="661"/>
      <c r="AK65" s="661"/>
      <c r="AL65" s="661"/>
      <c r="AM65" s="661"/>
      <c r="AN65" s="661"/>
      <c r="AO65" s="661"/>
      <c r="AP65" s="661"/>
    </row>
    <row r="66" spans="1:42">
      <c r="A66" s="661" t="s">
        <v>619</v>
      </c>
      <c r="B66" s="661" t="s">
        <v>1452</v>
      </c>
      <c r="C66" s="661" t="s">
        <v>1785</v>
      </c>
      <c r="D66" s="661">
        <v>780</v>
      </c>
      <c r="E66" s="661">
        <v>585</v>
      </c>
      <c r="F66" s="661">
        <v>390</v>
      </c>
      <c r="G66" s="661">
        <v>195</v>
      </c>
      <c r="H66" s="661">
        <v>78</v>
      </c>
      <c r="I66" s="661"/>
      <c r="J66" s="661"/>
      <c r="K66" s="661"/>
      <c r="L66" s="661"/>
      <c r="M66" s="661"/>
      <c r="N66" s="661"/>
      <c r="O66" s="661"/>
      <c r="P66" s="661"/>
      <c r="Q66" s="661"/>
      <c r="R66" s="661"/>
      <c r="S66" s="661" t="s">
        <v>1789</v>
      </c>
      <c r="T66" s="375">
        <f>T47/1000</f>
        <v>3.1752318269357956E-4</v>
      </c>
      <c r="U66" s="375">
        <f t="shared" si="14"/>
        <v>1.9970067328934146E-4</v>
      </c>
      <c r="V66" s="375">
        <f t="shared" si="14"/>
        <v>7.1423625575658248E-5</v>
      </c>
      <c r="W66" s="375">
        <f t="shared" si="14"/>
        <v>1.1855165817421962E-5</v>
      </c>
      <c r="X66" s="375">
        <f t="shared" si="14"/>
        <v>3.4166177813325829E-4</v>
      </c>
      <c r="Y66" s="375">
        <f t="shared" si="14"/>
        <v>9.4216442550925945E-4</v>
      </c>
      <c r="Z66" s="661">
        <f>SUM(T66:Y66)</f>
        <v>1.8843288510185189E-3</v>
      </c>
      <c r="AA66" s="661"/>
      <c r="AB66" s="661" t="s">
        <v>1789</v>
      </c>
      <c r="AC66" s="374">
        <f>T66*24*365*$AC$60*1000000*3.6*10^(-9)</f>
        <v>3.5011926886100446E-3</v>
      </c>
      <c r="AD66" s="374">
        <f>U66*24*365*$AC$60*1000000*3.6*10^(-9)</f>
        <v>2.2020141373610743E-3</v>
      </c>
      <c r="AE66" s="374">
        <f t="shared" si="15"/>
        <v>7.8755785180208355E-4</v>
      </c>
      <c r="AF66" s="374">
        <f t="shared" si="15"/>
        <v>1.3072185637000666E-4</v>
      </c>
      <c r="AG66" s="374">
        <f t="shared" si="15"/>
        <v>3.767358683640012E-3</v>
      </c>
      <c r="AH66" s="374">
        <f>SUM(AC66:AG66)</f>
        <v>1.0388845217783219E-2</v>
      </c>
      <c r="AI66" s="661"/>
      <c r="AJ66" s="661"/>
      <c r="AK66" s="661"/>
      <c r="AL66" s="661"/>
      <c r="AM66" s="661"/>
      <c r="AN66" s="661"/>
      <c r="AO66" s="661"/>
      <c r="AP66" s="661"/>
    </row>
    <row r="67" spans="1:42">
      <c r="A67" s="661" t="s">
        <v>619</v>
      </c>
      <c r="B67" s="661" t="s">
        <v>1452</v>
      </c>
      <c r="C67" s="661" t="s">
        <v>1787</v>
      </c>
      <c r="D67" s="661">
        <v>19433.367505952367</v>
      </c>
      <c r="E67" s="661">
        <v>14575.025629464288</v>
      </c>
      <c r="F67" s="661">
        <v>9716.6837529761833</v>
      </c>
      <c r="G67" s="661">
        <v>4858.3418764880917</v>
      </c>
      <c r="H67" s="661">
        <v>1943.3367505952367</v>
      </c>
      <c r="I67" s="661"/>
      <c r="J67" s="661"/>
      <c r="K67" s="661"/>
      <c r="L67" s="661"/>
      <c r="M67" s="661"/>
      <c r="N67" s="661"/>
      <c r="O67" s="661"/>
      <c r="P67" s="661"/>
      <c r="Q67" s="661"/>
      <c r="R67" s="661"/>
      <c r="S67" s="661"/>
      <c r="T67" s="371"/>
      <c r="U67" s="371"/>
      <c r="V67" s="371"/>
      <c r="W67" s="371"/>
      <c r="X67" s="371"/>
      <c r="Y67" s="371"/>
      <c r="Z67" s="661"/>
      <c r="AA67" s="661"/>
      <c r="AB67" s="661"/>
      <c r="AC67" s="371"/>
      <c r="AD67" s="371"/>
      <c r="AE67" s="371"/>
      <c r="AF67" s="371"/>
      <c r="AG67" s="371"/>
      <c r="AH67" s="371"/>
      <c r="AI67" s="661"/>
      <c r="AJ67" s="661"/>
      <c r="AK67" s="661"/>
      <c r="AL67" s="661"/>
      <c r="AM67" s="661"/>
      <c r="AN67" s="661"/>
      <c r="AO67" s="661"/>
      <c r="AP67" s="661"/>
    </row>
    <row r="68" spans="1:42">
      <c r="A68" s="661" t="s">
        <v>620</v>
      </c>
      <c r="B68" s="661" t="s">
        <v>1775</v>
      </c>
      <c r="C68" s="661" t="s">
        <v>1802</v>
      </c>
      <c r="D68" s="661" t="s">
        <v>1803</v>
      </c>
      <c r="E68" s="661" t="s">
        <v>1756</v>
      </c>
      <c r="F68" s="661" t="s">
        <v>1757</v>
      </c>
      <c r="G68" s="661" t="s">
        <v>1758</v>
      </c>
      <c r="H68" s="661" t="s">
        <v>1759</v>
      </c>
      <c r="I68" s="661"/>
      <c r="J68" s="661"/>
      <c r="K68" s="661"/>
      <c r="L68" s="661"/>
      <c r="M68" s="661"/>
      <c r="N68" s="661"/>
      <c r="O68" s="661"/>
      <c r="P68" s="661"/>
      <c r="Q68" s="661"/>
      <c r="R68" s="661"/>
      <c r="S68" s="661"/>
      <c r="T68" s="371" t="s">
        <v>1804</v>
      </c>
      <c r="U68" s="371"/>
      <c r="V68" s="371"/>
      <c r="W68" s="371"/>
      <c r="X68" s="371"/>
      <c r="Y68" s="371"/>
      <c r="Z68" s="661"/>
      <c r="AA68" s="661"/>
      <c r="AB68" s="661" t="s">
        <v>1805</v>
      </c>
      <c r="AC68" s="371"/>
      <c r="AD68" s="371"/>
      <c r="AE68" s="371"/>
      <c r="AF68" s="371"/>
      <c r="AG68" s="371"/>
      <c r="AH68" s="371"/>
      <c r="AI68" s="661"/>
      <c r="AJ68" s="661"/>
      <c r="AK68" s="661"/>
      <c r="AL68" s="661"/>
      <c r="AM68" s="661"/>
      <c r="AN68" s="661"/>
      <c r="AO68" s="661"/>
      <c r="AP68" s="661"/>
    </row>
    <row r="69" spans="1:42">
      <c r="A69" s="661" t="s">
        <v>620</v>
      </c>
      <c r="B69" s="661" t="s">
        <v>1155</v>
      </c>
      <c r="C69" s="661" t="s">
        <v>1760</v>
      </c>
      <c r="D69" s="661">
        <v>1931631.2762088855</v>
      </c>
      <c r="E69" s="661">
        <v>1448723.4571564887</v>
      </c>
      <c r="F69" s="661">
        <v>965815.63810444274</v>
      </c>
      <c r="G69" s="661">
        <v>482907.81905222137</v>
      </c>
      <c r="H69" s="661">
        <v>193163.12762083518</v>
      </c>
      <c r="I69" s="661"/>
      <c r="J69" s="661"/>
      <c r="K69" s="661"/>
      <c r="L69" s="661"/>
      <c r="M69" s="661"/>
      <c r="N69" s="661"/>
      <c r="O69" s="661"/>
      <c r="P69" s="661"/>
      <c r="Q69" s="661"/>
      <c r="R69" s="661"/>
      <c r="S69" s="661"/>
      <c r="T69" s="371" t="s">
        <v>617</v>
      </c>
      <c r="U69" s="371" t="s">
        <v>618</v>
      </c>
      <c r="V69" s="371" t="s">
        <v>619</v>
      </c>
      <c r="W69" s="371" t="s">
        <v>925</v>
      </c>
      <c r="X69" s="371" t="s">
        <v>620</v>
      </c>
      <c r="Y69" s="371" t="s">
        <v>1455</v>
      </c>
      <c r="Z69" s="661"/>
      <c r="AA69" s="661"/>
      <c r="AB69" s="661"/>
      <c r="AC69" s="371" t="s">
        <v>617</v>
      </c>
      <c r="AD69" s="371" t="s">
        <v>618</v>
      </c>
      <c r="AE69" s="371" t="s">
        <v>619</v>
      </c>
      <c r="AF69" s="371" t="s">
        <v>925</v>
      </c>
      <c r="AG69" s="371" t="s">
        <v>620</v>
      </c>
      <c r="AH69" s="371" t="s">
        <v>1455</v>
      </c>
      <c r="AI69" s="661"/>
      <c r="AJ69" s="661"/>
      <c r="AK69" s="661"/>
      <c r="AL69" s="661"/>
      <c r="AM69" s="661"/>
      <c r="AN69" s="661"/>
      <c r="AO69" s="661"/>
      <c r="AP69" s="661"/>
    </row>
    <row r="70" spans="1:42">
      <c r="A70" s="661" t="s">
        <v>620</v>
      </c>
      <c r="B70" s="661" t="s">
        <v>1761</v>
      </c>
      <c r="C70" s="661" t="s">
        <v>1762</v>
      </c>
      <c r="D70" s="661">
        <v>981.35047908000979</v>
      </c>
      <c r="E70" s="661">
        <v>736.01285931000734</v>
      </c>
      <c r="F70" s="661">
        <v>490.6752395400049</v>
      </c>
      <c r="G70" s="661">
        <v>245.33761977000245</v>
      </c>
      <c r="H70" s="661">
        <v>98.135047908000985</v>
      </c>
      <c r="I70" s="661"/>
      <c r="J70" s="661"/>
      <c r="K70" s="661"/>
      <c r="L70" s="661"/>
      <c r="M70" s="661"/>
      <c r="N70" s="661"/>
      <c r="O70" s="661"/>
      <c r="P70" s="661"/>
      <c r="Q70" s="661"/>
      <c r="R70" s="661"/>
      <c r="S70" s="661"/>
      <c r="T70" s="374">
        <f>T51/1000</f>
        <v>1.474E-2</v>
      </c>
      <c r="U70" s="374">
        <f t="shared" ref="U70:Y70" si="16">U51/1000</f>
        <v>1.057E-2</v>
      </c>
      <c r="V70" s="374">
        <f t="shared" si="16"/>
        <v>1.4E-3</v>
      </c>
      <c r="W70" s="374">
        <f t="shared" si="16"/>
        <v>3.1230000000000001E-2</v>
      </c>
      <c r="X70" s="374">
        <f t="shared" si="16"/>
        <v>2.0500000000000001E-2</v>
      </c>
      <c r="Y70" s="374">
        <f t="shared" si="16"/>
        <v>7.8439999999999996E-2</v>
      </c>
      <c r="Z70" s="661"/>
      <c r="AA70" s="661"/>
      <c r="AB70" s="661"/>
      <c r="AC70" s="374">
        <f>SUM(AC71:AC72)</f>
        <v>0.16253169230769235</v>
      </c>
      <c r="AD70" s="374">
        <f t="shared" ref="AD70:AG70" si="17">SUM(AD71:AD72)</f>
        <v>0.11655088111888115</v>
      </c>
      <c r="AE70" s="374">
        <f t="shared" si="17"/>
        <v>1.5437202797202799E-2</v>
      </c>
      <c r="AF70" s="374">
        <f t="shared" si="17"/>
        <v>0.34435988811188822</v>
      </c>
      <c r="AG70" s="374">
        <f t="shared" si="17"/>
        <v>0.22604475524475529</v>
      </c>
      <c r="AH70" s="374">
        <f>SUM(AH71:AH72)</f>
        <v>0.86492441958041988</v>
      </c>
      <c r="AI70" s="661"/>
      <c r="AJ70" s="661"/>
      <c r="AK70" s="661"/>
      <c r="AL70" s="661"/>
      <c r="AM70" s="661"/>
      <c r="AN70" s="661"/>
      <c r="AO70" s="661"/>
      <c r="AP70" s="661"/>
    </row>
    <row r="71" spans="1:42">
      <c r="A71" s="661" t="s">
        <v>620</v>
      </c>
      <c r="B71" s="661" t="s">
        <v>1452</v>
      </c>
      <c r="C71" s="661" t="s">
        <v>1763</v>
      </c>
      <c r="D71" s="661">
        <v>49818.244019607831</v>
      </c>
      <c r="E71" s="661">
        <v>37363.683014705879</v>
      </c>
      <c r="F71" s="661">
        <v>24909.122009803916</v>
      </c>
      <c r="G71" s="661">
        <v>12454.561004901958</v>
      </c>
      <c r="H71" s="661">
        <v>4981.8244019607828</v>
      </c>
      <c r="I71" s="661"/>
      <c r="J71" s="661"/>
      <c r="K71" s="661" t="s">
        <v>1793</v>
      </c>
      <c r="L71" s="661"/>
      <c r="M71" s="661"/>
      <c r="N71" s="661"/>
      <c r="O71" s="661"/>
      <c r="P71" s="661"/>
      <c r="Q71" s="661"/>
      <c r="R71" s="661"/>
      <c r="S71" s="661" t="s">
        <v>1788</v>
      </c>
      <c r="T71" s="375">
        <f t="shared" ref="T71:Y72" si="18">T52/1000</f>
        <v>9.9149569970068442E-3</v>
      </c>
      <c r="U71" s="375">
        <f t="shared" si="18"/>
        <v>6.6610442283919656E-3</v>
      </c>
      <c r="V71" s="375">
        <f t="shared" si="18"/>
        <v>8.4448291218932453E-4</v>
      </c>
      <c r="W71" s="375">
        <f t="shared" si="18"/>
        <v>2.9052136303070072E-2</v>
      </c>
      <c r="X71" s="375">
        <f t="shared" si="18"/>
        <v>1.5892061544913294E-2</v>
      </c>
      <c r="Y71" s="375">
        <f t="shared" si="18"/>
        <v>6.2364681985571491E-2</v>
      </c>
      <c r="Z71" s="661"/>
      <c r="AA71" s="661"/>
      <c r="AB71" s="661" t="s">
        <v>1788</v>
      </c>
      <c r="AC71" s="375">
        <f>T71*24*365*$AC$60*1000000*3.6*10^(-9)</f>
        <v>0.10932800134881394</v>
      </c>
      <c r="AD71" s="375">
        <f t="shared" ref="AD71:AG72" si="19">U71*24*365*$AC$60*1000000*3.6*10^(-9)</f>
        <v>7.3448493282017149E-2</v>
      </c>
      <c r="AE71" s="375">
        <f t="shared" si="19"/>
        <v>9.3117528387421482E-3</v>
      </c>
      <c r="AF71" s="375">
        <f t="shared" si="19"/>
        <v>0.3203455141446217</v>
      </c>
      <c r="AG71" s="375">
        <f t="shared" si="19"/>
        <v>0.17523498352461039</v>
      </c>
      <c r="AH71" s="375">
        <f>SUM(AC71:AG71)</f>
        <v>0.68766874513880538</v>
      </c>
      <c r="AI71" s="661"/>
      <c r="AJ71" s="661"/>
      <c r="AK71" s="661"/>
      <c r="AL71" s="661"/>
      <c r="AM71" s="661"/>
      <c r="AN71" s="661"/>
      <c r="AO71" s="661"/>
      <c r="AP71" s="661"/>
    </row>
    <row r="72" spans="1:42">
      <c r="A72" s="661" t="s">
        <v>620</v>
      </c>
      <c r="B72" s="661" t="s">
        <v>1452</v>
      </c>
      <c r="C72" s="661" t="s">
        <v>1764</v>
      </c>
      <c r="D72" s="661">
        <v>104340.15744047621</v>
      </c>
      <c r="E72" s="661">
        <v>78255.118080357162</v>
      </c>
      <c r="F72" s="661">
        <v>52170.078720238103</v>
      </c>
      <c r="G72" s="661">
        <v>26085.039360119052</v>
      </c>
      <c r="H72" s="661">
        <v>10434.015744047627</v>
      </c>
      <c r="I72" s="661"/>
      <c r="J72" s="661"/>
      <c r="K72" s="661" t="s">
        <v>1806</v>
      </c>
      <c r="L72" s="661"/>
      <c r="M72" s="661"/>
      <c r="N72" s="661"/>
      <c r="O72" s="661"/>
      <c r="P72" s="661"/>
      <c r="Q72" s="661"/>
      <c r="R72" s="661"/>
      <c r="S72" s="661" t="s">
        <v>1789</v>
      </c>
      <c r="T72" s="375">
        <f t="shared" si="18"/>
        <v>4.8250430029931572E-3</v>
      </c>
      <c r="U72" s="375">
        <f t="shared" si="18"/>
        <v>3.9089557716080357E-3</v>
      </c>
      <c r="V72" s="375">
        <f t="shared" si="18"/>
        <v>5.5551708781067534E-4</v>
      </c>
      <c r="W72" s="375">
        <f t="shared" si="18"/>
        <v>2.1778636969299282E-3</v>
      </c>
      <c r="X72" s="375">
        <f t="shared" si="18"/>
        <v>4.6079384550867068E-3</v>
      </c>
      <c r="Y72" s="375">
        <f t="shared" si="18"/>
        <v>1.6075318014428505E-2</v>
      </c>
      <c r="Z72" s="661"/>
      <c r="AA72" s="661"/>
      <c r="AB72" s="661" t="s">
        <v>1789</v>
      </c>
      <c r="AC72" s="374">
        <f>T72*24*365*$AC$60*1000000*3.6*10^(-9)</f>
        <v>5.3203690958878398E-2</v>
      </c>
      <c r="AD72" s="374">
        <f t="shared" si="19"/>
        <v>4.3102387836864001E-2</v>
      </c>
      <c r="AE72" s="374">
        <f t="shared" si="19"/>
        <v>6.1254499584606509E-3</v>
      </c>
      <c r="AF72" s="374">
        <f t="shared" si="19"/>
        <v>2.4014373967266512E-2</v>
      </c>
      <c r="AG72" s="374">
        <f t="shared" si="19"/>
        <v>5.0809771720144892E-2</v>
      </c>
      <c r="AH72" s="374">
        <f>SUM(AC72:AG72)</f>
        <v>0.17725567444161447</v>
      </c>
      <c r="AI72" s="661"/>
      <c r="AJ72" s="661"/>
      <c r="AK72" s="661"/>
      <c r="AL72" s="661"/>
      <c r="AM72" s="661"/>
      <c r="AN72" s="661"/>
      <c r="AO72" s="661"/>
      <c r="AP72" s="661"/>
    </row>
    <row r="73" spans="1:42" ht="15" customHeight="1">
      <c r="A73" s="661" t="s">
        <v>620</v>
      </c>
      <c r="B73" s="661" t="s">
        <v>1452</v>
      </c>
      <c r="C73" s="661" t="s">
        <v>1765</v>
      </c>
      <c r="D73" s="661">
        <v>23131.250277663512</v>
      </c>
      <c r="E73" s="661">
        <v>17348.437708247649</v>
      </c>
      <c r="F73" s="661">
        <v>11565.625138831756</v>
      </c>
      <c r="G73" s="661">
        <v>5782.812569415878</v>
      </c>
      <c r="H73" s="661">
        <v>2313.1250277663512</v>
      </c>
      <c r="I73" s="661"/>
      <c r="J73" s="661"/>
      <c r="K73" s="703" t="s">
        <v>1807</v>
      </c>
      <c r="L73" s="703"/>
      <c r="M73" s="703"/>
      <c r="N73" s="703"/>
      <c r="O73" s="703"/>
      <c r="P73" s="661"/>
      <c r="Q73" s="661"/>
      <c r="R73" s="661"/>
      <c r="S73" s="661"/>
      <c r="T73" s="371"/>
      <c r="U73" s="371"/>
      <c r="V73" s="371"/>
      <c r="W73" s="371"/>
      <c r="X73" s="371"/>
      <c r="Y73" s="371"/>
      <c r="Z73" s="661"/>
      <c r="AA73" s="661"/>
      <c r="AB73" s="661"/>
      <c r="AC73" s="371"/>
      <c r="AD73" s="371"/>
      <c r="AE73" s="371"/>
      <c r="AF73" s="371"/>
      <c r="AG73" s="371"/>
      <c r="AH73" s="371"/>
      <c r="AI73" s="661"/>
      <c r="AJ73" s="661"/>
      <c r="AK73" s="661"/>
      <c r="AL73" s="661"/>
      <c r="AM73" s="661"/>
      <c r="AN73" s="661"/>
      <c r="AO73" s="661"/>
      <c r="AP73" s="661"/>
    </row>
    <row r="74" spans="1:42">
      <c r="A74" s="661" t="s">
        <v>620</v>
      </c>
      <c r="B74" s="661" t="s">
        <v>1452</v>
      </c>
      <c r="C74" s="661" t="s">
        <v>1766</v>
      </c>
      <c r="D74" s="661">
        <v>210381.74083333346</v>
      </c>
      <c r="E74" s="661">
        <v>157786.30562500015</v>
      </c>
      <c r="F74" s="661">
        <v>105190.87041666673</v>
      </c>
      <c r="G74" s="661">
        <v>52595.435208333365</v>
      </c>
      <c r="H74" s="661">
        <v>21038.17408333331</v>
      </c>
      <c r="I74" s="661"/>
      <c r="J74" s="661"/>
      <c r="K74" s="703"/>
      <c r="L74" s="703"/>
      <c r="M74" s="703"/>
      <c r="N74" s="703"/>
      <c r="O74" s="703"/>
      <c r="P74" s="661"/>
      <c r="Q74" s="661"/>
      <c r="R74" s="661"/>
      <c r="S74" s="661"/>
      <c r="T74" s="371" t="s">
        <v>1808</v>
      </c>
      <c r="U74" s="371"/>
      <c r="V74" s="371"/>
      <c r="W74" s="371"/>
      <c r="X74" s="371"/>
      <c r="Y74" s="371"/>
      <c r="Z74" s="661"/>
      <c r="AA74" s="661"/>
      <c r="AB74" s="661" t="s">
        <v>1809</v>
      </c>
      <c r="AC74" s="371"/>
      <c r="AD74" s="371"/>
      <c r="AE74" s="371"/>
      <c r="AF74" s="371"/>
      <c r="AG74" s="371"/>
      <c r="AH74" s="371"/>
      <c r="AI74" s="661"/>
      <c r="AJ74" s="661" t="s">
        <v>1810</v>
      </c>
      <c r="AK74" s="371"/>
      <c r="AL74" s="371"/>
      <c r="AM74" s="371"/>
      <c r="AN74" s="371"/>
      <c r="AO74" s="371"/>
      <c r="AP74" s="371"/>
    </row>
    <row r="75" spans="1:42">
      <c r="A75" s="661" t="s">
        <v>620</v>
      </c>
      <c r="B75" s="661" t="s">
        <v>1767</v>
      </c>
      <c r="C75" s="661" t="s">
        <v>1767</v>
      </c>
      <c r="D75" s="661">
        <v>30880.623918187219</v>
      </c>
      <c r="E75" s="661">
        <v>23160.467938640406</v>
      </c>
      <c r="F75" s="661">
        <v>15440.311959093609</v>
      </c>
      <c r="G75" s="661">
        <v>7720.1559795468047</v>
      </c>
      <c r="H75" s="661">
        <v>3088.0623918187216</v>
      </c>
      <c r="I75" s="661"/>
      <c r="J75" s="661"/>
      <c r="K75" s="703"/>
      <c r="L75" s="703"/>
      <c r="M75" s="703"/>
      <c r="N75" s="703"/>
      <c r="O75" s="703"/>
      <c r="P75" s="661"/>
      <c r="Q75" s="661"/>
      <c r="R75" s="661"/>
      <c r="S75" s="661"/>
      <c r="T75" s="371" t="s">
        <v>617</v>
      </c>
      <c r="U75" s="371" t="s">
        <v>618</v>
      </c>
      <c r="V75" s="371" t="s">
        <v>619</v>
      </c>
      <c r="W75" s="371" t="s">
        <v>925</v>
      </c>
      <c r="X75" s="371" t="s">
        <v>620</v>
      </c>
      <c r="Y75" s="371" t="s">
        <v>1455</v>
      </c>
      <c r="Z75" s="661"/>
      <c r="AA75" s="661"/>
      <c r="AB75" s="661"/>
      <c r="AC75" s="371" t="s">
        <v>617</v>
      </c>
      <c r="AD75" s="371" t="s">
        <v>618</v>
      </c>
      <c r="AE75" s="371" t="s">
        <v>619</v>
      </c>
      <c r="AF75" s="371" t="s">
        <v>925</v>
      </c>
      <c r="AG75" s="371" t="s">
        <v>620</v>
      </c>
      <c r="AH75" s="371" t="s">
        <v>1455</v>
      </c>
      <c r="AI75" s="661"/>
      <c r="AJ75" s="661"/>
      <c r="AK75" s="371" t="s">
        <v>617</v>
      </c>
      <c r="AL75" s="371" t="s">
        <v>618</v>
      </c>
      <c r="AM75" s="371" t="s">
        <v>619</v>
      </c>
      <c r="AN75" s="371" t="s">
        <v>925</v>
      </c>
      <c r="AO75" s="371" t="s">
        <v>620</v>
      </c>
      <c r="AP75" s="371" t="s">
        <v>1455</v>
      </c>
    </row>
    <row r="76" spans="1:42">
      <c r="A76" s="661" t="s">
        <v>620</v>
      </c>
      <c r="B76" s="661" t="s">
        <v>1452</v>
      </c>
      <c r="C76" s="661" t="s">
        <v>1770</v>
      </c>
      <c r="D76" s="661">
        <v>60464.318236020939</v>
      </c>
      <c r="E76" s="661">
        <v>45348.23867701571</v>
      </c>
      <c r="F76" s="661">
        <v>30232.15911801047</v>
      </c>
      <c r="G76" s="661">
        <v>15116.079559005235</v>
      </c>
      <c r="H76" s="661">
        <v>6046.4318236020972</v>
      </c>
      <c r="I76" s="661"/>
      <c r="J76" s="661"/>
      <c r="K76" s="703"/>
      <c r="L76" s="703"/>
      <c r="M76" s="703"/>
      <c r="N76" s="703"/>
      <c r="O76" s="703"/>
      <c r="P76" s="661"/>
      <c r="Q76" s="661"/>
      <c r="R76" s="661"/>
      <c r="S76" s="661"/>
      <c r="T76" s="374">
        <f>T57/1000</f>
        <v>3.3027065868263469E-2</v>
      </c>
      <c r="U76" s="374">
        <f t="shared" ref="U76:Y76" si="20">U57/1000</f>
        <v>1.9888505747126438E-2</v>
      </c>
      <c r="V76" s="374">
        <f t="shared" si="20"/>
        <v>2.6878571428571433E-3</v>
      </c>
      <c r="W76" s="374">
        <f t="shared" si="20"/>
        <v>5.5610195852534565E-2</v>
      </c>
      <c r="X76" s="374">
        <f t="shared" si="20"/>
        <v>5.5211138247815372E-2</v>
      </c>
      <c r="Y76" s="374">
        <f t="shared" si="20"/>
        <v>0.16642476285859698</v>
      </c>
      <c r="Z76" s="661"/>
      <c r="AA76" s="661"/>
      <c r="AB76" s="661"/>
      <c r="AC76" s="374">
        <f>SUM(AC77:AC78)</f>
        <v>0.36417536686068425</v>
      </c>
      <c r="AD76" s="374">
        <f t="shared" ref="AD76:AG76" si="21">SUM(AD77:AD78)</f>
        <v>0.21930206896551732</v>
      </c>
      <c r="AE76" s="374">
        <f t="shared" si="21"/>
        <v>2.9637854145854153E-2</v>
      </c>
      <c r="AF76" s="374">
        <f t="shared" si="21"/>
        <v>0.61318990783410154</v>
      </c>
      <c r="AG76" s="374">
        <f t="shared" si="21"/>
        <v>0.60878966985423288</v>
      </c>
      <c r="AH76" s="376">
        <f>SUM(AH77:AH78)</f>
        <v>1.83509486766039</v>
      </c>
      <c r="AI76" s="661"/>
      <c r="AJ76" s="661"/>
      <c r="AK76" s="374">
        <f>SUM(AK77:AK78)</f>
        <v>0.55957339780219795</v>
      </c>
      <c r="AL76" s="374">
        <f t="shared" ref="AL76:AO76" si="22">SUM(AL77:AL78)</f>
        <v>0.4012680335664337</v>
      </c>
      <c r="AM76" s="374">
        <f t="shared" si="22"/>
        <v>5.314808391608393E-2</v>
      </c>
      <c r="AN76" s="374">
        <f t="shared" si="22"/>
        <v>1.185581900499501</v>
      </c>
      <c r="AO76" s="374">
        <f t="shared" si="22"/>
        <v>0.77823980019980044</v>
      </c>
      <c r="AP76" s="376">
        <f>SUM(AP77:AP78)</f>
        <v>2.9778112159840173</v>
      </c>
    </row>
    <row r="77" spans="1:42">
      <c r="A77" s="661" t="s">
        <v>620</v>
      </c>
      <c r="B77" s="661" t="s">
        <v>1454</v>
      </c>
      <c r="C77" s="661" t="s">
        <v>1454</v>
      </c>
      <c r="D77" s="661">
        <v>195524.60310597697</v>
      </c>
      <c r="E77" s="661">
        <v>146643.45232948291</v>
      </c>
      <c r="F77" s="661">
        <v>97762.301552988487</v>
      </c>
      <c r="G77" s="661">
        <v>48881.150776494243</v>
      </c>
      <c r="H77" s="661">
        <v>19552.460310597718</v>
      </c>
      <c r="I77" s="661"/>
      <c r="J77" s="661"/>
      <c r="K77" s="703"/>
      <c r="L77" s="703"/>
      <c r="M77" s="703"/>
      <c r="N77" s="703"/>
      <c r="O77" s="703"/>
      <c r="P77" s="661"/>
      <c r="Q77" s="661"/>
      <c r="R77" s="661"/>
      <c r="S77" s="661" t="s">
        <v>1788</v>
      </c>
      <c r="T77" s="375">
        <f t="shared" ref="T77:Y78" si="23">T58/1000</f>
        <v>2.2215870951230988E-2</v>
      </c>
      <c r="U77" s="375">
        <f t="shared" si="23"/>
        <v>1.2533416879681835E-2</v>
      </c>
      <c r="V77" s="375">
        <f t="shared" si="23"/>
        <v>1.6213210196777698E-3</v>
      </c>
      <c r="W77" s="375">
        <f t="shared" si="23"/>
        <v>5.1732148246822166E-2</v>
      </c>
      <c r="X77" s="375">
        <f t="shared" si="23"/>
        <v>4.2800917414585277E-2</v>
      </c>
      <c r="Y77" s="375">
        <f t="shared" si="23"/>
        <v>0.13090367451199805</v>
      </c>
      <c r="Z77" s="661"/>
      <c r="AA77" s="661"/>
      <c r="AB77" s="661" t="s">
        <v>1788</v>
      </c>
      <c r="AC77" s="375">
        <f>T77*24*365*$AC$60*1000000*3.6*10^(-9)</f>
        <v>0.24496493227902819</v>
      </c>
      <c r="AD77" s="375">
        <f t="shared" ref="AD77:AG78" si="24">U77*24*365*$AC$60*1000000*3.6*10^(-9)</f>
        <v>0.1382006415096666</v>
      </c>
      <c r="AE77" s="375">
        <f t="shared" si="24"/>
        <v>1.7877615271523831E-2</v>
      </c>
      <c r="AF77" s="375">
        <f t="shared" si="24"/>
        <v>0.57042833115796643</v>
      </c>
      <c r="AG77" s="375">
        <f t="shared" si="24"/>
        <v>0.47194745859662995</v>
      </c>
      <c r="AH77" s="375">
        <f>SUM(AC77:AG77)</f>
        <v>1.4434189788148148</v>
      </c>
      <c r="AI77" s="661"/>
      <c r="AJ77" s="661" t="s">
        <v>1788</v>
      </c>
      <c r="AK77" s="375">
        <f>AC71*$L$116</f>
        <v>0.37640069035805945</v>
      </c>
      <c r="AL77" s="375">
        <f>AD71*$L$116</f>
        <v>0.25287266972808764</v>
      </c>
      <c r="AM77" s="375">
        <f t="shared" ref="AM77:AO77" si="25">AE71*$L$116</f>
        <v>3.2059034773383684E-2</v>
      </c>
      <c r="AN77" s="375">
        <f t="shared" si="25"/>
        <v>1.1029038415550547</v>
      </c>
      <c r="AO77" s="375">
        <f t="shared" si="25"/>
        <v>0.60330901470615872</v>
      </c>
      <c r="AP77" s="375">
        <f>SUM(AK77:AO77)</f>
        <v>2.3675452511207444</v>
      </c>
    </row>
    <row r="78" spans="1:42">
      <c r="A78" s="661" t="s">
        <v>620</v>
      </c>
      <c r="B78" s="661" t="s">
        <v>1155</v>
      </c>
      <c r="C78" s="661" t="s">
        <v>1774</v>
      </c>
      <c r="D78" s="661">
        <v>582733.87323352217</v>
      </c>
      <c r="E78" s="661">
        <v>437050.40492514183</v>
      </c>
      <c r="F78" s="661">
        <v>291366.93661676109</v>
      </c>
      <c r="G78" s="661">
        <v>145683.46830838054</v>
      </c>
      <c r="H78" s="661">
        <v>58273.387323352123</v>
      </c>
      <c r="I78" s="661"/>
      <c r="J78" s="661"/>
      <c r="K78" s="661"/>
      <c r="L78" s="661"/>
      <c r="M78" s="661"/>
      <c r="N78" s="661"/>
      <c r="O78" s="661"/>
      <c r="P78" s="661"/>
      <c r="Q78" s="661"/>
      <c r="R78" s="661"/>
      <c r="S78" s="661" t="s">
        <v>1789</v>
      </c>
      <c r="T78" s="375">
        <f t="shared" si="23"/>
        <v>1.0811194917032481E-2</v>
      </c>
      <c r="U78" s="375">
        <f t="shared" si="23"/>
        <v>7.3550888674446041E-3</v>
      </c>
      <c r="V78" s="375">
        <f t="shared" si="23"/>
        <v>1.0665361231793733E-3</v>
      </c>
      <c r="W78" s="375">
        <f t="shared" si="23"/>
        <v>3.8780476057124016E-3</v>
      </c>
      <c r="X78" s="375">
        <f t="shared" si="23"/>
        <v>1.2410220833230096E-2</v>
      </c>
      <c r="Y78" s="375">
        <f t="shared" si="23"/>
        <v>3.5521088346598957E-2</v>
      </c>
      <c r="Z78" s="661"/>
      <c r="AA78" s="661"/>
      <c r="AB78" s="661" t="s">
        <v>1789</v>
      </c>
      <c r="AC78" s="374">
        <f>T78*24*365*$AC$60*1000000*3.6*10^(-9)</f>
        <v>0.11921043458165606</v>
      </c>
      <c r="AD78" s="374">
        <f t="shared" si="24"/>
        <v>8.1101427455850722E-2</v>
      </c>
      <c r="AE78" s="374">
        <f t="shared" si="24"/>
        <v>1.1760238874330323E-2</v>
      </c>
      <c r="AF78" s="374">
        <f t="shared" si="24"/>
        <v>4.2761576676135074E-2</v>
      </c>
      <c r="AG78" s="374">
        <f t="shared" si="24"/>
        <v>0.13684221125760293</v>
      </c>
      <c r="AH78" s="374">
        <f>SUM(AC78:AG78)</f>
        <v>0.39167588884557508</v>
      </c>
      <c r="AI78" s="661"/>
      <c r="AJ78" s="661" t="s">
        <v>1789</v>
      </c>
      <c r="AK78" s="374">
        <f>AC72*$L$116</f>
        <v>0.18317270744413849</v>
      </c>
      <c r="AL78" s="374">
        <f t="shared" ref="AL78:AO78" si="26">AD72*$L$116</f>
        <v>0.14839536383834606</v>
      </c>
      <c r="AM78" s="374">
        <f t="shared" si="26"/>
        <v>2.1089049142700243E-2</v>
      </c>
      <c r="AN78" s="374">
        <f t="shared" si="26"/>
        <v>8.2678058944446145E-2</v>
      </c>
      <c r="AO78" s="374">
        <f t="shared" si="26"/>
        <v>0.17493078549364172</v>
      </c>
      <c r="AP78" s="374">
        <f>SUM(AK78:AO78)</f>
        <v>0.61026596486327267</v>
      </c>
    </row>
    <row r="79" spans="1:42">
      <c r="A79" s="661" t="s">
        <v>620</v>
      </c>
      <c r="B79" s="661" t="s">
        <v>1452</v>
      </c>
      <c r="C79" s="661" t="s">
        <v>1776</v>
      </c>
      <c r="D79" s="661">
        <v>110846.76869047619</v>
      </c>
      <c r="E79" s="661">
        <v>83135.076517856985</v>
      </c>
      <c r="F79" s="661">
        <v>55423.384345238097</v>
      </c>
      <c r="G79" s="661">
        <v>27711.692172619049</v>
      </c>
      <c r="H79" s="661">
        <v>11084.6768690476</v>
      </c>
      <c r="I79" s="661"/>
      <c r="J79" s="661"/>
      <c r="K79" s="661"/>
      <c r="L79" s="661"/>
      <c r="M79" s="661"/>
      <c r="N79" s="661"/>
      <c r="O79" s="661"/>
      <c r="P79" s="661"/>
      <c r="Q79" s="661"/>
      <c r="R79" s="661"/>
      <c r="S79" s="661"/>
      <c r="T79" s="371"/>
      <c r="U79" s="371"/>
      <c r="V79" s="371"/>
      <c r="W79" s="371"/>
      <c r="X79" s="371"/>
      <c r="Y79" s="371"/>
      <c r="Z79" s="661"/>
      <c r="AA79" s="661"/>
      <c r="AB79" s="661"/>
      <c r="AC79" s="661"/>
      <c r="AD79" s="661"/>
      <c r="AE79" s="661"/>
      <c r="AF79" s="661"/>
      <c r="AG79" s="661"/>
      <c r="AH79" s="661"/>
      <c r="AI79" s="661"/>
      <c r="AJ79" s="661"/>
      <c r="AK79" s="661"/>
      <c r="AL79" s="661"/>
      <c r="AM79" s="661"/>
      <c r="AN79" s="661"/>
      <c r="AO79" s="661"/>
      <c r="AP79" s="661"/>
    </row>
    <row r="80" spans="1:42">
      <c r="A80" s="661" t="s">
        <v>620</v>
      </c>
      <c r="B80" s="661" t="s">
        <v>1777</v>
      </c>
      <c r="C80" s="661" t="s">
        <v>1744</v>
      </c>
      <c r="D80" s="661">
        <v>3447.3466666666664</v>
      </c>
      <c r="E80" s="661">
        <v>2585.5099999999998</v>
      </c>
      <c r="F80" s="661">
        <v>1723.6733333333332</v>
      </c>
      <c r="G80" s="661">
        <v>861.83666666666659</v>
      </c>
      <c r="H80" s="661">
        <v>344.73466666666667</v>
      </c>
      <c r="I80" s="661"/>
      <c r="J80" s="661"/>
      <c r="K80" s="661"/>
      <c r="L80" s="661"/>
      <c r="M80" s="661"/>
      <c r="N80" s="661"/>
      <c r="O80" s="661"/>
      <c r="P80" s="661"/>
      <c r="Q80" s="661"/>
      <c r="R80" s="661"/>
      <c r="S80" s="661"/>
      <c r="T80" s="371"/>
      <c r="U80" s="371"/>
      <c r="V80" s="371"/>
      <c r="W80" s="371"/>
      <c r="X80" s="371"/>
      <c r="Y80" s="371"/>
      <c r="Z80" s="661"/>
      <c r="AA80" s="661"/>
      <c r="AB80" s="661"/>
      <c r="AC80" s="661"/>
      <c r="AD80" s="661"/>
      <c r="AE80" s="661"/>
      <c r="AF80" s="661"/>
      <c r="AG80" s="661"/>
      <c r="AH80" s="661"/>
      <c r="AI80" s="661"/>
      <c r="AJ80" s="661"/>
      <c r="AK80" s="661"/>
      <c r="AL80" s="661"/>
      <c r="AM80" s="661"/>
      <c r="AN80" s="661"/>
      <c r="AO80" s="661"/>
      <c r="AP80" s="661"/>
    </row>
    <row r="81" spans="1:42">
      <c r="A81" s="661" t="s">
        <v>620</v>
      </c>
      <c r="B81" s="661" t="s">
        <v>1777</v>
      </c>
      <c r="C81" s="661" t="s">
        <v>1778</v>
      </c>
      <c r="D81" s="661">
        <v>0</v>
      </c>
      <c r="E81" s="661">
        <v>0</v>
      </c>
      <c r="F81" s="661">
        <v>0</v>
      </c>
      <c r="G81" s="661">
        <v>0</v>
      </c>
      <c r="H81" s="661">
        <v>0</v>
      </c>
      <c r="I81" s="661"/>
      <c r="J81" s="661"/>
      <c r="K81" s="661"/>
      <c r="L81" s="661"/>
      <c r="M81" s="661"/>
      <c r="N81" s="661"/>
      <c r="O81" s="661"/>
      <c r="P81" s="661"/>
      <c r="Q81" s="44"/>
      <c r="R81" s="371" t="s">
        <v>1811</v>
      </c>
      <c r="S81" s="371" t="s">
        <v>1178</v>
      </c>
      <c r="T81" s="371" t="s">
        <v>1788</v>
      </c>
      <c r="U81" s="371" t="s">
        <v>1789</v>
      </c>
      <c r="V81" s="371"/>
      <c r="W81" s="371"/>
      <c r="X81" s="371"/>
      <c r="Y81" s="371"/>
      <c r="Z81" s="661"/>
      <c r="AA81" s="661"/>
      <c r="AB81" s="661" t="s">
        <v>1812</v>
      </c>
      <c r="AC81" s="371"/>
      <c r="AD81" s="371"/>
      <c r="AE81" s="371"/>
      <c r="AF81" s="371"/>
      <c r="AG81" s="371"/>
      <c r="AH81" s="371"/>
      <c r="AI81" s="661"/>
      <c r="AJ81" s="661" t="s">
        <v>1813</v>
      </c>
      <c r="AK81" s="371"/>
      <c r="AL81" s="371"/>
      <c r="AM81" s="371"/>
      <c r="AN81" s="371"/>
      <c r="AO81" s="371"/>
      <c r="AP81" s="371"/>
    </row>
    <row r="82" spans="1:42">
      <c r="A82" s="661" t="s">
        <v>620</v>
      </c>
      <c r="B82" s="661" t="s">
        <v>1452</v>
      </c>
      <c r="C82" s="661" t="s">
        <v>1779</v>
      </c>
      <c r="D82" s="661">
        <v>50020.702203943132</v>
      </c>
      <c r="E82" s="661">
        <v>37515.526652957313</v>
      </c>
      <c r="F82" s="661">
        <v>25010.351101971566</v>
      </c>
      <c r="G82" s="661">
        <v>12505.175550985783</v>
      </c>
      <c r="H82" s="661">
        <v>5002.0702203943047</v>
      </c>
      <c r="I82" s="661"/>
      <c r="J82" s="661"/>
      <c r="K82" s="661"/>
      <c r="L82" s="661"/>
      <c r="M82" s="661"/>
      <c r="N82" s="661"/>
      <c r="O82" s="661"/>
      <c r="P82" s="661"/>
      <c r="Q82" s="44" t="s">
        <v>617</v>
      </c>
      <c r="R82" s="44">
        <v>25</v>
      </c>
      <c r="S82" s="44">
        <f>R82*24*365*$AC$60*1000000*3.6*10^(-12)</f>
        <v>0.27566433566433568</v>
      </c>
      <c r="T82" s="44">
        <f>$S82*$M35</f>
        <v>0.18542741070015931</v>
      </c>
      <c r="U82" s="44">
        <f>$S82*$M36</f>
        <v>9.0236924964176374E-2</v>
      </c>
      <c r="V82" s="371"/>
      <c r="W82" s="371"/>
      <c r="X82" s="371"/>
      <c r="Y82" s="371"/>
      <c r="Z82" s="661"/>
      <c r="AA82" s="661"/>
      <c r="AB82" s="661"/>
      <c r="AC82" s="371" t="s">
        <v>617</v>
      </c>
      <c r="AD82" s="371" t="s">
        <v>618</v>
      </c>
      <c r="AE82" s="371" t="s">
        <v>619</v>
      </c>
      <c r="AF82" s="371" t="s">
        <v>925</v>
      </c>
      <c r="AG82" s="371" t="s">
        <v>620</v>
      </c>
      <c r="AH82" s="371" t="s">
        <v>1455</v>
      </c>
      <c r="AI82" s="661"/>
      <c r="AJ82" s="661"/>
      <c r="AK82" s="371" t="s">
        <v>617</v>
      </c>
      <c r="AL82" s="371" t="s">
        <v>618</v>
      </c>
      <c r="AM82" s="371" t="s">
        <v>619</v>
      </c>
      <c r="AN82" s="371" t="s">
        <v>925</v>
      </c>
      <c r="AO82" s="371" t="s">
        <v>620</v>
      </c>
      <c r="AP82" s="371" t="s">
        <v>1455</v>
      </c>
    </row>
    <row r="83" spans="1:42">
      <c r="A83" s="661" t="s">
        <v>620</v>
      </c>
      <c r="B83" s="661" t="s">
        <v>1761</v>
      </c>
      <c r="C83" s="661" t="s">
        <v>1780</v>
      </c>
      <c r="D83" s="661">
        <v>20</v>
      </c>
      <c r="E83" s="661">
        <v>15</v>
      </c>
      <c r="F83" s="661">
        <v>10</v>
      </c>
      <c r="G83" s="661">
        <v>5</v>
      </c>
      <c r="H83" s="661">
        <v>2</v>
      </c>
      <c r="I83" s="661"/>
      <c r="J83" s="661"/>
      <c r="K83" s="661"/>
      <c r="L83" s="661"/>
      <c r="M83" s="661"/>
      <c r="N83" s="661"/>
      <c r="O83" s="661"/>
      <c r="P83" s="661"/>
      <c r="Q83" s="44" t="s">
        <v>618</v>
      </c>
      <c r="R83" s="44">
        <v>10</v>
      </c>
      <c r="S83" s="44">
        <f t="shared" ref="S83:S86" si="27">R83*24*365*$AC$60*1000000*3.6*10^(-12)</f>
        <v>0.1102657342657343</v>
      </c>
      <c r="T83" s="44">
        <f>$S83*$L35</f>
        <v>6.9487694684973664E-2</v>
      </c>
      <c r="U83" s="44">
        <f>$S83*$L36</f>
        <v>4.0778039580760643E-2</v>
      </c>
      <c r="V83" s="371"/>
      <c r="W83" s="371"/>
      <c r="X83" s="371"/>
      <c r="Y83" s="371"/>
      <c r="Z83" s="661"/>
      <c r="AA83" s="661"/>
      <c r="AB83" s="661"/>
      <c r="AC83" s="374">
        <f>SUM(AC84:AC85)</f>
        <v>0.63983970252501998</v>
      </c>
      <c r="AD83" s="374">
        <f t="shared" ref="AD83:AG83" si="28">SUM(AD84:AD85)</f>
        <v>0.32956780323125168</v>
      </c>
      <c r="AE83" s="374">
        <f t="shared" si="28"/>
        <v>4.0664427572427581E-2</v>
      </c>
      <c r="AF83" s="374">
        <f t="shared" si="28"/>
        <v>1.1645185791627728</v>
      </c>
      <c r="AG83" s="374">
        <f t="shared" si="28"/>
        <v>1.1601183411829044</v>
      </c>
      <c r="AH83" s="376">
        <f>SUM(AH84:AH85)</f>
        <v>3.3347088536743761</v>
      </c>
      <c r="AI83" s="661"/>
      <c r="AJ83" s="661"/>
      <c r="AK83" s="374">
        <f>SUM(AK84:AK85)</f>
        <v>0.95545416263736294</v>
      </c>
      <c r="AL83" s="374">
        <f t="shared" ref="AL83:AO83" si="29">SUM(AL84:AL85)</f>
        <v>0.68515267972027993</v>
      </c>
      <c r="AM83" s="374">
        <f t="shared" si="29"/>
        <v>9.0748699300699315E-2</v>
      </c>
      <c r="AN83" s="374">
        <f t="shared" si="29"/>
        <v>2.0243441994006002</v>
      </c>
      <c r="AO83" s="374">
        <f t="shared" si="29"/>
        <v>1.3288202397602402</v>
      </c>
      <c r="AP83" s="376">
        <f>SUM(AP84:AP85)</f>
        <v>5.0845199808191825</v>
      </c>
    </row>
    <row r="84" spans="1:42">
      <c r="A84" s="661" t="s">
        <v>620</v>
      </c>
      <c r="B84" s="661" t="s">
        <v>1155</v>
      </c>
      <c r="C84" s="661" t="s">
        <v>1781</v>
      </c>
      <c r="D84" s="661">
        <v>2704993.8573539141</v>
      </c>
      <c r="E84" s="661">
        <v>2028745.3930154911</v>
      </c>
      <c r="F84" s="661">
        <v>1352496.928676957</v>
      </c>
      <c r="G84" s="661">
        <v>676248.46433847852</v>
      </c>
      <c r="H84" s="661">
        <v>270499.38573539938</v>
      </c>
      <c r="I84" s="661"/>
      <c r="J84" s="661"/>
      <c r="K84" s="661"/>
      <c r="L84" s="661"/>
      <c r="M84" s="661"/>
      <c r="N84" s="661"/>
      <c r="O84" s="661"/>
      <c r="P84" s="661"/>
      <c r="Q84" s="44" t="s">
        <v>619</v>
      </c>
      <c r="R84" s="44">
        <v>1</v>
      </c>
      <c r="S84" s="44">
        <f t="shared" si="27"/>
        <v>1.1026573426573427E-2</v>
      </c>
      <c r="T84" s="44">
        <f>$S84*$N35</f>
        <v>6.6512520276729627E-3</v>
      </c>
      <c r="U84" s="44">
        <f>$S84*$N36</f>
        <v>4.3753213989004645E-3</v>
      </c>
      <c r="V84" s="371"/>
      <c r="W84" s="371"/>
      <c r="X84" s="371"/>
      <c r="Y84" s="371"/>
      <c r="Z84" s="661"/>
      <c r="AA84" s="661"/>
      <c r="AB84" s="661" t="s">
        <v>1788</v>
      </c>
      <c r="AC84" s="375">
        <f>AC77+$T$82</f>
        <v>0.43039234297918749</v>
      </c>
      <c r="AD84" s="375">
        <f>AD77+$T$83</f>
        <v>0.20768833619464028</v>
      </c>
      <c r="AE84" s="375">
        <f>AE77+$T$84</f>
        <v>2.4528867299196795E-2</v>
      </c>
      <c r="AF84" s="375">
        <f>AF77+$T$85</f>
        <v>1.0833093976719299</v>
      </c>
      <c r="AG84" s="375">
        <f>AG77+$T$86</f>
        <v>0.89934985743714302</v>
      </c>
      <c r="AH84" s="375">
        <f>SUM(AC84:AG84)</f>
        <v>2.6452688015820973</v>
      </c>
      <c r="AI84" s="661"/>
      <c r="AJ84" s="661" t="s">
        <v>1788</v>
      </c>
      <c r="AK84" s="375">
        <f>AC71*$M$116</f>
        <v>0.64269246507195632</v>
      </c>
      <c r="AL84" s="375">
        <f t="shared" ref="AL84:AO85" si="30">AD71*$M$116</f>
        <v>0.43177221407928656</v>
      </c>
      <c r="AM84" s="375">
        <f t="shared" si="30"/>
        <v>5.4739804187748486E-2</v>
      </c>
      <c r="AN84" s="375">
        <f t="shared" si="30"/>
        <v>1.8831739867215977</v>
      </c>
      <c r="AO84" s="375">
        <f t="shared" si="30"/>
        <v>1.0301313674339598</v>
      </c>
      <c r="AP84" s="375">
        <f>SUM(AK84:AO84)</f>
        <v>4.0425098374945492</v>
      </c>
    </row>
    <row r="85" spans="1:42">
      <c r="A85" s="661" t="s">
        <v>620</v>
      </c>
      <c r="B85" s="661" t="s">
        <v>1452</v>
      </c>
      <c r="C85" s="661" t="s">
        <v>1782</v>
      </c>
      <c r="D85" s="661">
        <v>339577.83155952417</v>
      </c>
      <c r="E85" s="661">
        <v>254683.37366964272</v>
      </c>
      <c r="F85" s="661">
        <v>169788.91577976209</v>
      </c>
      <c r="G85" s="661">
        <v>84894.457889881043</v>
      </c>
      <c r="H85" s="661">
        <v>33957.783155952413</v>
      </c>
      <c r="I85" s="661"/>
      <c r="J85" s="661"/>
      <c r="K85" s="661"/>
      <c r="L85" s="661"/>
      <c r="M85" s="661"/>
      <c r="N85" s="661"/>
      <c r="O85" s="661"/>
      <c r="P85" s="661"/>
      <c r="Q85" s="44" t="s">
        <v>925</v>
      </c>
      <c r="R85" s="44">
        <v>50</v>
      </c>
      <c r="S85" s="44">
        <f t="shared" si="27"/>
        <v>0.55132867132867136</v>
      </c>
      <c r="T85" s="44">
        <f>$S85*$P35</f>
        <v>0.51288106651396348</v>
      </c>
      <c r="U85" s="44">
        <f>$S85*$P36</f>
        <v>3.8447604814707832E-2</v>
      </c>
      <c r="V85" s="371"/>
      <c r="W85" s="371"/>
      <c r="X85" s="371"/>
      <c r="Y85" s="371"/>
      <c r="Z85" s="661"/>
      <c r="AA85" s="661"/>
      <c r="AB85" s="661" t="s">
        <v>1789</v>
      </c>
      <c r="AC85" s="374">
        <f>AC78+$U$82</f>
        <v>0.20944735954583243</v>
      </c>
      <c r="AD85" s="374">
        <f>AD78+$U$83</f>
        <v>0.12187946703661137</v>
      </c>
      <c r="AE85" s="374">
        <f>AE78+$U$84</f>
        <v>1.6135560273230785E-2</v>
      </c>
      <c r="AF85" s="374">
        <f>AF78+$U$85</f>
        <v>8.1209181490842913E-2</v>
      </c>
      <c r="AG85" s="374">
        <f>AG78+$U$86</f>
        <v>0.26076848374576123</v>
      </c>
      <c r="AH85" s="374">
        <f>SUM(AC85:AG85)</f>
        <v>0.68944005209227877</v>
      </c>
      <c r="AI85" s="661"/>
      <c r="AJ85" s="661" t="s">
        <v>1789</v>
      </c>
      <c r="AK85" s="374">
        <f>AC72*$M$116</f>
        <v>0.31276169756540662</v>
      </c>
      <c r="AL85" s="374">
        <f t="shared" si="30"/>
        <v>0.25338046564099337</v>
      </c>
      <c r="AM85" s="374">
        <f t="shared" si="30"/>
        <v>3.6008895112950828E-2</v>
      </c>
      <c r="AN85" s="374">
        <f t="shared" si="30"/>
        <v>0.14117021267900243</v>
      </c>
      <c r="AO85" s="374">
        <f t="shared" si="30"/>
        <v>0.29868887232628033</v>
      </c>
      <c r="AP85" s="374">
        <f>SUM(AK85:AO85)</f>
        <v>1.0420101433246336</v>
      </c>
    </row>
    <row r="86" spans="1:42">
      <c r="A86" s="661" t="s">
        <v>620</v>
      </c>
      <c r="B86" s="661" t="s">
        <v>1452</v>
      </c>
      <c r="C86" s="661" t="s">
        <v>1783</v>
      </c>
      <c r="D86" s="661">
        <v>30811.338857142837</v>
      </c>
      <c r="E86" s="661">
        <v>23108.504142857135</v>
      </c>
      <c r="F86" s="661">
        <v>15405.669428571418</v>
      </c>
      <c r="G86" s="661">
        <v>7702.8347142857092</v>
      </c>
      <c r="H86" s="661">
        <v>3081.1338857142873</v>
      </c>
      <c r="I86" s="661"/>
      <c r="J86" s="661"/>
      <c r="K86" s="661"/>
      <c r="L86" s="661"/>
      <c r="M86" s="661"/>
      <c r="N86" s="661"/>
      <c r="O86" s="661"/>
      <c r="P86" s="661"/>
      <c r="Q86" s="44" t="s">
        <v>620</v>
      </c>
      <c r="R86" s="44">
        <v>50</v>
      </c>
      <c r="S86" s="44">
        <f t="shared" si="27"/>
        <v>0.55132867132867136</v>
      </c>
      <c r="T86" s="44">
        <f>$S86*$O35</f>
        <v>0.42740239884051306</v>
      </c>
      <c r="U86" s="44">
        <f>$S86*$O36</f>
        <v>0.12392627248815827</v>
      </c>
      <c r="V86" s="371"/>
      <c r="W86" s="371"/>
      <c r="X86" s="371"/>
      <c r="Y86" s="371"/>
      <c r="Z86" s="661"/>
      <c r="AA86" s="661"/>
      <c r="AB86" s="661"/>
      <c r="AC86" s="661"/>
      <c r="AD86" s="661"/>
      <c r="AE86" s="661"/>
      <c r="AF86" s="661"/>
      <c r="AG86" s="661"/>
      <c r="AH86" s="661"/>
      <c r="AI86" s="661"/>
      <c r="AJ86" s="661"/>
      <c r="AK86" s="661"/>
      <c r="AL86" s="661"/>
      <c r="AM86" s="661"/>
      <c r="AN86" s="661"/>
      <c r="AO86" s="661"/>
      <c r="AP86" s="661"/>
    </row>
    <row r="87" spans="1:42">
      <c r="A87" s="661" t="s">
        <v>620</v>
      </c>
      <c r="B87" s="661" t="s">
        <v>1452</v>
      </c>
      <c r="C87" s="661" t="s">
        <v>1784</v>
      </c>
      <c r="D87" s="661">
        <v>73.099999999999994</v>
      </c>
      <c r="E87" s="661">
        <v>54.825000000000003</v>
      </c>
      <c r="F87" s="661">
        <v>36.549999999999997</v>
      </c>
      <c r="G87" s="661">
        <v>18.274999999999999</v>
      </c>
      <c r="H87" s="661">
        <v>7.31</v>
      </c>
      <c r="I87" s="661"/>
      <c r="J87" s="661"/>
      <c r="K87" s="661"/>
      <c r="L87" s="661"/>
      <c r="M87" s="661"/>
      <c r="N87" s="661"/>
      <c r="O87" s="661"/>
      <c r="P87" s="661"/>
      <c r="Q87" s="44"/>
      <c r="R87" s="44"/>
      <c r="S87" s="44"/>
      <c r="T87" s="44"/>
      <c r="U87" s="44"/>
      <c r="V87" s="371"/>
      <c r="W87" s="371"/>
      <c r="X87" s="371"/>
      <c r="Y87" s="371"/>
      <c r="Z87" s="661"/>
      <c r="AA87" s="661"/>
      <c r="AB87" s="661"/>
      <c r="AC87" s="661"/>
      <c r="AD87" s="661"/>
      <c r="AE87" s="661"/>
      <c r="AF87" s="661"/>
      <c r="AG87" s="661"/>
      <c r="AH87" s="661"/>
      <c r="AI87" s="661"/>
      <c r="AJ87" s="661"/>
      <c r="AK87" s="661"/>
      <c r="AL87" s="661"/>
      <c r="AM87" s="661"/>
      <c r="AN87" s="661"/>
      <c r="AO87" s="661"/>
      <c r="AP87" s="661"/>
    </row>
    <row r="88" spans="1:42">
      <c r="A88" s="661" t="s">
        <v>620</v>
      </c>
      <c r="B88" s="661" t="s">
        <v>1452</v>
      </c>
      <c r="C88" s="661" t="s">
        <v>1785</v>
      </c>
      <c r="D88" s="661">
        <v>30.4</v>
      </c>
      <c r="E88" s="661">
        <v>22.8</v>
      </c>
      <c r="F88" s="661">
        <v>15.2</v>
      </c>
      <c r="G88" s="661">
        <v>7.6</v>
      </c>
      <c r="H88" s="661">
        <v>3.04</v>
      </c>
      <c r="I88" s="661"/>
      <c r="J88" s="661"/>
      <c r="K88" s="661"/>
      <c r="L88" s="661"/>
      <c r="M88" s="661"/>
      <c r="N88" s="661"/>
      <c r="O88" s="661"/>
      <c r="P88" s="661"/>
      <c r="Q88" s="661"/>
      <c r="R88" s="661"/>
      <c r="S88" s="661"/>
      <c r="T88" s="371"/>
      <c r="U88" s="371"/>
      <c r="V88" s="371"/>
      <c r="W88" s="371"/>
      <c r="X88" s="371"/>
      <c r="Y88" s="371"/>
      <c r="Z88" s="661"/>
      <c r="AA88" s="661"/>
      <c r="AB88" s="661" t="s">
        <v>1814</v>
      </c>
      <c r="AC88" s="371"/>
      <c r="AD88" s="371"/>
      <c r="AE88" s="371"/>
      <c r="AF88" s="371"/>
      <c r="AG88" s="371"/>
      <c r="AH88" s="371"/>
      <c r="AI88" s="661"/>
      <c r="AJ88" s="661" t="s">
        <v>1815</v>
      </c>
      <c r="AK88" s="371"/>
      <c r="AL88" s="371"/>
      <c r="AM88" s="371"/>
      <c r="AN88" s="371"/>
      <c r="AO88" s="371"/>
      <c r="AP88" s="371"/>
    </row>
    <row r="89" spans="1:42">
      <c r="A89" s="661" t="s">
        <v>620</v>
      </c>
      <c r="B89" s="661" t="s">
        <v>1452</v>
      </c>
      <c r="C89" s="661" t="s">
        <v>1787</v>
      </c>
      <c r="D89" s="661">
        <v>306462.27830835659</v>
      </c>
      <c r="E89" s="661">
        <v>229846.70873126734</v>
      </c>
      <c r="F89" s="661">
        <v>153231.13915417829</v>
      </c>
      <c r="G89" s="661">
        <v>76615.569577089147</v>
      </c>
      <c r="H89" s="661">
        <v>30646.227830835705</v>
      </c>
      <c r="I89" s="661"/>
      <c r="J89" s="661"/>
      <c r="K89" s="661"/>
      <c r="L89" s="661"/>
      <c r="M89" s="661"/>
      <c r="N89" s="661"/>
      <c r="O89" s="661"/>
      <c r="P89" s="661"/>
      <c r="Q89" s="661"/>
      <c r="R89" s="661"/>
      <c r="S89" s="661"/>
      <c r="T89" s="371"/>
      <c r="U89" s="371"/>
      <c r="V89" s="371"/>
      <c r="W89" s="371"/>
      <c r="X89" s="371"/>
      <c r="Y89" s="371"/>
      <c r="Z89" s="661"/>
      <c r="AA89" s="661"/>
      <c r="AB89" s="661"/>
      <c r="AC89" s="371" t="s">
        <v>617</v>
      </c>
      <c r="AD89" s="371" t="s">
        <v>618</v>
      </c>
      <c r="AE89" s="371" t="s">
        <v>619</v>
      </c>
      <c r="AF89" s="371" t="s">
        <v>925</v>
      </c>
      <c r="AG89" s="371" t="s">
        <v>620</v>
      </c>
      <c r="AH89" s="371" t="s">
        <v>1455</v>
      </c>
      <c r="AI89" s="661"/>
      <c r="AJ89" s="661"/>
      <c r="AK89" s="371" t="s">
        <v>617</v>
      </c>
      <c r="AL89" s="371" t="s">
        <v>618</v>
      </c>
      <c r="AM89" s="371" t="s">
        <v>619</v>
      </c>
      <c r="AN89" s="371" t="s">
        <v>925</v>
      </c>
      <c r="AO89" s="371" t="s">
        <v>620</v>
      </c>
      <c r="AP89" s="371" t="s">
        <v>1455</v>
      </c>
    </row>
    <row r="90" spans="1:42">
      <c r="A90" s="661" t="s">
        <v>621</v>
      </c>
      <c r="B90" s="661" t="s">
        <v>1155</v>
      </c>
      <c r="C90" s="661" t="s">
        <v>1760</v>
      </c>
      <c r="D90" s="661">
        <v>1127864.3667357678</v>
      </c>
      <c r="E90" s="661">
        <v>845898.27505175781</v>
      </c>
      <c r="F90" s="661">
        <v>563932.1833678839</v>
      </c>
      <c r="G90" s="661">
        <v>281966.09168394195</v>
      </c>
      <c r="H90" s="661">
        <v>112786.43667358205</v>
      </c>
      <c r="I90" s="661"/>
      <c r="J90" s="661"/>
      <c r="K90" s="661"/>
      <c r="L90" s="661"/>
      <c r="M90" s="661"/>
      <c r="N90" s="661"/>
      <c r="O90" s="661"/>
      <c r="P90" s="661"/>
      <c r="Q90" s="661"/>
      <c r="R90" s="661"/>
      <c r="S90" s="661"/>
      <c r="T90" s="371"/>
      <c r="U90" s="371"/>
      <c r="V90" s="371"/>
      <c r="W90" s="371"/>
      <c r="X90" s="371"/>
      <c r="Y90" s="371"/>
      <c r="Z90" s="661"/>
      <c r="AA90" s="661"/>
      <c r="AB90" s="661"/>
      <c r="AC90" s="374">
        <f>SUM(AC91:AC92)</f>
        <v>0.91550403818935566</v>
      </c>
      <c r="AD90" s="374">
        <f t="shared" ref="AD90:AG90" si="31">SUM(AD91:AD92)</f>
        <v>0.43983353749698595</v>
      </c>
      <c r="AE90" s="374">
        <f t="shared" si="31"/>
        <v>5.1691000999001008E-2</v>
      </c>
      <c r="AF90" s="374">
        <f t="shared" si="31"/>
        <v>1.7158472504914439</v>
      </c>
      <c r="AG90" s="374">
        <f t="shared" si="31"/>
        <v>1.7114470125115755</v>
      </c>
      <c r="AH90" s="376">
        <f>SUM(AH91:AH92)</f>
        <v>4.8343228396883626</v>
      </c>
      <c r="AI90" s="661"/>
      <c r="AJ90" s="661"/>
      <c r="AK90" s="374">
        <f>SUM(AK91:AK92)</f>
        <v>1.3524958681318688</v>
      </c>
      <c r="AL90" s="374">
        <f t="shared" ref="AL90:AO90" si="32">SUM(AL91:AL92)</f>
        <v>0.96986983216783262</v>
      </c>
      <c r="AM90" s="374">
        <f t="shared" si="32"/>
        <v>0.12845958041958047</v>
      </c>
      <c r="AN90" s="374">
        <f t="shared" si="32"/>
        <v>2.8655662117882135</v>
      </c>
      <c r="AO90" s="374">
        <f t="shared" si="32"/>
        <v>1.8810152847152852</v>
      </c>
      <c r="AP90" s="376">
        <f>SUM(AP91:AP92)</f>
        <v>7.1974067772227803</v>
      </c>
    </row>
    <row r="91" spans="1:42">
      <c r="A91" s="661" t="s">
        <v>621</v>
      </c>
      <c r="B91" s="661" t="s">
        <v>1761</v>
      </c>
      <c r="C91" s="661" t="s">
        <v>1762</v>
      </c>
      <c r="D91" s="661">
        <v>1279.4000000000001</v>
      </c>
      <c r="E91" s="661">
        <v>959.55</v>
      </c>
      <c r="F91" s="661">
        <v>639.70000000000005</v>
      </c>
      <c r="G91" s="661">
        <v>319.85000000000002</v>
      </c>
      <c r="H91" s="661">
        <v>127.94</v>
      </c>
      <c r="I91" s="661"/>
      <c r="J91" s="661"/>
      <c r="K91" s="661"/>
      <c r="L91" s="661"/>
      <c r="M91" s="661"/>
      <c r="N91" s="661"/>
      <c r="O91" s="661"/>
      <c r="P91" s="661"/>
      <c r="Q91" s="661"/>
      <c r="R91" s="661"/>
      <c r="S91" s="661"/>
      <c r="T91" s="371"/>
      <c r="U91" s="371"/>
      <c r="V91" s="371"/>
      <c r="W91" s="371"/>
      <c r="X91" s="371"/>
      <c r="Y91" s="371"/>
      <c r="Z91" s="661"/>
      <c r="AA91" s="661"/>
      <c r="AB91" s="661" t="s">
        <v>1788</v>
      </c>
      <c r="AC91" s="375">
        <f>AC84+$T$82</f>
        <v>0.61581975367934683</v>
      </c>
      <c r="AD91" s="375">
        <f>AD84+$T$83</f>
        <v>0.27717603087961395</v>
      </c>
      <c r="AE91" s="375">
        <f>AE84+$T$84</f>
        <v>3.118011932686976E-2</v>
      </c>
      <c r="AF91" s="375">
        <f>AF84+$T$85</f>
        <v>1.5961904641858933</v>
      </c>
      <c r="AG91" s="375">
        <f>AG84+$T$86</f>
        <v>1.3267522562776561</v>
      </c>
      <c r="AH91" s="375">
        <f>SUM(AC91:AG91)</f>
        <v>3.8471186243493802</v>
      </c>
      <c r="AI91" s="661"/>
      <c r="AJ91" s="661" t="s">
        <v>1788</v>
      </c>
      <c r="AK91" s="375">
        <f>AC71*$N$116</f>
        <v>0.90976515408120195</v>
      </c>
      <c r="AL91" s="375">
        <f t="shared" ref="AL91:AO92" si="33">AD71*$N$116</f>
        <v>0.61119639052535712</v>
      </c>
      <c r="AM91" s="375">
        <f t="shared" si="33"/>
        <v>7.7487086122390039E-2</v>
      </c>
      <c r="AN91" s="375">
        <f t="shared" si="33"/>
        <v>2.6657323141320313</v>
      </c>
      <c r="AO91" s="375">
        <f t="shared" si="33"/>
        <v>1.4582053986155081</v>
      </c>
      <c r="AP91" s="375">
        <f>SUM(AK91:AO91)</f>
        <v>5.7223863434764883</v>
      </c>
    </row>
    <row r="92" spans="1:42">
      <c r="A92" s="661" t="s">
        <v>621</v>
      </c>
      <c r="B92" s="661" t="s">
        <v>1452</v>
      </c>
      <c r="C92" s="661" t="s">
        <v>1763</v>
      </c>
      <c r="D92" s="661">
        <v>9289.7997101449255</v>
      </c>
      <c r="E92" s="661">
        <v>6967.3497826086959</v>
      </c>
      <c r="F92" s="661">
        <v>4644.8998550724627</v>
      </c>
      <c r="G92" s="661">
        <v>2322.4499275362314</v>
      </c>
      <c r="H92" s="661">
        <v>928.97997101449255</v>
      </c>
      <c r="I92" s="661"/>
      <c r="J92" s="661"/>
      <c r="K92" s="661"/>
      <c r="L92" s="661"/>
      <c r="M92" s="661"/>
      <c r="N92" s="661"/>
      <c r="O92" s="661"/>
      <c r="P92" s="661"/>
      <c r="Q92" s="661"/>
      <c r="R92" s="661"/>
      <c r="S92" s="661"/>
      <c r="T92" s="371"/>
      <c r="U92" s="371"/>
      <c r="V92" s="371"/>
      <c r="W92" s="371"/>
      <c r="X92" s="371"/>
      <c r="Y92" s="371"/>
      <c r="Z92" s="661"/>
      <c r="AA92" s="661"/>
      <c r="AB92" s="661" t="s">
        <v>1789</v>
      </c>
      <c r="AC92" s="374">
        <f>AC85+$U$82</f>
        <v>0.29968428451000884</v>
      </c>
      <c r="AD92" s="374">
        <f>AD85+$U$83</f>
        <v>0.16265750661737202</v>
      </c>
      <c r="AE92" s="374">
        <f>AE85+$U$84</f>
        <v>2.0510881672131248E-2</v>
      </c>
      <c r="AF92" s="374">
        <f>AF85+$U$85</f>
        <v>0.11965678630555074</v>
      </c>
      <c r="AG92" s="374">
        <f>AG85+$U$86</f>
        <v>0.38469475623391947</v>
      </c>
      <c r="AH92" s="374">
        <f>SUM(AC92:AG92)</f>
        <v>0.98720421533898228</v>
      </c>
      <c r="AI92" s="661"/>
      <c r="AJ92" s="661" t="s">
        <v>1789</v>
      </c>
      <c r="AK92" s="374">
        <f>AC72*$N$116</f>
        <v>0.44273071405066677</v>
      </c>
      <c r="AL92" s="374">
        <f t="shared" si="33"/>
        <v>0.3586734416424755</v>
      </c>
      <c r="AM92" s="374">
        <f t="shared" si="33"/>
        <v>5.0972494297190425E-2</v>
      </c>
      <c r="AN92" s="374">
        <f t="shared" si="33"/>
        <v>0.19983389765618209</v>
      </c>
      <c r="AO92" s="374">
        <f t="shared" si="33"/>
        <v>0.42280988609977721</v>
      </c>
      <c r="AP92" s="374">
        <f>SUM(AK92:AO92)</f>
        <v>1.475020433746292</v>
      </c>
    </row>
    <row r="93" spans="1:42">
      <c r="A93" s="661" t="s">
        <v>621</v>
      </c>
      <c r="B93" s="661" t="s">
        <v>1452</v>
      </c>
      <c r="C93" s="661" t="s">
        <v>1764</v>
      </c>
      <c r="D93" s="661">
        <v>4427.0232222222239</v>
      </c>
      <c r="E93" s="661">
        <v>3320.2674166666652</v>
      </c>
      <c r="F93" s="661">
        <v>2213.511611111112</v>
      </c>
      <c r="G93" s="661">
        <v>1106.755805555556</v>
      </c>
      <c r="H93" s="661">
        <v>442.70232222222211</v>
      </c>
      <c r="I93" s="661"/>
      <c r="J93" s="661"/>
      <c r="K93" s="661"/>
      <c r="L93" s="661"/>
      <c r="M93" s="661"/>
      <c r="N93" s="661"/>
      <c r="O93" s="661"/>
      <c r="P93" s="661"/>
      <c r="Q93" s="661"/>
      <c r="R93" s="661"/>
      <c r="S93" s="661"/>
      <c r="T93" s="371"/>
      <c r="U93" s="371"/>
      <c r="V93" s="371"/>
      <c r="W93" s="371"/>
      <c r="X93" s="371"/>
      <c r="Y93" s="371"/>
      <c r="Z93" s="661"/>
      <c r="AA93" s="661"/>
      <c r="AB93" s="661"/>
      <c r="AC93" s="374"/>
      <c r="AD93" s="374"/>
      <c r="AE93" s="374"/>
      <c r="AF93" s="374"/>
      <c r="AG93" s="374"/>
      <c r="AH93" s="374"/>
      <c r="AI93" s="661"/>
      <c r="AJ93" s="661"/>
      <c r="AK93" s="374"/>
      <c r="AL93" s="374"/>
      <c r="AM93" s="374"/>
      <c r="AN93" s="374"/>
      <c r="AO93" s="374"/>
      <c r="AP93" s="374"/>
    </row>
    <row r="94" spans="1:42">
      <c r="A94" s="661" t="s">
        <v>621</v>
      </c>
      <c r="B94" s="661" t="s">
        <v>1452</v>
      </c>
      <c r="C94" s="661" t="s">
        <v>1765</v>
      </c>
      <c r="D94" s="661">
        <v>530.39333333333332</v>
      </c>
      <c r="E94" s="661">
        <v>397.79500000000007</v>
      </c>
      <c r="F94" s="661">
        <v>265.19666666666666</v>
      </c>
      <c r="G94" s="661">
        <v>132.59833333333333</v>
      </c>
      <c r="H94" s="661">
        <v>53.03933333333331</v>
      </c>
      <c r="I94" s="661"/>
      <c r="J94" s="661"/>
      <c r="K94" s="661"/>
      <c r="L94" s="661"/>
      <c r="M94" s="661"/>
      <c r="N94" s="661"/>
      <c r="O94" s="661"/>
      <c r="P94" s="661"/>
      <c r="Q94" s="661"/>
      <c r="R94" s="661"/>
      <c r="S94" s="661"/>
      <c r="T94" s="371"/>
      <c r="U94" s="371"/>
      <c r="V94" s="371"/>
      <c r="W94" s="371"/>
      <c r="X94" s="371"/>
      <c r="Y94" s="371"/>
      <c r="Z94" s="661"/>
      <c r="AA94" s="661"/>
      <c r="AB94" s="661"/>
      <c r="AC94" s="661"/>
      <c r="AD94" s="661"/>
      <c r="AE94" s="661"/>
      <c r="AF94" s="661"/>
      <c r="AG94" s="661"/>
      <c r="AH94" s="661"/>
      <c r="AI94" s="661"/>
      <c r="AJ94" s="661"/>
      <c r="AK94" s="661"/>
      <c r="AL94" s="661"/>
      <c r="AM94" s="661"/>
      <c r="AN94" s="661"/>
      <c r="AO94" s="661"/>
      <c r="AP94" s="661"/>
    </row>
    <row r="95" spans="1:42">
      <c r="A95" s="661" t="s">
        <v>621</v>
      </c>
      <c r="B95" s="661" t="s">
        <v>1452</v>
      </c>
      <c r="C95" s="661" t="s">
        <v>1766</v>
      </c>
      <c r="D95" s="661">
        <v>10125.106166666672</v>
      </c>
      <c r="E95" s="661">
        <v>7593.8296250000003</v>
      </c>
      <c r="F95" s="661">
        <v>5062.553083333336</v>
      </c>
      <c r="G95" s="661">
        <v>2531.276541666668</v>
      </c>
      <c r="H95" s="661">
        <v>1012.5106166666665</v>
      </c>
      <c r="I95" s="661"/>
      <c r="J95" s="661"/>
      <c r="K95" s="661"/>
      <c r="L95" s="661"/>
      <c r="M95" s="661"/>
      <c r="N95" s="661"/>
      <c r="O95" s="661"/>
      <c r="P95" s="661"/>
      <c r="Q95" s="661"/>
      <c r="R95" s="661"/>
      <c r="S95" s="661"/>
      <c r="T95" s="371"/>
      <c r="U95" s="371"/>
      <c r="V95" s="371"/>
      <c r="W95" s="371"/>
      <c r="X95" s="371"/>
      <c r="Y95" s="371"/>
      <c r="Z95" s="661"/>
      <c r="AA95" s="661"/>
      <c r="AB95" s="661" t="s">
        <v>1816</v>
      </c>
      <c r="AC95" s="371"/>
      <c r="AD95" s="371"/>
      <c r="AE95" s="371"/>
      <c r="AF95" s="371"/>
      <c r="AG95" s="371"/>
      <c r="AH95" s="371"/>
      <c r="AI95" s="661"/>
      <c r="AJ95" s="661" t="s">
        <v>1817</v>
      </c>
      <c r="AK95" s="371"/>
      <c r="AL95" s="371"/>
      <c r="AM95" s="371"/>
      <c r="AN95" s="371"/>
      <c r="AO95" s="371"/>
      <c r="AP95" s="371"/>
    </row>
    <row r="96" spans="1:42">
      <c r="A96" s="661" t="s">
        <v>621</v>
      </c>
      <c r="B96" s="661" t="s">
        <v>1767</v>
      </c>
      <c r="C96" s="661" t="s">
        <v>1767</v>
      </c>
      <c r="D96" s="661">
        <v>2650.5075975975974</v>
      </c>
      <c r="E96" s="661">
        <v>1987.8806981981984</v>
      </c>
      <c r="F96" s="661">
        <v>1325.2537987987987</v>
      </c>
      <c r="G96" s="661">
        <v>662.62689939939935</v>
      </c>
      <c r="H96" s="661">
        <v>265.05075975975973</v>
      </c>
      <c r="I96" s="661"/>
      <c r="J96" s="661"/>
      <c r="K96" s="661"/>
      <c r="L96" s="661"/>
      <c r="M96" s="661"/>
      <c r="N96" s="661"/>
      <c r="O96" s="661"/>
      <c r="P96" s="661"/>
      <c r="Q96" s="661"/>
      <c r="R96" s="661"/>
      <c r="S96" s="661"/>
      <c r="T96" s="371"/>
      <c r="U96" s="371"/>
      <c r="V96" s="371"/>
      <c r="W96" s="371"/>
      <c r="X96" s="371"/>
      <c r="Y96" s="371"/>
      <c r="Z96" s="661"/>
      <c r="AA96" s="661"/>
      <c r="AB96" s="661"/>
      <c r="AC96" s="371" t="s">
        <v>617</v>
      </c>
      <c r="AD96" s="371" t="s">
        <v>618</v>
      </c>
      <c r="AE96" s="371" t="s">
        <v>619</v>
      </c>
      <c r="AF96" s="371" t="s">
        <v>925</v>
      </c>
      <c r="AG96" s="371" t="s">
        <v>620</v>
      </c>
      <c r="AH96" s="371" t="s">
        <v>1455</v>
      </c>
      <c r="AI96" s="661"/>
      <c r="AJ96" s="661"/>
      <c r="AK96" s="371" t="s">
        <v>617</v>
      </c>
      <c r="AL96" s="371" t="s">
        <v>618</v>
      </c>
      <c r="AM96" s="371" t="s">
        <v>619</v>
      </c>
      <c r="AN96" s="371" t="s">
        <v>925</v>
      </c>
      <c r="AO96" s="371" t="s">
        <v>620</v>
      </c>
      <c r="AP96" s="371" t="s">
        <v>1455</v>
      </c>
    </row>
    <row r="97" spans="1:42">
      <c r="A97" s="661" t="s">
        <v>621</v>
      </c>
      <c r="B97" s="661" t="s">
        <v>1452</v>
      </c>
      <c r="C97" s="661" t="s">
        <v>1770</v>
      </c>
      <c r="D97" s="661">
        <v>3987.8966666666661</v>
      </c>
      <c r="E97" s="661">
        <v>2990.9225000000006</v>
      </c>
      <c r="F97" s="661">
        <v>1993.948333333333</v>
      </c>
      <c r="G97" s="661">
        <v>996.97416666666652</v>
      </c>
      <c r="H97" s="661">
        <v>398.78966666666668</v>
      </c>
      <c r="I97" s="661"/>
      <c r="J97" s="661"/>
      <c r="K97" s="661"/>
      <c r="L97" s="661"/>
      <c r="M97" s="661"/>
      <c r="N97" s="661"/>
      <c r="O97" s="661"/>
      <c r="P97" s="661"/>
      <c r="Q97" s="661"/>
      <c r="R97" s="661"/>
      <c r="S97" s="661"/>
      <c r="T97" s="371"/>
      <c r="U97" s="371"/>
      <c r="V97" s="371"/>
      <c r="W97" s="371"/>
      <c r="X97" s="371"/>
      <c r="Y97" s="371"/>
      <c r="Z97" s="661"/>
      <c r="AA97" s="661"/>
      <c r="AB97" s="661"/>
      <c r="AC97" s="374">
        <f>SUM(AC98:AC99)</f>
        <v>1.1911683738536913</v>
      </c>
      <c r="AD97" s="374">
        <f t="shared" ref="AD97:AG97" si="34">SUM(AD98:AD99)</f>
        <v>0.55009927176272033</v>
      </c>
      <c r="AE97" s="374">
        <f t="shared" si="34"/>
        <v>6.2717574425574435E-2</v>
      </c>
      <c r="AF97" s="374">
        <f t="shared" si="34"/>
        <v>2.2671759218201153</v>
      </c>
      <c r="AG97" s="374">
        <f t="shared" si="34"/>
        <v>2.2627756838402471</v>
      </c>
      <c r="AH97" s="376">
        <f>SUM(AH98:AH99)</f>
        <v>6.3339368257023478</v>
      </c>
      <c r="AI97" s="661"/>
      <c r="AJ97" s="661"/>
      <c r="AK97" s="374">
        <f>SUM(AK98:AK99)</f>
        <v>1.7483766329670334</v>
      </c>
      <c r="AL97" s="374">
        <f t="shared" ref="AL97:AO97" si="35">SUM(AL98:AL99)</f>
        <v>1.2537544783216787</v>
      </c>
      <c r="AM97" s="374">
        <f t="shared" si="35"/>
        <v>0.16606019580419584</v>
      </c>
      <c r="AN97" s="374">
        <f t="shared" si="35"/>
        <v>3.704328510689312</v>
      </c>
      <c r="AO97" s="374">
        <f t="shared" si="35"/>
        <v>2.4315957242757249</v>
      </c>
      <c r="AP97" s="374">
        <f>SUM(AP98:AP99)</f>
        <v>9.3041155420579464</v>
      </c>
    </row>
    <row r="98" spans="1:42">
      <c r="A98" s="661" t="s">
        <v>621</v>
      </c>
      <c r="B98" s="661" t="s">
        <v>1454</v>
      </c>
      <c r="C98" s="661" t="s">
        <v>1454</v>
      </c>
      <c r="D98" s="661">
        <v>1318.0650000000003</v>
      </c>
      <c r="E98" s="661">
        <v>988.54874999999981</v>
      </c>
      <c r="F98" s="661">
        <v>659.03250000000014</v>
      </c>
      <c r="G98" s="661">
        <v>329.51625000000007</v>
      </c>
      <c r="H98" s="661">
        <v>131.8065</v>
      </c>
      <c r="I98" s="661"/>
      <c r="J98" s="661"/>
      <c r="K98" s="661"/>
      <c r="L98" s="661"/>
      <c r="M98" s="661"/>
      <c r="N98" s="661"/>
      <c r="O98" s="661"/>
      <c r="P98" s="661"/>
      <c r="Q98" s="661"/>
      <c r="R98" s="661"/>
      <c r="S98" s="661"/>
      <c r="T98" s="371"/>
      <c r="U98" s="371"/>
      <c r="V98" s="371"/>
      <c r="W98" s="371"/>
      <c r="X98" s="371"/>
      <c r="Y98" s="371"/>
      <c r="Z98" s="661"/>
      <c r="AA98" s="661"/>
      <c r="AB98" s="661" t="s">
        <v>1788</v>
      </c>
      <c r="AC98" s="375">
        <f>AC91+$T$82</f>
        <v>0.80124716437950616</v>
      </c>
      <c r="AD98" s="375">
        <f>AD91+$T$83</f>
        <v>0.34666372556458763</v>
      </c>
      <c r="AE98" s="375">
        <f>AE91+$T$84</f>
        <v>3.7831371354542724E-2</v>
      </c>
      <c r="AF98" s="375">
        <f>AF91+$T$85</f>
        <v>2.1090715306998566</v>
      </c>
      <c r="AG98" s="375">
        <f>AG91+$T$86</f>
        <v>1.7541546551181693</v>
      </c>
      <c r="AH98" s="375">
        <f>SUM(AC98:AG98)</f>
        <v>5.0489684471166623</v>
      </c>
      <c r="AI98" s="661"/>
      <c r="AJ98" s="380" t="s">
        <v>1788</v>
      </c>
      <c r="AK98" s="375">
        <f>AC71*$O$116</f>
        <v>1.1760569287950986</v>
      </c>
      <c r="AL98" s="375">
        <f t="shared" ref="AL98:AO99" si="36">AD71*$O$116</f>
        <v>0.79009593487655594</v>
      </c>
      <c r="AM98" s="375">
        <f t="shared" si="36"/>
        <v>0.10016785553675484</v>
      </c>
      <c r="AN98" s="375">
        <f t="shared" si="36"/>
        <v>3.4460024592985739</v>
      </c>
      <c r="AO98" s="375">
        <f t="shared" si="36"/>
        <v>1.8850277513433091</v>
      </c>
      <c r="AP98" s="375">
        <f>SUM(AK98:AO98)</f>
        <v>7.3973509298502931</v>
      </c>
    </row>
    <row r="99" spans="1:42">
      <c r="A99" s="661" t="s">
        <v>621</v>
      </c>
      <c r="B99" s="661" t="s">
        <v>1155</v>
      </c>
      <c r="C99" s="661" t="s">
        <v>1774</v>
      </c>
      <c r="D99" s="661">
        <v>4927.3863043478259</v>
      </c>
      <c r="E99" s="661">
        <v>3695.5397282608697</v>
      </c>
      <c r="F99" s="661">
        <v>2463.6931521739129</v>
      </c>
      <c r="G99" s="661">
        <v>1231.8465760869565</v>
      </c>
      <c r="H99" s="661">
        <v>492.73863043478258</v>
      </c>
      <c r="I99" s="661"/>
      <c r="J99" s="661"/>
      <c r="K99" s="661"/>
      <c r="L99" s="661"/>
      <c r="M99" s="661"/>
      <c r="N99" s="661"/>
      <c r="O99" s="661"/>
      <c r="P99" s="661"/>
      <c r="Q99" s="661"/>
      <c r="R99" s="661"/>
      <c r="S99" s="661"/>
      <c r="T99" s="371"/>
      <c r="U99" s="371"/>
      <c r="V99" s="371"/>
      <c r="W99" s="371"/>
      <c r="X99" s="371"/>
      <c r="Y99" s="371"/>
      <c r="Z99" s="661"/>
      <c r="AA99" s="661"/>
      <c r="AB99" s="661" t="s">
        <v>1789</v>
      </c>
      <c r="AC99" s="374">
        <f>AC92+$U$82</f>
        <v>0.38992120947418518</v>
      </c>
      <c r="AD99" s="374">
        <f>AD92+$U$83</f>
        <v>0.20343554619813267</v>
      </c>
      <c r="AE99" s="374">
        <f>AE92+$U$84</f>
        <v>2.4886203071031711E-2</v>
      </c>
      <c r="AF99" s="374">
        <f>AF92+$U$85</f>
        <v>0.15810439112025856</v>
      </c>
      <c r="AG99" s="374">
        <f>AG92+$U$86</f>
        <v>0.50862102872207771</v>
      </c>
      <c r="AH99" s="374">
        <f>SUM(AC99:AG99)</f>
        <v>1.2849683785856858</v>
      </c>
      <c r="AI99" s="661"/>
      <c r="AJ99" s="661" t="s">
        <v>1789</v>
      </c>
      <c r="AK99" s="374">
        <f>AC72*$O$116</f>
        <v>0.57231970417193478</v>
      </c>
      <c r="AL99" s="374">
        <f t="shared" si="36"/>
        <v>0.46365854344512281</v>
      </c>
      <c r="AM99" s="374">
        <f t="shared" si="36"/>
        <v>6.5892340267441007E-2</v>
      </c>
      <c r="AN99" s="374">
        <f t="shared" si="36"/>
        <v>0.25832605139073833</v>
      </c>
      <c r="AO99" s="374">
        <f t="shared" si="36"/>
        <v>0.54656797293241577</v>
      </c>
      <c r="AP99" s="374">
        <f>SUM(AK99:AO99)</f>
        <v>1.9067646122076527</v>
      </c>
    </row>
    <row r="100" spans="1:42">
      <c r="A100" s="661" t="s">
        <v>621</v>
      </c>
      <c r="B100" s="661" t="s">
        <v>1452</v>
      </c>
      <c r="C100" s="661" t="s">
        <v>1776</v>
      </c>
      <c r="D100" s="661">
        <v>18711.78255854288</v>
      </c>
      <c r="E100" s="661">
        <v>14033.836918907184</v>
      </c>
      <c r="F100" s="661">
        <v>9355.89127927144</v>
      </c>
      <c r="G100" s="661">
        <v>4677.94563963572</v>
      </c>
      <c r="H100" s="661">
        <v>1871.178255854288</v>
      </c>
      <c r="I100" s="661"/>
      <c r="J100" s="661"/>
      <c r="K100" s="661"/>
      <c r="L100" s="661"/>
      <c r="M100" s="661"/>
      <c r="N100" s="661"/>
      <c r="O100" s="661"/>
      <c r="P100" s="661"/>
      <c r="Q100" s="661"/>
      <c r="R100" s="661"/>
      <c r="S100" s="661"/>
      <c r="T100" s="371"/>
      <c r="U100" s="371"/>
      <c r="V100" s="371"/>
      <c r="W100" s="371"/>
      <c r="X100" s="371"/>
      <c r="Y100" s="371"/>
      <c r="Z100" s="661"/>
      <c r="AA100" s="661"/>
      <c r="AB100" s="661"/>
      <c r="AC100" s="374"/>
      <c r="AD100" s="374"/>
      <c r="AE100" s="374"/>
      <c r="AF100" s="374"/>
      <c r="AG100" s="374"/>
      <c r="AH100" s="374"/>
      <c r="AI100" s="661"/>
      <c r="AJ100" s="661"/>
      <c r="AK100" s="374"/>
      <c r="AL100" s="374"/>
      <c r="AM100" s="374"/>
      <c r="AN100" s="374"/>
      <c r="AO100" s="374"/>
      <c r="AP100" s="374"/>
    </row>
    <row r="101" spans="1:42">
      <c r="A101" s="661" t="s">
        <v>621</v>
      </c>
      <c r="B101" s="661" t="s">
        <v>1777</v>
      </c>
      <c r="C101" s="661" t="s">
        <v>1744</v>
      </c>
      <c r="D101" s="661">
        <v>1607.6101428571433</v>
      </c>
      <c r="E101" s="661">
        <v>1205.7076071428571</v>
      </c>
      <c r="F101" s="661">
        <v>803.80507142857164</v>
      </c>
      <c r="G101" s="661">
        <v>401.90253571428582</v>
      </c>
      <c r="H101" s="661">
        <v>160.76101428571428</v>
      </c>
      <c r="I101" s="661"/>
      <c r="J101" s="661"/>
      <c r="K101" s="661"/>
      <c r="L101" s="661"/>
      <c r="M101" s="661"/>
      <c r="N101" s="661"/>
      <c r="O101" s="661"/>
      <c r="P101" s="661"/>
      <c r="Q101" s="661"/>
      <c r="R101" s="661"/>
      <c r="S101" s="661"/>
      <c r="T101" s="371"/>
      <c r="U101" s="371"/>
      <c r="V101" s="371"/>
      <c r="W101" s="371"/>
      <c r="X101" s="371"/>
      <c r="Y101" s="371"/>
      <c r="Z101" s="661"/>
      <c r="AA101" s="661"/>
      <c r="AB101" s="661"/>
      <c r="AC101" s="661"/>
      <c r="AD101" s="661"/>
      <c r="AE101" s="661"/>
      <c r="AF101" s="661"/>
      <c r="AG101" s="661"/>
      <c r="AH101" s="661"/>
      <c r="AI101" s="661"/>
      <c r="AJ101" s="661"/>
      <c r="AK101" s="661"/>
      <c r="AL101" s="661"/>
      <c r="AM101" s="661"/>
      <c r="AN101" s="661"/>
      <c r="AO101" s="661"/>
      <c r="AP101" s="661"/>
    </row>
    <row r="102" spans="1:42">
      <c r="A102" s="661" t="s">
        <v>621</v>
      </c>
      <c r="B102" s="661" t="s">
        <v>1777</v>
      </c>
      <c r="C102" s="661" t="s">
        <v>1778</v>
      </c>
      <c r="D102" s="661">
        <v>0</v>
      </c>
      <c r="E102" s="661">
        <v>0</v>
      </c>
      <c r="F102" s="661">
        <v>0</v>
      </c>
      <c r="G102" s="661">
        <v>0</v>
      </c>
      <c r="H102" s="661">
        <v>0</v>
      </c>
      <c r="I102" s="661"/>
      <c r="J102" s="661"/>
      <c r="K102" s="661"/>
      <c r="L102" s="661"/>
      <c r="M102" s="661"/>
      <c r="N102" s="661"/>
      <c r="O102" s="661"/>
      <c r="P102" s="661"/>
      <c r="Q102" s="661"/>
      <c r="R102" s="661"/>
      <c r="S102" s="661"/>
      <c r="T102" s="371"/>
      <c r="U102" s="371"/>
      <c r="V102" s="371"/>
      <c r="W102" s="371"/>
      <c r="X102" s="371"/>
      <c r="Y102" s="371"/>
      <c r="Z102" s="661"/>
      <c r="AA102" s="661"/>
      <c r="AB102" s="661" t="s">
        <v>1818</v>
      </c>
      <c r="AC102" s="371"/>
      <c r="AD102" s="371"/>
      <c r="AE102" s="371"/>
      <c r="AF102" s="371"/>
      <c r="AG102" s="371"/>
      <c r="AH102" s="371"/>
      <c r="AI102" s="661"/>
      <c r="AJ102" s="661" t="s">
        <v>1819</v>
      </c>
      <c r="AK102" s="371"/>
      <c r="AL102" s="371"/>
      <c r="AM102" s="371"/>
      <c r="AN102" s="371"/>
      <c r="AO102" s="371"/>
      <c r="AP102" s="371"/>
    </row>
    <row r="103" spans="1:42">
      <c r="A103" s="661" t="s">
        <v>621</v>
      </c>
      <c r="B103" s="661" t="s">
        <v>1452</v>
      </c>
      <c r="C103" s="661" t="s">
        <v>1779</v>
      </c>
      <c r="D103" s="661">
        <v>2953.8283333333334</v>
      </c>
      <c r="E103" s="661">
        <v>2215.3712500000006</v>
      </c>
      <c r="F103" s="661">
        <v>1476.9141666666667</v>
      </c>
      <c r="G103" s="661">
        <v>738.45708333333334</v>
      </c>
      <c r="H103" s="661">
        <v>295.38283333333317</v>
      </c>
      <c r="I103" s="661"/>
      <c r="J103" s="661"/>
      <c r="K103" s="661"/>
      <c r="L103" s="661"/>
      <c r="M103" s="661"/>
      <c r="N103" s="661"/>
      <c r="O103" s="661"/>
      <c r="P103" s="661"/>
      <c r="Q103" s="661"/>
      <c r="R103" s="661"/>
      <c r="S103" s="661"/>
      <c r="T103" s="661"/>
      <c r="U103" s="661"/>
      <c r="V103" s="661"/>
      <c r="W103" s="661"/>
      <c r="X103" s="661"/>
      <c r="Y103" s="661"/>
      <c r="Z103" s="661"/>
      <c r="AA103" s="661"/>
      <c r="AB103" s="661"/>
      <c r="AC103" s="371" t="s">
        <v>617</v>
      </c>
      <c r="AD103" s="371" t="s">
        <v>618</v>
      </c>
      <c r="AE103" s="371" t="s">
        <v>619</v>
      </c>
      <c r="AF103" s="371" t="s">
        <v>925</v>
      </c>
      <c r="AG103" s="371" t="s">
        <v>620</v>
      </c>
      <c r="AH103" s="371" t="s">
        <v>1455</v>
      </c>
      <c r="AI103" s="661"/>
      <c r="AJ103" s="661"/>
      <c r="AK103" s="371" t="s">
        <v>617</v>
      </c>
      <c r="AL103" s="371" t="s">
        <v>618</v>
      </c>
      <c r="AM103" s="371" t="s">
        <v>619</v>
      </c>
      <c r="AN103" s="371" t="s">
        <v>925</v>
      </c>
      <c r="AO103" s="371" t="s">
        <v>620</v>
      </c>
      <c r="AP103" s="371" t="s">
        <v>1455</v>
      </c>
    </row>
    <row r="104" spans="1:42">
      <c r="A104" s="661" t="s">
        <v>621</v>
      </c>
      <c r="B104" s="661" t="s">
        <v>1761</v>
      </c>
      <c r="C104" s="661" t="s">
        <v>1780</v>
      </c>
      <c r="D104" s="661">
        <v>2335.6802105263159</v>
      </c>
      <c r="E104" s="661">
        <v>1751.7601578947369</v>
      </c>
      <c r="F104" s="661">
        <v>1167.840105263158</v>
      </c>
      <c r="G104" s="661">
        <v>583.92005263157898</v>
      </c>
      <c r="H104" s="661">
        <v>233.56802105263154</v>
      </c>
      <c r="I104" s="661"/>
      <c r="J104" s="661"/>
      <c r="K104" s="661"/>
      <c r="L104" s="661"/>
      <c r="M104" s="661"/>
      <c r="N104" s="661"/>
      <c r="O104" s="661"/>
      <c r="P104" s="661"/>
      <c r="Q104" s="661"/>
      <c r="R104" s="661"/>
      <c r="S104" s="661"/>
      <c r="T104" s="661"/>
      <c r="U104" s="661"/>
      <c r="V104" s="661"/>
      <c r="W104" s="661"/>
      <c r="X104" s="661"/>
      <c r="Y104" s="661"/>
      <c r="Z104" s="661"/>
      <c r="AA104" s="661"/>
      <c r="AB104" s="661"/>
      <c r="AC104" s="374">
        <f>SUM(AC105:AC106)</f>
        <v>1.4668327095180271</v>
      </c>
      <c r="AD104" s="374">
        <f t="shared" ref="AD104:AG104" si="37">SUM(AD105:AD106)</f>
        <v>0.6603650060284546</v>
      </c>
      <c r="AE104" s="374">
        <f t="shared" si="37"/>
        <v>7.3744147852147862E-2</v>
      </c>
      <c r="AF104" s="374">
        <f t="shared" si="37"/>
        <v>2.8185045931487864</v>
      </c>
      <c r="AG104" s="374">
        <f t="shared" si="37"/>
        <v>2.8141043551689182</v>
      </c>
      <c r="AH104" s="374">
        <f>SUM(AH105:AH106)</f>
        <v>7.8335508117163339</v>
      </c>
      <c r="AI104" s="661"/>
      <c r="AJ104" s="661"/>
      <c r="AK104" s="374">
        <f>SUM(AK105:AK106)</f>
        <v>2.1454183384615391</v>
      </c>
      <c r="AL104" s="374">
        <f t="shared" ref="AL104:AO104" si="38">SUM(AL105:AL106)</f>
        <v>1.5384716307692314</v>
      </c>
      <c r="AM104" s="374">
        <f t="shared" si="38"/>
        <v>0.20377107692307694</v>
      </c>
      <c r="AN104" s="374">
        <f t="shared" si="38"/>
        <v>4.5455505230769253</v>
      </c>
      <c r="AO104" s="374">
        <f t="shared" si="38"/>
        <v>2.9837907692307701</v>
      </c>
      <c r="AP104" s="374">
        <f>SUM(AP105:AP106)</f>
        <v>11.417002338461542</v>
      </c>
    </row>
    <row r="105" spans="1:42">
      <c r="A105" s="661" t="s">
        <v>621</v>
      </c>
      <c r="B105" s="661" t="s">
        <v>1155</v>
      </c>
      <c r="C105" s="661" t="s">
        <v>1781</v>
      </c>
      <c r="D105" s="661">
        <v>36302.729945828862</v>
      </c>
      <c r="E105" s="661">
        <v>27227.047459371628</v>
      </c>
      <c r="F105" s="661">
        <v>18151.364972914431</v>
      </c>
      <c r="G105" s="661">
        <v>9075.6824864572154</v>
      </c>
      <c r="H105" s="661">
        <v>3630.2729945828814</v>
      </c>
      <c r="I105" s="661"/>
      <c r="J105" s="661"/>
      <c r="K105" s="661"/>
      <c r="L105" s="661"/>
      <c r="M105" s="661"/>
      <c r="N105" s="661"/>
      <c r="O105" s="661"/>
      <c r="P105" s="661"/>
      <c r="Q105" s="661"/>
      <c r="R105" s="661"/>
      <c r="S105" s="661"/>
      <c r="T105" s="661"/>
      <c r="U105" s="661"/>
      <c r="V105" s="661"/>
      <c r="W105" s="661"/>
      <c r="X105" s="661"/>
      <c r="Y105" s="661"/>
      <c r="Z105" s="661"/>
      <c r="AA105" s="661"/>
      <c r="AB105" s="661" t="s">
        <v>1788</v>
      </c>
      <c r="AC105" s="375">
        <f>AC98+$T$82</f>
        <v>0.98667457507966549</v>
      </c>
      <c r="AD105" s="375">
        <f>AD98+$T$83</f>
        <v>0.41615142024956131</v>
      </c>
      <c r="AE105" s="375">
        <f>AE98+$T$84</f>
        <v>4.4482623382215689E-2</v>
      </c>
      <c r="AF105" s="375">
        <f>AF98+$T$85</f>
        <v>2.62195259721382</v>
      </c>
      <c r="AG105" s="375">
        <f>AG98+$T$86</f>
        <v>2.1815570539586822</v>
      </c>
      <c r="AH105" s="375">
        <f>SUM(AC105:AG105)</f>
        <v>6.2508182698839452</v>
      </c>
      <c r="AI105" s="380"/>
      <c r="AJ105" s="380" t="s">
        <v>1788</v>
      </c>
      <c r="AK105" s="375">
        <f>AC71*$P$116</f>
        <v>1.4431296178043442</v>
      </c>
      <c r="AL105" s="375">
        <f t="shared" ref="AL105:AO106" si="39">AD71*$P$116</f>
        <v>0.9695201113226265</v>
      </c>
      <c r="AM105" s="375">
        <f t="shared" si="39"/>
        <v>0.12291513747139636</v>
      </c>
      <c r="AN105" s="375">
        <f t="shared" si="39"/>
        <v>4.2285607867090071</v>
      </c>
      <c r="AO105" s="375">
        <f t="shared" si="39"/>
        <v>2.3131017825248574</v>
      </c>
      <c r="AP105" s="375">
        <f>SUM(AK105:AO105)</f>
        <v>9.0772274358322314</v>
      </c>
    </row>
    <row r="106" spans="1:42">
      <c r="A106" s="661" t="s">
        <v>621</v>
      </c>
      <c r="B106" s="661" t="s">
        <v>1452</v>
      </c>
      <c r="C106" s="661" t="s">
        <v>1782</v>
      </c>
      <c r="D106" s="661">
        <v>16379.230530303037</v>
      </c>
      <c r="E106" s="661">
        <v>12284.422897727265</v>
      </c>
      <c r="F106" s="661">
        <v>8189.6152651515185</v>
      </c>
      <c r="G106" s="661">
        <v>4094.8076325757593</v>
      </c>
      <c r="H106" s="661">
        <v>1637.9230530303028</v>
      </c>
      <c r="I106" s="661"/>
      <c r="J106" s="661"/>
      <c r="K106" s="661"/>
      <c r="L106" s="661"/>
      <c r="M106" s="661"/>
      <c r="N106" s="661"/>
      <c r="O106" s="661"/>
      <c r="P106" s="661"/>
      <c r="Q106" s="661"/>
      <c r="R106" s="661"/>
      <c r="S106" s="661"/>
      <c r="T106" s="661"/>
      <c r="U106" s="661"/>
      <c r="V106" s="661"/>
      <c r="W106" s="661"/>
      <c r="X106" s="661"/>
      <c r="Y106" s="661"/>
      <c r="Z106" s="661"/>
      <c r="AA106" s="661"/>
      <c r="AB106" s="661" t="s">
        <v>1789</v>
      </c>
      <c r="AC106" s="374">
        <f>AC99+$U$82</f>
        <v>0.48015813443836153</v>
      </c>
      <c r="AD106" s="374">
        <f>AD99+$U$83</f>
        <v>0.24421358577889332</v>
      </c>
      <c r="AE106" s="374">
        <f>AE99+$U$84</f>
        <v>2.9261524469932174E-2</v>
      </c>
      <c r="AF106" s="374">
        <f>AF99+$U$85</f>
        <v>0.19655199593496639</v>
      </c>
      <c r="AG106" s="374">
        <f>AG99+$U$86</f>
        <v>0.63254730121023595</v>
      </c>
      <c r="AH106" s="374">
        <f>SUM(AC106:AG106)</f>
        <v>1.5827325418323892</v>
      </c>
      <c r="AI106" s="661"/>
      <c r="AJ106" s="661" t="s">
        <v>1789</v>
      </c>
      <c r="AK106" s="374">
        <f>AC72*$P$116</f>
        <v>0.70228872065719494</v>
      </c>
      <c r="AL106" s="374">
        <f t="shared" si="39"/>
        <v>0.56895151944660483</v>
      </c>
      <c r="AM106" s="374">
        <f t="shared" si="39"/>
        <v>8.0855939451680597E-2</v>
      </c>
      <c r="AN106" s="374">
        <f t="shared" si="39"/>
        <v>0.316989736367918</v>
      </c>
      <c r="AO106" s="374">
        <f t="shared" si="39"/>
        <v>0.67068898670591259</v>
      </c>
      <c r="AP106" s="374">
        <f>SUM(AK106:AO106)</f>
        <v>2.3397749026293106</v>
      </c>
    </row>
    <row r="107" spans="1:42">
      <c r="A107" s="661" t="s">
        <v>621</v>
      </c>
      <c r="B107" s="661" t="s">
        <v>1452</v>
      </c>
      <c r="C107" s="661" t="s">
        <v>1783</v>
      </c>
      <c r="D107" s="661">
        <v>5965.1333333333332</v>
      </c>
      <c r="E107" s="661">
        <v>4473.8500000000004</v>
      </c>
      <c r="F107" s="661">
        <v>2982.5666666666666</v>
      </c>
      <c r="G107" s="661">
        <v>1491.2833333333333</v>
      </c>
      <c r="H107" s="661">
        <v>596.51333333333332</v>
      </c>
      <c r="I107" s="661"/>
      <c r="J107" s="661"/>
      <c r="K107" s="661"/>
      <c r="L107" s="661"/>
      <c r="M107" s="661"/>
      <c r="N107" s="661"/>
      <c r="O107" s="661"/>
      <c r="P107" s="661"/>
      <c r="Q107" s="661"/>
      <c r="R107" s="661"/>
      <c r="S107" s="661"/>
      <c r="T107" s="661"/>
      <c r="U107" s="661"/>
      <c r="V107" s="661"/>
      <c r="W107" s="661"/>
      <c r="X107" s="661"/>
      <c r="Y107" s="661"/>
      <c r="Z107" s="661"/>
      <c r="AA107" s="661"/>
      <c r="AB107" s="661"/>
      <c r="AC107" s="374"/>
      <c r="AD107" s="374"/>
      <c r="AE107" s="374"/>
      <c r="AF107" s="374"/>
      <c r="AG107" s="374"/>
      <c r="AH107" s="374"/>
      <c r="AI107" s="661"/>
      <c r="AJ107" s="661"/>
      <c r="AK107" s="374"/>
      <c r="AL107" s="374"/>
      <c r="AM107" s="374"/>
      <c r="AN107" s="374"/>
      <c r="AO107" s="374"/>
      <c r="AP107" s="374"/>
    </row>
    <row r="108" spans="1:42">
      <c r="A108" s="661" t="s">
        <v>621</v>
      </c>
      <c r="B108" s="661" t="s">
        <v>1452</v>
      </c>
      <c r="C108" s="661" t="s">
        <v>1784</v>
      </c>
      <c r="D108" s="661">
        <v>364.78000000000003</v>
      </c>
      <c r="E108" s="661">
        <v>273.58499999999998</v>
      </c>
      <c r="F108" s="661">
        <v>182.39000000000001</v>
      </c>
      <c r="G108" s="661">
        <v>91.195000000000007</v>
      </c>
      <c r="H108" s="661">
        <v>36.478000000000002</v>
      </c>
      <c r="I108" s="661"/>
      <c r="J108" s="661"/>
      <c r="K108" s="661"/>
      <c r="L108" s="661"/>
      <c r="M108" s="661"/>
      <c r="N108" s="661"/>
      <c r="O108" s="661"/>
      <c r="P108" s="661"/>
      <c r="Q108" s="661"/>
      <c r="R108" s="661"/>
      <c r="S108" s="661"/>
      <c r="T108" s="661"/>
      <c r="U108" s="661"/>
      <c r="V108" s="661"/>
      <c r="W108" s="661"/>
      <c r="X108" s="661"/>
      <c r="Y108" s="661"/>
      <c r="Z108" s="661"/>
      <c r="AA108" s="661"/>
      <c r="AB108" s="661"/>
      <c r="AC108" s="661"/>
      <c r="AD108" s="661"/>
      <c r="AE108" s="661"/>
      <c r="AF108" s="661"/>
      <c r="AG108" s="661"/>
      <c r="AH108" s="661"/>
      <c r="AI108" s="661"/>
      <c r="AJ108" s="661"/>
      <c r="AK108" s="661"/>
      <c r="AL108" s="661"/>
      <c r="AM108" s="661"/>
      <c r="AN108" s="661"/>
      <c r="AO108" s="661"/>
      <c r="AP108" s="661"/>
    </row>
    <row r="109" spans="1:42">
      <c r="A109" s="661" t="s">
        <v>621</v>
      </c>
      <c r="B109" s="661" t="s">
        <v>1452</v>
      </c>
      <c r="C109" s="661" t="s">
        <v>1785</v>
      </c>
      <c r="D109" s="661">
        <v>3069.2849029126214</v>
      </c>
      <c r="E109" s="661">
        <v>2301.9636771844666</v>
      </c>
      <c r="F109" s="661">
        <v>1534.6424514563107</v>
      </c>
      <c r="G109" s="661">
        <v>767.32122572815535</v>
      </c>
      <c r="H109" s="661">
        <v>306.92849029126211</v>
      </c>
      <c r="I109" s="661"/>
      <c r="J109" s="661"/>
      <c r="K109" s="661"/>
      <c r="L109" s="661"/>
      <c r="M109" s="661"/>
      <c r="N109" s="661"/>
      <c r="O109" s="661"/>
      <c r="P109" s="661"/>
      <c r="Q109" s="661"/>
      <c r="R109" s="661"/>
      <c r="S109" s="661"/>
      <c r="T109" s="661"/>
      <c r="U109" s="661"/>
      <c r="V109" s="661"/>
      <c r="W109" s="661"/>
      <c r="X109" s="661"/>
      <c r="Y109" s="661"/>
      <c r="Z109" s="661"/>
      <c r="AA109" s="661"/>
      <c r="AB109" s="661" t="s">
        <v>1820</v>
      </c>
      <c r="AC109" s="371"/>
      <c r="AD109" s="371"/>
      <c r="AE109" s="371"/>
      <c r="AF109" s="371"/>
      <c r="AG109" s="371"/>
      <c r="AH109" s="371"/>
      <c r="AI109" s="661"/>
      <c r="AJ109" s="661" t="s">
        <v>1821</v>
      </c>
      <c r="AK109" s="371"/>
      <c r="AL109" s="371"/>
      <c r="AM109" s="371"/>
      <c r="AN109" s="371"/>
      <c r="AO109" s="371"/>
      <c r="AP109" s="371"/>
    </row>
    <row r="110" spans="1:42">
      <c r="A110" s="661" t="s">
        <v>621</v>
      </c>
      <c r="B110" s="661" t="s">
        <v>1452</v>
      </c>
      <c r="C110" s="661" t="s">
        <v>1787</v>
      </c>
      <c r="D110" s="661">
        <v>4252.0611446886451</v>
      </c>
      <c r="E110" s="661">
        <v>3189.0458585164806</v>
      </c>
      <c r="F110" s="661">
        <v>2126.0305723443225</v>
      </c>
      <c r="G110" s="661">
        <v>1063.0152861721613</v>
      </c>
      <c r="H110" s="661">
        <v>425.20611446886437</v>
      </c>
      <c r="I110" s="661"/>
      <c r="J110" s="661"/>
      <c r="K110" s="661"/>
      <c r="L110" s="661"/>
      <c r="M110" s="661"/>
      <c r="N110" s="661"/>
      <c r="O110" s="661"/>
      <c r="P110" s="661"/>
      <c r="Q110" s="661"/>
      <c r="R110" s="661"/>
      <c r="S110" s="661"/>
      <c r="T110" s="661"/>
      <c r="U110" s="661"/>
      <c r="V110" s="661"/>
      <c r="W110" s="661"/>
      <c r="X110" s="661"/>
      <c r="Y110" s="661"/>
      <c r="Z110" s="661"/>
      <c r="AA110" s="661"/>
      <c r="AB110" s="661"/>
      <c r="AC110" s="371" t="s">
        <v>617</v>
      </c>
      <c r="AD110" s="371" t="s">
        <v>618</v>
      </c>
      <c r="AE110" s="371" t="s">
        <v>619</v>
      </c>
      <c r="AF110" s="371" t="s">
        <v>925</v>
      </c>
      <c r="AG110" s="371" t="s">
        <v>620</v>
      </c>
      <c r="AH110" s="371" t="s">
        <v>1455</v>
      </c>
      <c r="AI110" s="661"/>
      <c r="AJ110" s="661"/>
      <c r="AK110" s="371" t="s">
        <v>617</v>
      </c>
      <c r="AL110" s="371" t="s">
        <v>618</v>
      </c>
      <c r="AM110" s="371" t="s">
        <v>619</v>
      </c>
      <c r="AN110" s="371" t="s">
        <v>925</v>
      </c>
      <c r="AO110" s="371" t="s">
        <v>620</v>
      </c>
      <c r="AP110" s="371" t="s">
        <v>1455</v>
      </c>
    </row>
    <row r="111" spans="1:42">
      <c r="A111" s="661"/>
      <c r="B111" s="661"/>
      <c r="C111" s="661"/>
      <c r="D111" s="661"/>
      <c r="E111" s="661"/>
      <c r="F111" s="661"/>
      <c r="G111" s="661"/>
      <c r="H111" s="661"/>
      <c r="I111" s="661"/>
      <c r="J111" s="661"/>
      <c r="K111" s="661"/>
      <c r="L111" s="661"/>
      <c r="M111" s="661"/>
      <c r="N111" s="661"/>
      <c r="O111" s="661"/>
      <c r="P111" s="661"/>
      <c r="Q111" s="661"/>
      <c r="R111" s="661"/>
      <c r="S111" s="661"/>
      <c r="T111" s="661"/>
      <c r="U111" s="661"/>
      <c r="V111" s="661"/>
      <c r="W111" s="661"/>
      <c r="X111" s="661"/>
      <c r="Y111" s="661"/>
      <c r="Z111" s="661"/>
      <c r="AA111" s="661"/>
      <c r="AB111" s="661"/>
      <c r="AC111" s="374">
        <f>SUM(AC112:AC113)</f>
        <v>1.7318012689585864</v>
      </c>
      <c r="AD111" s="374">
        <f t="shared" ref="AD111:AG111" si="40">SUM(AD112:AD113)</f>
        <v>0.76467639064383919</v>
      </c>
      <c r="AE111" s="374">
        <f t="shared" si="40"/>
        <v>8.2785938061938069E-2</v>
      </c>
      <c r="AF111" s="374">
        <f t="shared" si="40"/>
        <v>3.3679587469949404</v>
      </c>
      <c r="AG111" s="374">
        <f t="shared" si="40"/>
        <v>3.3486726348891978</v>
      </c>
      <c r="AH111" s="374">
        <f>SUM(AH112:AH113)</f>
        <v>9.2958949795485015</v>
      </c>
      <c r="AI111" s="661"/>
      <c r="AJ111" s="661"/>
      <c r="AK111" s="374">
        <f>SUM(AK112:AK113)</f>
        <v>2.5412991032967041</v>
      </c>
      <c r="AL111" s="374">
        <f t="shared" ref="AL111:AO111" si="41">SUM(AL112:AL113)</f>
        <v>1.8223562769230779</v>
      </c>
      <c r="AM111" s="374">
        <f t="shared" si="41"/>
        <v>0.24137169230769237</v>
      </c>
      <c r="AN111" s="374">
        <f t="shared" si="41"/>
        <v>5.3843128219780239</v>
      </c>
      <c r="AO111" s="374">
        <f t="shared" si="41"/>
        <v>3.5343712087912098</v>
      </c>
      <c r="AP111" s="374">
        <f>SUM(AP112:AP113)</f>
        <v>13.523711103296709</v>
      </c>
    </row>
    <row r="112" spans="1:42">
      <c r="A112" s="661"/>
      <c r="B112" s="661"/>
      <c r="C112" s="661"/>
      <c r="D112" s="661"/>
      <c r="E112" s="661"/>
      <c r="F112" s="661"/>
      <c r="G112" s="661"/>
      <c r="H112" s="661"/>
      <c r="I112" s="661"/>
      <c r="J112" s="661"/>
      <c r="K112" s="661"/>
      <c r="L112" s="661"/>
      <c r="M112" s="661"/>
      <c r="N112" s="661"/>
      <c r="O112" s="661"/>
      <c r="P112" s="661"/>
      <c r="Q112" s="661"/>
      <c r="R112" s="661"/>
      <c r="S112" s="661"/>
      <c r="T112" s="661"/>
      <c r="U112" s="661"/>
      <c r="V112" s="661"/>
      <c r="W112" s="661"/>
      <c r="X112" s="661"/>
      <c r="Y112" s="661"/>
      <c r="Z112" s="661"/>
      <c r="AA112" s="661"/>
      <c r="AB112" s="661" t="s">
        <v>1788</v>
      </c>
      <c r="AC112" s="375">
        <f>AC105+$T$82-AC65</f>
        <v>1.1649074022446586</v>
      </c>
      <c r="AD112" s="375">
        <f>AD105+$T$83-AD65</f>
        <v>0.4818867794215464</v>
      </c>
      <c r="AE112" s="375">
        <f>AE105+$T$84-AE65</f>
        <v>4.9936650044907521E-2</v>
      </c>
      <c r="AF112" s="375">
        <f>AF105+$T$85-AF65</f>
        <v>3.1330898681016359</v>
      </c>
      <c r="AG112" s="375">
        <f>AG105+$T$86-AG65</f>
        <v>2.5959664198744434</v>
      </c>
      <c r="AH112" s="375">
        <f>SUM(AC112:AG112)</f>
        <v>7.4257871196871914</v>
      </c>
      <c r="AI112" s="661"/>
      <c r="AJ112" s="380" t="s">
        <v>1788</v>
      </c>
      <c r="AK112" s="375">
        <f>AC71*$Q$116</f>
        <v>1.7094213925182411</v>
      </c>
      <c r="AL112" s="375">
        <f t="shared" ref="AL112:AO113" si="42">AD71*$Q$116</f>
        <v>1.1484196556738255</v>
      </c>
      <c r="AM112" s="375">
        <f t="shared" si="42"/>
        <v>0.14559590688576118</v>
      </c>
      <c r="AN112" s="375">
        <f t="shared" si="42"/>
        <v>5.0088309318755497</v>
      </c>
      <c r="AO112" s="375">
        <f t="shared" si="42"/>
        <v>2.7399241352526587</v>
      </c>
      <c r="AP112" s="375">
        <f>SUM(AK112:AO112)</f>
        <v>10.752192022206037</v>
      </c>
    </row>
    <row r="113" spans="2:42">
      <c r="B113" s="661"/>
      <c r="C113" s="661"/>
      <c r="D113" s="661" t="s">
        <v>1822</v>
      </c>
      <c r="E113" s="661"/>
      <c r="F113" s="661"/>
      <c r="G113" s="661"/>
      <c r="H113" s="661"/>
      <c r="I113" s="661"/>
      <c r="J113" s="661"/>
      <c r="K113" s="661"/>
      <c r="L113" s="661"/>
      <c r="M113" s="661"/>
      <c r="N113" s="661"/>
      <c r="O113" s="661"/>
      <c r="P113" s="661"/>
      <c r="Q113" s="661"/>
      <c r="R113" s="661"/>
      <c r="S113" s="661"/>
      <c r="T113" s="661"/>
      <c r="U113" s="661"/>
      <c r="V113" s="661"/>
      <c r="W113" s="661"/>
      <c r="X113" s="661"/>
      <c r="Y113" s="661"/>
      <c r="Z113" s="661"/>
      <c r="AA113" s="661"/>
      <c r="AB113" s="661" t="s">
        <v>1789</v>
      </c>
      <c r="AC113" s="374">
        <f>AC106+$U$82-AC66</f>
        <v>0.56689386671392783</v>
      </c>
      <c r="AD113" s="374">
        <f>AD106+$U$83-AD66</f>
        <v>0.28278961122229285</v>
      </c>
      <c r="AE113" s="374">
        <f>AE106+$U$84-AE66</f>
        <v>3.2849288017030555E-2</v>
      </c>
      <c r="AF113" s="374">
        <f>AF106+$U$85-AF66</f>
        <v>0.23486887889330421</v>
      </c>
      <c r="AG113" s="374">
        <f>AG106+$U$86-AG66</f>
        <v>0.75270621501475421</v>
      </c>
      <c r="AH113" s="374">
        <f>SUM(AC113:AG113)</f>
        <v>1.8701078598613097</v>
      </c>
      <c r="AI113" s="661"/>
      <c r="AJ113" s="661" t="s">
        <v>1789</v>
      </c>
      <c r="AK113" s="374">
        <f>AC72*$Q$116</f>
        <v>0.83187771077846306</v>
      </c>
      <c r="AL113" s="374">
        <f t="shared" si="42"/>
        <v>0.67393662124925224</v>
      </c>
      <c r="AM113" s="374">
        <f t="shared" si="42"/>
        <v>9.5775785421931187E-2</v>
      </c>
      <c r="AN113" s="374">
        <f t="shared" si="42"/>
        <v>0.37548189010247429</v>
      </c>
      <c r="AO113" s="374">
        <f t="shared" si="42"/>
        <v>0.79444707353855126</v>
      </c>
      <c r="AP113" s="374">
        <f>SUM(AK113:AO113)</f>
        <v>2.771519081090672</v>
      </c>
    </row>
    <row r="114" spans="2:42">
      <c r="B114" s="661"/>
      <c r="C114" s="661"/>
      <c r="D114" s="661"/>
      <c r="E114" s="661"/>
      <c r="F114" s="661"/>
      <c r="G114" s="661"/>
      <c r="H114" s="661"/>
      <c r="I114" s="377">
        <v>2005</v>
      </c>
      <c r="J114" s="377">
        <v>2010</v>
      </c>
      <c r="K114" s="377">
        <v>2015</v>
      </c>
      <c r="L114" s="377">
        <v>2020</v>
      </c>
      <c r="M114" s="377">
        <v>2025</v>
      </c>
      <c r="N114" s="377">
        <v>2030</v>
      </c>
      <c r="O114" s="377">
        <v>2035</v>
      </c>
      <c r="P114" s="377">
        <v>2040</v>
      </c>
      <c r="Q114" s="377">
        <v>2045</v>
      </c>
      <c r="R114" s="377">
        <v>2050</v>
      </c>
      <c r="S114" s="377">
        <v>2055</v>
      </c>
      <c r="T114" s="661"/>
      <c r="U114" s="661"/>
      <c r="V114" s="661"/>
      <c r="W114" s="661"/>
      <c r="X114" s="661"/>
      <c r="Y114" s="661"/>
      <c r="Z114" s="661"/>
      <c r="AA114" s="661"/>
      <c r="AB114" s="661"/>
      <c r="AC114" s="374"/>
      <c r="AD114" s="374"/>
      <c r="AE114" s="374"/>
      <c r="AF114" s="374"/>
      <c r="AG114" s="374"/>
      <c r="AH114" s="374"/>
      <c r="AI114" s="661"/>
      <c r="AJ114" s="661"/>
      <c r="AK114" s="374"/>
      <c r="AL114" s="374"/>
      <c r="AM114" s="374"/>
      <c r="AN114" s="374"/>
      <c r="AO114" s="374"/>
      <c r="AP114" s="374"/>
    </row>
    <row r="115" spans="2:42">
      <c r="B115" s="661" t="s">
        <v>1823</v>
      </c>
      <c r="C115" s="661" t="s">
        <v>1824</v>
      </c>
      <c r="D115" s="661">
        <v>2</v>
      </c>
      <c r="E115" s="661" t="s">
        <v>65</v>
      </c>
      <c r="F115" s="661" t="s">
        <v>1722</v>
      </c>
      <c r="G115" s="661" t="s">
        <v>1825</v>
      </c>
      <c r="H115" s="661" t="s">
        <v>1722</v>
      </c>
      <c r="I115" s="661">
        <v>0</v>
      </c>
      <c r="J115" s="661">
        <v>0.23</v>
      </c>
      <c r="K115" s="661">
        <v>1.4</v>
      </c>
      <c r="L115" s="661">
        <v>4.82</v>
      </c>
      <c r="M115" s="661">
        <v>8.23</v>
      </c>
      <c r="N115" s="661">
        <v>11.65</v>
      </c>
      <c r="O115" s="661">
        <v>15.06</v>
      </c>
      <c r="P115" s="661">
        <v>18.48</v>
      </c>
      <c r="Q115" s="661">
        <v>21.89</v>
      </c>
      <c r="R115" s="661">
        <v>25.31</v>
      </c>
      <c r="S115" s="661">
        <v>28.72</v>
      </c>
      <c r="T115" s="661"/>
      <c r="U115" s="661"/>
      <c r="V115" s="661"/>
      <c r="W115" s="661"/>
      <c r="X115" s="661"/>
      <c r="Y115" s="661"/>
      <c r="Z115" s="661"/>
      <c r="AA115" s="661"/>
      <c r="AB115" s="661"/>
      <c r="AC115" s="661"/>
      <c r="AD115" s="661"/>
      <c r="AE115" s="661"/>
      <c r="AF115" s="661"/>
      <c r="AG115" s="661"/>
      <c r="AH115" s="661"/>
      <c r="AI115" s="661"/>
      <c r="AJ115" s="661"/>
      <c r="AK115" s="661"/>
      <c r="AL115" s="661"/>
      <c r="AM115" s="661"/>
      <c r="AN115" s="661"/>
      <c r="AO115" s="661"/>
      <c r="AP115" s="661"/>
    </row>
    <row r="116" spans="2:42">
      <c r="B116" s="661"/>
      <c r="C116" s="661"/>
      <c r="D116" s="661"/>
      <c r="E116" s="661"/>
      <c r="F116" s="661"/>
      <c r="G116" s="661" t="s">
        <v>1826</v>
      </c>
      <c r="H116" s="661"/>
      <c r="I116" s="661"/>
      <c r="J116" s="661"/>
      <c r="K116" s="378"/>
      <c r="L116" s="378">
        <f>L115/$K$115</f>
        <v>3.4428571428571431</v>
      </c>
      <c r="M116" s="378">
        <f t="shared" ref="M116:S116" si="43">M115/$K$115</f>
        <v>5.878571428571429</v>
      </c>
      <c r="N116" s="378">
        <f t="shared" si="43"/>
        <v>8.321428571428573</v>
      </c>
      <c r="O116" s="378">
        <f t="shared" si="43"/>
        <v>10.757142857142858</v>
      </c>
      <c r="P116" s="378">
        <f t="shared" si="43"/>
        <v>13.200000000000001</v>
      </c>
      <c r="Q116" s="378">
        <f t="shared" si="43"/>
        <v>15.635714285714288</v>
      </c>
      <c r="R116" s="378">
        <f t="shared" si="43"/>
        <v>18.078571428571429</v>
      </c>
      <c r="S116" s="378">
        <f t="shared" si="43"/>
        <v>20.514285714285716</v>
      </c>
      <c r="T116" s="661"/>
      <c r="U116" s="661"/>
      <c r="V116" s="661"/>
      <c r="W116" s="661"/>
      <c r="X116" s="661"/>
      <c r="Y116" s="661"/>
      <c r="Z116" s="661"/>
      <c r="AA116" s="661"/>
      <c r="AB116" s="661" t="s">
        <v>1827</v>
      </c>
      <c r="AC116" s="371"/>
      <c r="AD116" s="371"/>
      <c r="AE116" s="371"/>
      <c r="AF116" s="371"/>
      <c r="AG116" s="371"/>
      <c r="AH116" s="371"/>
      <c r="AI116" s="661"/>
      <c r="AJ116" s="661" t="s">
        <v>1828</v>
      </c>
      <c r="AK116" s="371"/>
      <c r="AL116" s="371"/>
      <c r="AM116" s="371"/>
      <c r="AN116" s="371"/>
      <c r="AO116" s="371"/>
      <c r="AP116" s="371"/>
    </row>
    <row r="117" spans="2:42">
      <c r="B117" s="661"/>
      <c r="C117" s="661"/>
      <c r="D117" s="661"/>
      <c r="E117" s="661"/>
      <c r="F117" s="661"/>
      <c r="G117" s="661"/>
      <c r="H117" s="661"/>
      <c r="I117" s="661"/>
      <c r="J117" s="661"/>
      <c r="K117" s="661"/>
      <c r="L117" s="661"/>
      <c r="M117" s="661"/>
      <c r="N117" s="661"/>
      <c r="O117" s="661"/>
      <c r="P117" s="661"/>
      <c r="Q117" s="661"/>
      <c r="R117" s="661"/>
      <c r="S117" s="661"/>
      <c r="T117" s="661"/>
      <c r="U117" s="661"/>
      <c r="V117" s="661"/>
      <c r="W117" s="661"/>
      <c r="X117" s="661"/>
      <c r="Y117" s="661"/>
      <c r="Z117" s="661"/>
      <c r="AA117" s="661"/>
      <c r="AB117" s="661"/>
      <c r="AC117" s="371" t="s">
        <v>617</v>
      </c>
      <c r="AD117" s="371" t="s">
        <v>618</v>
      </c>
      <c r="AE117" s="371" t="s">
        <v>619</v>
      </c>
      <c r="AF117" s="371" t="s">
        <v>925</v>
      </c>
      <c r="AG117" s="371" t="s">
        <v>620</v>
      </c>
      <c r="AH117" s="371" t="s">
        <v>1455</v>
      </c>
      <c r="AI117" s="661"/>
      <c r="AJ117" s="661"/>
      <c r="AK117" s="371" t="s">
        <v>617</v>
      </c>
      <c r="AL117" s="371" t="s">
        <v>618</v>
      </c>
      <c r="AM117" s="371" t="s">
        <v>619</v>
      </c>
      <c r="AN117" s="371" t="s">
        <v>925</v>
      </c>
      <c r="AO117" s="371" t="s">
        <v>620</v>
      </c>
      <c r="AP117" s="371" t="s">
        <v>1455</v>
      </c>
    </row>
    <row r="118" spans="2:42">
      <c r="B118" s="661"/>
      <c r="C118" s="661"/>
      <c r="D118" s="661"/>
      <c r="E118" s="661"/>
      <c r="F118" s="661"/>
      <c r="G118" s="661"/>
      <c r="H118" s="661"/>
      <c r="I118" s="661"/>
      <c r="J118" s="661"/>
      <c r="K118" s="661"/>
      <c r="L118" s="661"/>
      <c r="M118" s="661"/>
      <c r="N118" s="661"/>
      <c r="O118" s="661"/>
      <c r="P118" s="661"/>
      <c r="Q118" s="661"/>
      <c r="R118" s="661"/>
      <c r="S118" s="661"/>
      <c r="T118" s="661"/>
      <c r="U118" s="661"/>
      <c r="V118" s="661"/>
      <c r="W118" s="661"/>
      <c r="X118" s="661"/>
      <c r="Y118" s="661"/>
      <c r="Z118" s="661"/>
      <c r="AA118" s="661"/>
      <c r="AB118" s="661"/>
      <c r="AC118" s="374">
        <f>SUM(AC119:AC120)</f>
        <v>1.8449339123152295</v>
      </c>
      <c r="AD118" s="374">
        <f t="shared" ref="AD118:AG118" si="44">SUM(AD119:AD120)</f>
        <v>0.75839124379069245</v>
      </c>
      <c r="AE118" s="374">
        <f t="shared" si="44"/>
        <v>7.8375308691308709E-2</v>
      </c>
      <c r="AF118" s="374">
        <f t="shared" si="44"/>
        <v>3.5749275302117232</v>
      </c>
      <c r="AG118" s="374">
        <f t="shared" si="44"/>
        <v>3.6739565509731138</v>
      </c>
      <c r="AH118" s="376">
        <f>SUM(AH119:AH120)</f>
        <v>9.9305845459820663</v>
      </c>
      <c r="AI118" s="661"/>
      <c r="AJ118" s="661"/>
      <c r="AK118" s="374">
        <f>SUM(AK119:AK120)</f>
        <v>2.9383408087912097</v>
      </c>
      <c r="AL118" s="374">
        <f t="shared" ref="AL118:AO118" si="45">SUM(AL119:AL120)</f>
        <v>2.1070734293706299</v>
      </c>
      <c r="AM118" s="374">
        <f t="shared" si="45"/>
        <v>0.2790825734265735</v>
      </c>
      <c r="AN118" s="374">
        <f t="shared" si="45"/>
        <v>6.2255348343656367</v>
      </c>
      <c r="AO118" s="374">
        <f t="shared" si="45"/>
        <v>4.0865662537462546</v>
      </c>
      <c r="AP118" s="374">
        <f>SUM(AP119:AP120)</f>
        <v>15.636597899700302</v>
      </c>
    </row>
    <row r="119" spans="2:42">
      <c r="B119" s="661"/>
      <c r="C119" s="661"/>
      <c r="D119" s="661"/>
      <c r="E119" s="661"/>
      <c r="F119" s="661"/>
      <c r="G119" s="661"/>
      <c r="H119" s="661"/>
      <c r="I119" s="661"/>
      <c r="J119" s="661"/>
      <c r="K119" s="661"/>
      <c r="L119" s="661"/>
      <c r="M119" s="661"/>
      <c r="N119" s="661"/>
      <c r="O119" s="661"/>
      <c r="P119" s="661"/>
      <c r="Q119" s="661"/>
      <c r="R119" s="661"/>
      <c r="S119" s="661"/>
      <c r="T119" s="661"/>
      <c r="U119" s="661"/>
      <c r="V119" s="661"/>
      <c r="W119" s="661"/>
      <c r="X119" s="661"/>
      <c r="Y119" s="661"/>
      <c r="Z119" s="661"/>
      <c r="AA119" s="661"/>
      <c r="AB119" s="661" t="s">
        <v>1788</v>
      </c>
      <c r="AC119" s="375">
        <f>AC112+$T$82-AC71</f>
        <v>1.2410068115960038</v>
      </c>
      <c r="AD119" s="375">
        <f>AD112+$T$83-AD71</f>
        <v>0.47792598082450294</v>
      </c>
      <c r="AE119" s="375">
        <f>AE112+$T$84-AE71</f>
        <v>4.7276149233838341E-2</v>
      </c>
      <c r="AF119" s="375">
        <f>AF112+$T$85-AF71</f>
        <v>3.3256254204709776</v>
      </c>
      <c r="AG119" s="375">
        <f>AG112+$T$86-AG71</f>
        <v>2.848133835190346</v>
      </c>
      <c r="AH119" s="375">
        <f>SUM(AC119:AG119)</f>
        <v>7.9399681973156682</v>
      </c>
      <c r="AI119" s="661"/>
      <c r="AJ119" s="380" t="s">
        <v>1788</v>
      </c>
      <c r="AK119" s="375">
        <f>AC71*$R$116</f>
        <v>1.9764940815274865</v>
      </c>
      <c r="AL119" s="375">
        <f t="shared" ref="AL119:AO120" si="46">AD71*$R$116</f>
        <v>1.3278438321198958</v>
      </c>
      <c r="AM119" s="375">
        <f t="shared" si="46"/>
        <v>0.16834318882040269</v>
      </c>
      <c r="AN119" s="375">
        <f t="shared" si="46"/>
        <v>5.7913892592859826</v>
      </c>
      <c r="AO119" s="375">
        <f t="shared" si="46"/>
        <v>3.1679981664342067</v>
      </c>
      <c r="AP119" s="375">
        <f>SUM(AK119:AO119)</f>
        <v>12.432068528187973</v>
      </c>
    </row>
    <row r="120" spans="2:42">
      <c r="B120" s="661"/>
      <c r="C120" s="661"/>
      <c r="D120" s="661"/>
      <c r="E120" s="661"/>
      <c r="F120" s="661"/>
      <c r="G120" s="661"/>
      <c r="H120" s="661"/>
      <c r="I120" s="661"/>
      <c r="J120" s="661"/>
      <c r="K120" s="661"/>
      <c r="L120" s="661"/>
      <c r="M120" s="661"/>
      <c r="N120" s="661"/>
      <c r="O120" s="661"/>
      <c r="P120" s="661"/>
      <c r="Q120" s="661"/>
      <c r="R120" s="661"/>
      <c r="S120" s="661"/>
      <c r="T120" s="661"/>
      <c r="U120" s="661"/>
      <c r="V120" s="661"/>
      <c r="W120" s="661"/>
      <c r="X120" s="661"/>
      <c r="Y120" s="661"/>
      <c r="Z120" s="661"/>
      <c r="AA120" s="661"/>
      <c r="AB120" s="661" t="s">
        <v>1789</v>
      </c>
      <c r="AC120" s="374">
        <f>AC113+$U$82-AC72</f>
        <v>0.60392710071922573</v>
      </c>
      <c r="AD120" s="374">
        <f>AD113+$U$83-AD72</f>
        <v>0.28046526296618951</v>
      </c>
      <c r="AE120" s="374">
        <f>AE113+$U$84-AE72</f>
        <v>3.1099159457470368E-2</v>
      </c>
      <c r="AF120" s="374">
        <f>AF113+$U$85-AF72</f>
        <v>0.24930210974074551</v>
      </c>
      <c r="AG120" s="374">
        <f>AG113+$U$86-AG72</f>
        <v>0.82582271578276756</v>
      </c>
      <c r="AH120" s="374">
        <f>SUM(AC120:AG120)</f>
        <v>1.9906163486663986</v>
      </c>
      <c r="AI120" s="661"/>
      <c r="AJ120" s="661" t="s">
        <v>1789</v>
      </c>
      <c r="AK120" s="374">
        <f>AC72*$R$116</f>
        <v>0.96184672726372311</v>
      </c>
      <c r="AL120" s="374">
        <f t="shared" si="46"/>
        <v>0.77922959725073426</v>
      </c>
      <c r="AM120" s="374">
        <f t="shared" si="46"/>
        <v>0.11073938460617078</v>
      </c>
      <c r="AN120" s="374">
        <f t="shared" si="46"/>
        <v>0.4341455750796539</v>
      </c>
      <c r="AO120" s="374">
        <f t="shared" si="46"/>
        <v>0.91856808731204809</v>
      </c>
      <c r="AP120" s="374">
        <f>SUM(AK120:AO120)</f>
        <v>3.2045293715123302</v>
      </c>
    </row>
    <row r="121" spans="2:42">
      <c r="B121" s="661"/>
      <c r="C121" s="661"/>
      <c r="D121" s="661"/>
      <c r="E121" s="661"/>
      <c r="F121" s="661"/>
      <c r="G121" s="661"/>
      <c r="H121" s="661"/>
      <c r="I121" s="661"/>
      <c r="J121" s="661"/>
      <c r="K121" s="661"/>
      <c r="L121" s="661"/>
      <c r="M121" s="661"/>
      <c r="N121" s="661"/>
      <c r="O121" s="661"/>
      <c r="P121" s="661"/>
      <c r="Q121" s="661"/>
      <c r="R121" s="661"/>
      <c r="S121" s="661"/>
      <c r="T121" s="661"/>
      <c r="U121" s="661"/>
      <c r="V121" s="661"/>
      <c r="W121" s="661"/>
      <c r="X121" s="661"/>
      <c r="Y121" s="661"/>
      <c r="Z121" s="661"/>
      <c r="AA121" s="661"/>
      <c r="AB121" s="661"/>
      <c r="AC121" s="374"/>
      <c r="AD121" s="374"/>
      <c r="AE121" s="374"/>
      <c r="AF121" s="374"/>
      <c r="AG121" s="374"/>
      <c r="AH121" s="374"/>
      <c r="AI121" s="661"/>
      <c r="AJ121" s="661"/>
      <c r="AK121" s="374"/>
      <c r="AL121" s="374"/>
      <c r="AM121" s="374"/>
      <c r="AN121" s="374"/>
      <c r="AO121" s="374"/>
      <c r="AP121" s="374"/>
    </row>
    <row r="123" spans="2:42">
      <c r="B123" s="661"/>
      <c r="C123" s="661"/>
      <c r="D123" s="661"/>
      <c r="E123" s="661"/>
      <c r="F123" s="661"/>
      <c r="G123" s="661"/>
      <c r="H123" s="661"/>
      <c r="I123" s="661"/>
      <c r="J123" s="661"/>
      <c r="K123" s="661"/>
      <c r="L123" s="661"/>
      <c r="M123" s="661"/>
      <c r="N123" s="661"/>
      <c r="O123" s="661"/>
      <c r="P123" s="661"/>
      <c r="Q123" s="661"/>
      <c r="R123" s="661"/>
      <c r="S123" s="661"/>
      <c r="T123" s="661"/>
      <c r="U123" s="661"/>
      <c r="V123" s="661"/>
      <c r="W123" s="661"/>
      <c r="X123" s="661"/>
      <c r="Y123" s="661"/>
      <c r="Z123" s="661"/>
      <c r="AA123" s="661"/>
      <c r="AB123" s="661" t="s">
        <v>1829</v>
      </c>
      <c r="AC123" s="371"/>
      <c r="AD123" s="371"/>
      <c r="AE123" s="371"/>
      <c r="AF123" s="371"/>
      <c r="AG123" s="371"/>
      <c r="AH123" s="371"/>
      <c r="AI123" s="661"/>
      <c r="AJ123" s="661" t="s">
        <v>1830</v>
      </c>
      <c r="AK123" s="371"/>
      <c r="AL123" s="371"/>
      <c r="AM123" s="371"/>
      <c r="AN123" s="371"/>
      <c r="AO123" s="371"/>
      <c r="AP123" s="371"/>
    </row>
    <row r="124" spans="2:42">
      <c r="B124" s="661"/>
      <c r="C124" s="661"/>
      <c r="D124" s="661"/>
      <c r="E124" s="661"/>
      <c r="F124" s="661"/>
      <c r="G124" s="661"/>
      <c r="H124" s="661"/>
      <c r="I124" s="661"/>
      <c r="J124" s="661"/>
      <c r="K124" s="661"/>
      <c r="L124" s="661"/>
      <c r="M124" s="661"/>
      <c r="N124" s="661"/>
      <c r="O124" s="661"/>
      <c r="P124" s="661"/>
      <c r="Q124" s="661"/>
      <c r="R124" s="661"/>
      <c r="S124" s="661"/>
      <c r="T124" s="661"/>
      <c r="U124" s="661"/>
      <c r="V124" s="661"/>
      <c r="W124" s="661"/>
      <c r="X124" s="661"/>
      <c r="Y124" s="661"/>
      <c r="Z124" s="661"/>
      <c r="AA124" s="661"/>
      <c r="AB124" s="661"/>
      <c r="AC124" s="371" t="s">
        <v>617</v>
      </c>
      <c r="AD124" s="371" t="s">
        <v>618</v>
      </c>
      <c r="AE124" s="371" t="s">
        <v>619</v>
      </c>
      <c r="AF124" s="371" t="s">
        <v>925</v>
      </c>
      <c r="AG124" s="371" t="s">
        <v>620</v>
      </c>
      <c r="AH124" s="371" t="s">
        <v>1455</v>
      </c>
      <c r="AI124" s="661"/>
      <c r="AJ124" s="661"/>
      <c r="AK124" s="371" t="s">
        <v>617</v>
      </c>
      <c r="AL124" s="371" t="s">
        <v>618</v>
      </c>
      <c r="AM124" s="371" t="s">
        <v>619</v>
      </c>
      <c r="AN124" s="371" t="s">
        <v>925</v>
      </c>
      <c r="AO124" s="371" t="s">
        <v>620</v>
      </c>
      <c r="AP124" s="371" t="s">
        <v>1455</v>
      </c>
    </row>
    <row r="125" spans="2:42">
      <c r="B125" s="661"/>
      <c r="C125" s="661"/>
      <c r="D125" s="661"/>
      <c r="E125" s="661"/>
      <c r="F125" s="661"/>
      <c r="G125" s="661"/>
      <c r="H125" s="661"/>
      <c r="I125" s="661"/>
      <c r="J125" s="661"/>
      <c r="K125" s="661"/>
      <c r="L125" s="661"/>
      <c r="M125" s="661"/>
      <c r="N125" s="661"/>
      <c r="O125" s="661"/>
      <c r="P125" s="661"/>
      <c r="Q125" s="661"/>
      <c r="R125" s="661"/>
      <c r="S125" s="661"/>
      <c r="T125" s="661"/>
      <c r="U125" s="661"/>
      <c r="V125" s="661"/>
      <c r="W125" s="661"/>
      <c r="X125" s="661"/>
      <c r="Y125" s="661"/>
      <c r="Z125" s="661"/>
      <c r="AA125" s="661"/>
      <c r="AB125" s="661"/>
      <c r="AC125" s="374">
        <f>SUM(AC126:AC127)</f>
        <v>2.0013878133979093</v>
      </c>
      <c r="AD125" s="374">
        <f t="shared" ref="AD125:AG125" si="47">SUM(AD126:AD127)</f>
        <v>0.78755555060057603</v>
      </c>
      <c r="AE125" s="374">
        <f t="shared" si="47"/>
        <v>7.7641643243551814E-2</v>
      </c>
      <c r="AF125" s="374">
        <f t="shared" si="47"/>
        <v>4.0834946248642598</v>
      </c>
      <c r="AG125" s="374">
        <f t="shared" si="47"/>
        <v>4.0884430110441814</v>
      </c>
      <c r="AH125" s="376">
        <f>SUM(AH126:AH127)</f>
        <v>11.038522643150477</v>
      </c>
      <c r="AI125" s="661"/>
      <c r="AJ125" s="661"/>
      <c r="AK125" s="374">
        <f>SUM(AK126:AK127)</f>
        <v>3.3342215736263747</v>
      </c>
      <c r="AL125" s="374">
        <f t="shared" ref="AL125:AO125" si="48">SUM(AL126:AL127)</f>
        <v>2.3909580755244764</v>
      </c>
      <c r="AM125" s="374">
        <f t="shared" si="48"/>
        <v>0.31668318881118884</v>
      </c>
      <c r="AN125" s="374">
        <f t="shared" si="48"/>
        <v>7.0642971332667361</v>
      </c>
      <c r="AO125" s="374">
        <f t="shared" si="48"/>
        <v>4.6371466933066952</v>
      </c>
      <c r="AP125" s="374">
        <f>SUM(AP126:AP127)</f>
        <v>17.743306664535471</v>
      </c>
    </row>
    <row r="126" spans="2:42">
      <c r="B126" s="661"/>
      <c r="C126" s="661"/>
      <c r="D126" s="661"/>
      <c r="E126" s="661"/>
      <c r="F126" s="661"/>
      <c r="G126" s="661"/>
      <c r="H126" s="661"/>
      <c r="I126" s="661"/>
      <c r="J126" s="661"/>
      <c r="K126" s="661"/>
      <c r="L126" s="661"/>
      <c r="M126" s="661"/>
      <c r="N126" s="661"/>
      <c r="O126" s="661"/>
      <c r="P126" s="661"/>
      <c r="Q126" s="661"/>
      <c r="R126" s="661"/>
      <c r="S126" s="661"/>
      <c r="T126" s="661"/>
      <c r="U126" s="661"/>
      <c r="V126" s="661"/>
      <c r="W126" s="661"/>
      <c r="X126" s="661"/>
      <c r="Y126" s="661"/>
      <c r="Z126" s="661"/>
      <c r="AA126" s="661"/>
      <c r="AB126" s="661" t="s">
        <v>1788</v>
      </c>
      <c r="AC126" s="375">
        <f>AC119+$T$82-AC78</f>
        <v>1.307223787714507</v>
      </c>
      <c r="AD126" s="375">
        <f>AD119+$T$83-AD78</f>
        <v>0.46631224805362592</v>
      </c>
      <c r="AE126" s="375">
        <f>AE119+$T$84-AE78</f>
        <v>4.2167162387180983E-2</v>
      </c>
      <c r="AF126" s="375">
        <f>AF119+$T$85-AF78</f>
        <v>3.7957449103088061</v>
      </c>
      <c r="AG126" s="375">
        <f>AG119+$T$86-AG78</f>
        <v>3.1386940227732558</v>
      </c>
      <c r="AH126" s="375">
        <f>SUM(AC126:AG126)</f>
        <v>8.7501421312373751</v>
      </c>
      <c r="AI126" s="661"/>
      <c r="AJ126" s="380" t="s">
        <v>1788</v>
      </c>
      <c r="AK126" s="375">
        <f>AC71*$S$116</f>
        <v>2.2427858562413836</v>
      </c>
      <c r="AL126" s="375">
        <f t="shared" ref="AL126:AO127" si="49">AD71*$S$116</f>
        <v>1.5067433764710947</v>
      </c>
      <c r="AM126" s="375">
        <f t="shared" si="49"/>
        <v>0.1910239582347675</v>
      </c>
      <c r="AN126" s="375">
        <f t="shared" si="49"/>
        <v>6.5716594044525261</v>
      </c>
      <c r="AO126" s="375">
        <f t="shared" si="49"/>
        <v>3.594820519162008</v>
      </c>
      <c r="AP126" s="375">
        <f>SUM(AK126:AO126)</f>
        <v>14.10703311456178</v>
      </c>
    </row>
    <row r="127" spans="2:42">
      <c r="B127" s="661"/>
      <c r="C127" s="661"/>
      <c r="D127" s="661"/>
      <c r="E127" s="661"/>
      <c r="F127" s="661"/>
      <c r="G127" s="661"/>
      <c r="H127" s="661"/>
      <c r="I127" s="661"/>
      <c r="J127" s="661"/>
      <c r="K127" s="661"/>
      <c r="L127" s="661"/>
      <c r="M127" s="661"/>
      <c r="N127" s="661"/>
      <c r="O127" s="661"/>
      <c r="P127" s="661"/>
      <c r="Q127" s="661"/>
      <c r="R127" s="661"/>
      <c r="S127" s="661"/>
      <c r="T127" s="661"/>
      <c r="U127" s="661"/>
      <c r="V127" s="661"/>
      <c r="W127" s="661"/>
      <c r="X127" s="661"/>
      <c r="Y127" s="661"/>
      <c r="Z127" s="661"/>
      <c r="AA127" s="661"/>
      <c r="AB127" s="661" t="s">
        <v>1789</v>
      </c>
      <c r="AC127" s="374">
        <f>AC120+$U$82-AC79</f>
        <v>0.69416402568340208</v>
      </c>
      <c r="AD127" s="374">
        <f>AD120+$U$83-AD79</f>
        <v>0.32124330254695016</v>
      </c>
      <c r="AE127" s="374">
        <f>AE120+$U$84-AE79</f>
        <v>3.5474480856370831E-2</v>
      </c>
      <c r="AF127" s="374">
        <f>AF120+$U$85-AF79</f>
        <v>0.28774971455545334</v>
      </c>
      <c r="AG127" s="374">
        <f>AG120+$U$86-AG79</f>
        <v>0.9497489882709258</v>
      </c>
      <c r="AH127" s="374">
        <f>SUM(AC127:AG127)</f>
        <v>2.2883805119131022</v>
      </c>
      <c r="AI127" s="661"/>
      <c r="AJ127" s="661" t="s">
        <v>1789</v>
      </c>
      <c r="AK127" s="374">
        <f>AC72*$S$116</f>
        <v>1.0914357173849911</v>
      </c>
      <c r="AL127" s="374">
        <f t="shared" si="49"/>
        <v>0.88421469905338157</v>
      </c>
      <c r="AM127" s="374">
        <f t="shared" si="49"/>
        <v>0.12565923057642137</v>
      </c>
      <c r="AN127" s="374">
        <f t="shared" si="49"/>
        <v>0.4926377288142102</v>
      </c>
      <c r="AO127" s="374">
        <f t="shared" si="49"/>
        <v>1.0423261741446868</v>
      </c>
      <c r="AP127" s="374">
        <f>SUM(AK127:AO127)</f>
        <v>3.6362735499736907</v>
      </c>
    </row>
  </sheetData>
  <mergeCells count="2">
    <mergeCell ref="T22:AD22"/>
    <mergeCell ref="K73:O77"/>
  </mergeCells>
  <hyperlinks>
    <hyperlink ref="K37" r:id="rId2" xr:uid="{00000000-0004-0000-1C00-000000000000}"/>
  </hyperlinks>
  <pageMargins left="0.7" right="0.7" top="0.75" bottom="0.75" header="0.3" footer="0.3"/>
  <drawing r:id="rId3"/>
  <legacyDrawing r:id="rId4"/>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L199"/>
  <sheetViews>
    <sheetView topLeftCell="A84" workbookViewId="0">
      <selection activeCell="R107" sqref="R107"/>
    </sheetView>
  </sheetViews>
  <sheetFormatPr defaultColWidth="9.26953125" defaultRowHeight="12.5"/>
  <cols>
    <col min="1" max="1" width="12.7265625" style="16" customWidth="1"/>
    <col min="2" max="3" width="9.26953125" style="16"/>
    <col min="4" max="4" width="12.54296875" style="16" customWidth="1"/>
    <col min="5" max="10" width="9.26953125" style="16"/>
    <col min="11" max="11" width="13" style="16" customWidth="1"/>
    <col min="12" max="16384" width="9.26953125" style="16"/>
  </cols>
  <sheetData>
    <row r="1" spans="1:3">
      <c r="A1" s="16" t="s">
        <v>1832</v>
      </c>
    </row>
    <row r="2" spans="1:3">
      <c r="A2" s="16" t="s">
        <v>1833</v>
      </c>
      <c r="C2" s="64">
        <v>41540</v>
      </c>
    </row>
    <row r="3" spans="1:3">
      <c r="A3" s="16" t="s">
        <v>1834</v>
      </c>
      <c r="B3" s="16" t="s">
        <v>1835</v>
      </c>
    </row>
    <row r="4" spans="1:3">
      <c r="A4" s="16" t="s">
        <v>1836</v>
      </c>
      <c r="B4" s="16" t="s">
        <v>1837</v>
      </c>
    </row>
    <row r="5" spans="1:3">
      <c r="A5" s="16" t="s">
        <v>1838</v>
      </c>
      <c r="B5" s="16" t="s">
        <v>1839</v>
      </c>
    </row>
    <row r="6" spans="1:3">
      <c r="B6" s="16" t="s">
        <v>1840</v>
      </c>
      <c r="C6" s="16" t="s">
        <v>1841</v>
      </c>
    </row>
    <row r="7" spans="1:3">
      <c r="B7" s="16" t="s">
        <v>1842</v>
      </c>
    </row>
    <row r="8" spans="1:3">
      <c r="B8" s="16" t="s">
        <v>1843</v>
      </c>
    </row>
    <row r="9" spans="1:3">
      <c r="B9" s="16" t="s">
        <v>1844</v>
      </c>
    </row>
    <row r="10" spans="1:3">
      <c r="B10" s="16" t="s">
        <v>1845</v>
      </c>
    </row>
    <row r="11" spans="1:3">
      <c r="A11" s="16" t="s">
        <v>1846</v>
      </c>
      <c r="B11" s="16" t="s">
        <v>1847</v>
      </c>
    </row>
    <row r="12" spans="1:3">
      <c r="A12" s="16" t="s">
        <v>1848</v>
      </c>
      <c r="B12" s="16" t="s">
        <v>1849</v>
      </c>
    </row>
    <row r="13" spans="1:3">
      <c r="B13" s="16" t="s">
        <v>1850</v>
      </c>
    </row>
    <row r="14" spans="1:3">
      <c r="B14" s="16" t="s">
        <v>1851</v>
      </c>
    </row>
    <row r="20" spans="1:5">
      <c r="A20" s="16" t="s">
        <v>1852</v>
      </c>
    </row>
    <row r="21" spans="1:5">
      <c r="A21" s="16">
        <v>4</v>
      </c>
    </row>
    <row r="24" spans="1:5">
      <c r="A24" s="16" t="s">
        <v>1853</v>
      </c>
    </row>
    <row r="25" spans="1:5">
      <c r="A25" s="16" t="s">
        <v>1854</v>
      </c>
      <c r="B25" s="16" t="s">
        <v>1855</v>
      </c>
      <c r="C25" s="16" t="s">
        <v>1277</v>
      </c>
      <c r="D25" s="16" t="s">
        <v>1856</v>
      </c>
    </row>
    <row r="26" spans="1:5">
      <c r="A26" s="16">
        <v>1</v>
      </c>
      <c r="B26" s="16">
        <v>2</v>
      </c>
      <c r="C26" s="16">
        <v>3</v>
      </c>
      <c r="D26" s="16">
        <v>4</v>
      </c>
    </row>
    <row r="28" spans="1:5">
      <c r="A28" s="16" t="s">
        <v>1857</v>
      </c>
    </row>
    <row r="29" spans="1:5">
      <c r="A29" s="16" t="s">
        <v>1854</v>
      </c>
      <c r="B29" s="16" t="s">
        <v>1855</v>
      </c>
      <c r="C29" s="16" t="s">
        <v>1277</v>
      </c>
      <c r="D29" s="16" t="s">
        <v>1856</v>
      </c>
      <c r="E29" s="65" t="s">
        <v>1858</v>
      </c>
    </row>
    <row r="30" spans="1:5">
      <c r="A30" s="16">
        <v>3</v>
      </c>
      <c r="B30" s="16">
        <v>4</v>
      </c>
      <c r="C30" s="16">
        <v>3</v>
      </c>
      <c r="D30" s="16">
        <v>4</v>
      </c>
    </row>
    <row r="31" spans="1:5">
      <c r="A31" s="16">
        <v>6</v>
      </c>
      <c r="B31" s="16">
        <v>1</v>
      </c>
      <c r="C31" s="16">
        <v>1</v>
      </c>
      <c r="D31" s="16">
        <v>1</v>
      </c>
    </row>
    <row r="33" spans="1:12">
      <c r="A33" s="16" t="s">
        <v>1859</v>
      </c>
    </row>
    <row r="34" spans="1:12">
      <c r="A34" s="16" t="s">
        <v>1860</v>
      </c>
    </row>
    <row r="35" spans="1:12">
      <c r="A35" s="16" t="s">
        <v>1861</v>
      </c>
      <c r="B35" s="16" t="s">
        <v>1862</v>
      </c>
      <c r="C35" s="16" t="s">
        <v>1863</v>
      </c>
      <c r="D35" s="16" t="s">
        <v>1864</v>
      </c>
      <c r="E35" s="16" t="s">
        <v>1865</v>
      </c>
      <c r="F35" s="16" t="s">
        <v>1866</v>
      </c>
      <c r="G35" s="16" t="s">
        <v>1867</v>
      </c>
      <c r="H35" s="16" t="s">
        <v>1868</v>
      </c>
      <c r="I35" s="16" t="s">
        <v>1869</v>
      </c>
    </row>
    <row r="36" spans="1:12">
      <c r="A36" s="16">
        <v>2005</v>
      </c>
      <c r="B36" s="16">
        <v>2012</v>
      </c>
      <c r="C36" s="16">
        <v>0.33</v>
      </c>
      <c r="D36" s="16">
        <v>14.5</v>
      </c>
      <c r="E36" s="16">
        <v>57</v>
      </c>
      <c r="F36" s="16">
        <v>850</v>
      </c>
      <c r="G36" s="16">
        <v>100</v>
      </c>
      <c r="H36" s="16" t="s">
        <v>1854</v>
      </c>
      <c r="I36" s="16" t="s">
        <v>1870</v>
      </c>
      <c r="K36" s="16" t="s">
        <v>1871</v>
      </c>
      <c r="L36" s="16" t="s">
        <v>208</v>
      </c>
    </row>
    <row r="37" spans="1:12">
      <c r="A37" s="16">
        <v>2013</v>
      </c>
      <c r="B37" s="16">
        <v>2013</v>
      </c>
      <c r="C37" s="16">
        <v>0.74</v>
      </c>
      <c r="D37" s="16">
        <v>16.100000000000001</v>
      </c>
      <c r="E37" s="16">
        <v>52.5</v>
      </c>
      <c r="F37" s="16">
        <v>895</v>
      </c>
      <c r="G37" s="16">
        <v>100</v>
      </c>
      <c r="H37" s="16" t="s">
        <v>1854</v>
      </c>
      <c r="I37" s="16" t="s">
        <v>1870</v>
      </c>
    </row>
    <row r="38" spans="1:12">
      <c r="A38" s="16">
        <v>2014</v>
      </c>
      <c r="B38" s="16">
        <v>2019</v>
      </c>
      <c r="C38" s="16">
        <v>1.71</v>
      </c>
      <c r="D38" s="16">
        <v>19.8</v>
      </c>
      <c r="E38" s="16">
        <v>42</v>
      </c>
      <c r="F38" s="16">
        <v>1000</v>
      </c>
      <c r="G38" s="16">
        <v>100</v>
      </c>
      <c r="H38" s="16" t="s">
        <v>1854</v>
      </c>
      <c r="I38" s="16" t="s">
        <v>1870</v>
      </c>
      <c r="K38" s="16" t="s">
        <v>209</v>
      </c>
      <c r="L38" s="16" t="s">
        <v>210</v>
      </c>
    </row>
    <row r="39" spans="1:12">
      <c r="A39" s="16">
        <v>2020</v>
      </c>
      <c r="B39" s="16">
        <v>2050</v>
      </c>
      <c r="C39" s="16">
        <v>99</v>
      </c>
      <c r="D39" s="16">
        <v>99</v>
      </c>
      <c r="E39" s="16">
        <v>99</v>
      </c>
      <c r="F39" s="16">
        <v>9999</v>
      </c>
      <c r="G39" s="16">
        <v>100</v>
      </c>
      <c r="H39" s="16" t="s">
        <v>1854</v>
      </c>
      <c r="I39" s="16" t="s">
        <v>1870</v>
      </c>
    </row>
    <row r="40" spans="1:12">
      <c r="A40" s="16" t="s">
        <v>1872</v>
      </c>
    </row>
    <row r="41" spans="1:12">
      <c r="A41" s="16">
        <v>2009</v>
      </c>
      <c r="B41" s="16">
        <v>2010</v>
      </c>
      <c r="C41" s="16">
        <v>3.07</v>
      </c>
      <c r="D41" s="16">
        <v>67.2</v>
      </c>
      <c r="E41" s="16">
        <v>13</v>
      </c>
      <c r="F41" s="16">
        <v>10000</v>
      </c>
      <c r="G41" s="16">
        <v>82</v>
      </c>
      <c r="H41" s="16" t="s">
        <v>1854</v>
      </c>
      <c r="I41" s="16" t="s">
        <v>1276</v>
      </c>
      <c r="K41" s="16" t="s">
        <v>1873</v>
      </c>
      <c r="L41" s="16" t="s">
        <v>214</v>
      </c>
    </row>
    <row r="42" spans="1:12">
      <c r="A42" s="16">
        <v>2011</v>
      </c>
      <c r="B42" s="16">
        <v>2019</v>
      </c>
      <c r="C42" s="16">
        <v>2.33</v>
      </c>
      <c r="D42" s="16">
        <v>67.2</v>
      </c>
      <c r="E42" s="16">
        <v>13</v>
      </c>
      <c r="F42" s="16">
        <v>10000</v>
      </c>
      <c r="G42" s="16">
        <v>82</v>
      </c>
      <c r="H42" s="16" t="s">
        <v>1854</v>
      </c>
      <c r="I42" s="16" t="s">
        <v>1276</v>
      </c>
      <c r="K42" s="16" t="s">
        <v>215</v>
      </c>
      <c r="L42" s="16" t="s">
        <v>216</v>
      </c>
    </row>
    <row r="43" spans="1:12">
      <c r="A43" s="16">
        <v>2020</v>
      </c>
      <c r="B43" s="16">
        <v>2029</v>
      </c>
      <c r="C43" s="16">
        <v>2.27</v>
      </c>
      <c r="D43" s="16">
        <v>69</v>
      </c>
      <c r="E43" s="16">
        <v>13</v>
      </c>
      <c r="F43" s="16">
        <v>10000</v>
      </c>
      <c r="G43" s="16">
        <v>82</v>
      </c>
      <c r="H43" s="16" t="s">
        <v>1854</v>
      </c>
      <c r="I43" s="16" t="s">
        <v>1276</v>
      </c>
      <c r="K43" s="16" t="s">
        <v>217</v>
      </c>
      <c r="L43" s="16" t="s">
        <v>218</v>
      </c>
    </row>
    <row r="44" spans="1:12">
      <c r="A44" s="16">
        <v>2030</v>
      </c>
      <c r="B44" s="16">
        <v>2039</v>
      </c>
      <c r="C44" s="16">
        <v>2.21</v>
      </c>
      <c r="D44" s="16">
        <v>70.7</v>
      </c>
      <c r="E44" s="16">
        <v>13</v>
      </c>
      <c r="F44" s="16">
        <v>10000</v>
      </c>
      <c r="G44" s="16">
        <v>82</v>
      </c>
      <c r="H44" s="16" t="s">
        <v>1854</v>
      </c>
      <c r="I44" s="16" t="s">
        <v>1276</v>
      </c>
      <c r="K44" s="16" t="s">
        <v>220</v>
      </c>
      <c r="L44" s="16" t="s">
        <v>221</v>
      </c>
    </row>
    <row r="45" spans="1:12">
      <c r="A45" s="16">
        <v>2040</v>
      </c>
      <c r="B45" s="16">
        <v>2050</v>
      </c>
      <c r="C45" s="16">
        <v>2.16</v>
      </c>
      <c r="D45" s="16">
        <v>72.5</v>
      </c>
      <c r="E45" s="16">
        <v>13</v>
      </c>
      <c r="F45" s="16">
        <v>10000</v>
      </c>
      <c r="G45" s="16">
        <v>82</v>
      </c>
      <c r="H45" s="16" t="s">
        <v>1854</v>
      </c>
      <c r="I45" s="16" t="s">
        <v>1276</v>
      </c>
      <c r="K45" s="16" t="s">
        <v>223</v>
      </c>
      <c r="L45" s="16" t="s">
        <v>224</v>
      </c>
    </row>
    <row r="46" spans="1:12">
      <c r="A46" s="16" t="s">
        <v>1872</v>
      </c>
    </row>
    <row r="47" spans="1:12">
      <c r="A47" s="16">
        <v>2005</v>
      </c>
      <c r="B47" s="16">
        <v>2010</v>
      </c>
      <c r="C47" s="16">
        <v>66.58</v>
      </c>
      <c r="D47" s="16">
        <v>44</v>
      </c>
      <c r="E47" s="16">
        <v>18</v>
      </c>
      <c r="F47" s="16">
        <v>20000</v>
      </c>
      <c r="G47" s="16">
        <v>92</v>
      </c>
      <c r="H47" s="16" t="s">
        <v>1854</v>
      </c>
      <c r="I47" s="16" t="s">
        <v>1749</v>
      </c>
    </row>
    <row r="48" spans="1:12">
      <c r="A48" s="16">
        <v>2011</v>
      </c>
      <c r="B48" s="16">
        <v>2011</v>
      </c>
      <c r="C48" s="16">
        <v>25.85</v>
      </c>
      <c r="D48" s="16">
        <v>60</v>
      </c>
      <c r="E48" s="16">
        <v>13</v>
      </c>
      <c r="F48" s="16">
        <v>25000</v>
      </c>
      <c r="G48" s="16">
        <v>92</v>
      </c>
      <c r="H48" s="16" t="s">
        <v>1854</v>
      </c>
      <c r="I48" s="16" t="s">
        <v>1749</v>
      </c>
      <c r="K48" s="16" t="s">
        <v>1874</v>
      </c>
      <c r="L48" s="16" t="s">
        <v>227</v>
      </c>
    </row>
    <row r="49" spans="1:12">
      <c r="A49" s="16">
        <v>2012</v>
      </c>
      <c r="B49" s="16">
        <v>2012</v>
      </c>
      <c r="C49" s="16">
        <v>19.07</v>
      </c>
      <c r="D49" s="16">
        <v>66.8</v>
      </c>
      <c r="E49" s="16">
        <v>11.7</v>
      </c>
      <c r="F49" s="16">
        <v>27001</v>
      </c>
      <c r="G49" s="16">
        <v>92</v>
      </c>
      <c r="H49" s="16" t="s">
        <v>1854</v>
      </c>
      <c r="I49" s="16" t="s">
        <v>1749</v>
      </c>
    </row>
    <row r="50" spans="1:12">
      <c r="A50" s="16">
        <v>2013</v>
      </c>
      <c r="B50" s="16">
        <v>2013</v>
      </c>
      <c r="C50" s="16">
        <v>14.07</v>
      </c>
      <c r="D50" s="16">
        <v>74.3</v>
      </c>
      <c r="E50" s="16">
        <v>10.5</v>
      </c>
      <c r="F50" s="16">
        <v>29163</v>
      </c>
      <c r="G50" s="16">
        <v>92</v>
      </c>
      <c r="H50" s="16" t="s">
        <v>1854</v>
      </c>
      <c r="I50" s="16" t="s">
        <v>1749</v>
      </c>
    </row>
    <row r="51" spans="1:12">
      <c r="A51" s="16">
        <v>2014</v>
      </c>
      <c r="B51" s="16">
        <v>2014</v>
      </c>
      <c r="C51" s="16">
        <v>10.38</v>
      </c>
      <c r="D51" s="16">
        <v>82.7</v>
      </c>
      <c r="E51" s="16">
        <v>9.5</v>
      </c>
      <c r="F51" s="16">
        <v>31498</v>
      </c>
      <c r="G51" s="16">
        <v>92</v>
      </c>
      <c r="H51" s="16" t="s">
        <v>1854</v>
      </c>
      <c r="I51" s="16" t="s">
        <v>1749</v>
      </c>
    </row>
    <row r="52" spans="1:12">
      <c r="A52" s="16">
        <v>2015</v>
      </c>
      <c r="B52" s="16">
        <v>2015</v>
      </c>
      <c r="C52" s="16">
        <v>7.66</v>
      </c>
      <c r="D52" s="16">
        <v>92</v>
      </c>
      <c r="E52" s="16">
        <v>8.5</v>
      </c>
      <c r="F52" s="16">
        <v>34020</v>
      </c>
      <c r="G52" s="16">
        <v>92</v>
      </c>
      <c r="H52" s="16" t="s">
        <v>1854</v>
      </c>
      <c r="I52" s="16" t="s">
        <v>1749</v>
      </c>
      <c r="K52" s="16" t="s">
        <v>228</v>
      </c>
      <c r="L52" s="16" t="s">
        <v>229</v>
      </c>
    </row>
    <row r="53" spans="1:12">
      <c r="A53" s="16">
        <v>2016</v>
      </c>
      <c r="B53" s="16">
        <v>2016</v>
      </c>
      <c r="C53" s="16">
        <v>6.7</v>
      </c>
      <c r="D53" s="16">
        <v>102.4</v>
      </c>
      <c r="E53" s="16">
        <v>7.6</v>
      </c>
      <c r="F53" s="16">
        <v>36743</v>
      </c>
      <c r="G53" s="16">
        <v>92</v>
      </c>
      <c r="H53" s="16" t="s">
        <v>1854</v>
      </c>
      <c r="I53" s="16" t="s">
        <v>1749</v>
      </c>
    </row>
    <row r="54" spans="1:12">
      <c r="A54" s="16">
        <v>2017</v>
      </c>
      <c r="B54" s="16">
        <v>2017</v>
      </c>
      <c r="C54" s="16">
        <v>5.86</v>
      </c>
      <c r="D54" s="16">
        <v>113.9</v>
      </c>
      <c r="E54" s="16">
        <v>6.9</v>
      </c>
      <c r="F54" s="16">
        <v>39685</v>
      </c>
      <c r="G54" s="16">
        <v>92</v>
      </c>
      <c r="H54" s="16" t="s">
        <v>1854</v>
      </c>
      <c r="I54" s="16" t="s">
        <v>1749</v>
      </c>
    </row>
    <row r="55" spans="1:12">
      <c r="A55" s="16">
        <v>2018</v>
      </c>
      <c r="B55" s="16">
        <v>2018</v>
      </c>
      <c r="C55" s="16">
        <v>5.12</v>
      </c>
      <c r="D55" s="16">
        <v>126.8</v>
      </c>
      <c r="E55" s="16">
        <v>6.2</v>
      </c>
      <c r="F55" s="16">
        <v>42862</v>
      </c>
      <c r="G55" s="16">
        <v>92</v>
      </c>
      <c r="H55" s="16" t="s">
        <v>1854</v>
      </c>
      <c r="I55" s="16" t="s">
        <v>1749</v>
      </c>
    </row>
    <row r="56" spans="1:12">
      <c r="A56" s="16">
        <v>2019</v>
      </c>
      <c r="B56" s="16">
        <v>2019</v>
      </c>
      <c r="C56" s="16">
        <v>4.47</v>
      </c>
      <c r="D56" s="16">
        <v>141.1</v>
      </c>
      <c r="E56" s="16">
        <v>5.6</v>
      </c>
      <c r="F56" s="16">
        <v>46294</v>
      </c>
      <c r="G56" s="16">
        <v>92</v>
      </c>
      <c r="H56" s="16" t="s">
        <v>1854</v>
      </c>
      <c r="I56" s="16" t="s">
        <v>1749</v>
      </c>
    </row>
    <row r="57" spans="1:12">
      <c r="A57" s="16">
        <v>2020</v>
      </c>
      <c r="B57" s="16">
        <v>2024</v>
      </c>
      <c r="C57" s="16">
        <v>3.92</v>
      </c>
      <c r="D57" s="16">
        <v>157</v>
      </c>
      <c r="E57" s="16">
        <v>5</v>
      </c>
      <c r="F57" s="16">
        <v>50000</v>
      </c>
      <c r="G57" s="16">
        <v>95</v>
      </c>
      <c r="H57" s="16" t="s">
        <v>1854</v>
      </c>
      <c r="I57" s="16" t="s">
        <v>1749</v>
      </c>
      <c r="K57" s="16" t="s">
        <v>230</v>
      </c>
      <c r="L57" s="16" t="s">
        <v>231</v>
      </c>
    </row>
    <row r="58" spans="1:12">
      <c r="A58" s="16">
        <v>2025</v>
      </c>
      <c r="B58" s="16">
        <v>2029</v>
      </c>
      <c r="C58" s="16">
        <v>2.79</v>
      </c>
      <c r="D58" s="16">
        <v>179.5</v>
      </c>
      <c r="E58" s="16">
        <v>4.5</v>
      </c>
      <c r="F58" s="16">
        <v>50000</v>
      </c>
      <c r="G58" s="16">
        <v>97</v>
      </c>
      <c r="H58" s="16" t="s">
        <v>1854</v>
      </c>
      <c r="I58" s="16" t="s">
        <v>1749</v>
      </c>
      <c r="K58" s="16" t="s">
        <v>232</v>
      </c>
      <c r="L58" s="16" t="s">
        <v>233</v>
      </c>
    </row>
    <row r="59" spans="1:12">
      <c r="A59" s="16">
        <v>2030</v>
      </c>
      <c r="B59" s="16">
        <v>2039</v>
      </c>
      <c r="C59" s="16">
        <v>2.35</v>
      </c>
      <c r="D59" s="16">
        <v>202</v>
      </c>
      <c r="E59" s="16">
        <v>4</v>
      </c>
      <c r="F59" s="16">
        <v>50000</v>
      </c>
      <c r="G59" s="16">
        <v>98</v>
      </c>
      <c r="H59" s="16" t="s">
        <v>1854</v>
      </c>
      <c r="I59" s="16" t="s">
        <v>1749</v>
      </c>
      <c r="K59" s="16" t="s">
        <v>235</v>
      </c>
      <c r="L59" s="16" t="s">
        <v>236</v>
      </c>
    </row>
    <row r="60" spans="1:12">
      <c r="A60" s="16">
        <v>2040</v>
      </c>
      <c r="B60" s="16">
        <v>2050</v>
      </c>
      <c r="C60" s="16">
        <v>2.35</v>
      </c>
      <c r="D60" s="16">
        <v>202</v>
      </c>
      <c r="E60" s="16">
        <v>4</v>
      </c>
      <c r="F60" s="16">
        <v>50000</v>
      </c>
      <c r="G60" s="16">
        <v>99</v>
      </c>
      <c r="H60" s="16" t="s">
        <v>1854</v>
      </c>
      <c r="I60" s="16" t="s">
        <v>1749</v>
      </c>
      <c r="K60" s="16" t="s">
        <v>237</v>
      </c>
      <c r="L60" s="16" t="s">
        <v>238</v>
      </c>
    </row>
    <row r="62" spans="1:12">
      <c r="A62" s="16">
        <v>2005</v>
      </c>
      <c r="B62" s="16">
        <v>2019</v>
      </c>
      <c r="C62" s="16">
        <v>3.31</v>
      </c>
      <c r="D62" s="16">
        <v>9.6999999999999993</v>
      </c>
      <c r="E62" s="16">
        <v>65</v>
      </c>
      <c r="F62" s="16">
        <v>850</v>
      </c>
      <c r="G62" s="16">
        <v>100</v>
      </c>
      <c r="H62" s="16" t="s">
        <v>1855</v>
      </c>
      <c r="I62" s="16" t="s">
        <v>1870</v>
      </c>
      <c r="K62" s="16" t="s">
        <v>1875</v>
      </c>
      <c r="L62" s="16" t="s">
        <v>240</v>
      </c>
    </row>
    <row r="63" spans="1:12">
      <c r="A63" s="16">
        <v>2020</v>
      </c>
      <c r="B63" s="16">
        <v>2029</v>
      </c>
      <c r="C63" s="16">
        <v>3.23</v>
      </c>
      <c r="D63" s="16">
        <v>9.8000000000000007</v>
      </c>
      <c r="E63" s="16">
        <v>65</v>
      </c>
      <c r="F63" s="16">
        <v>850</v>
      </c>
      <c r="G63" s="16">
        <v>100</v>
      </c>
      <c r="H63" s="16" t="s">
        <v>1855</v>
      </c>
      <c r="I63" s="16" t="s">
        <v>1870</v>
      </c>
      <c r="K63" s="16" t="s">
        <v>241</v>
      </c>
      <c r="L63" s="16" t="s">
        <v>242</v>
      </c>
    </row>
    <row r="64" spans="1:12">
      <c r="A64" s="16">
        <v>2030</v>
      </c>
      <c r="B64" s="16">
        <v>2039</v>
      </c>
      <c r="C64" s="16">
        <v>3.14</v>
      </c>
      <c r="D64" s="16">
        <v>9.9</v>
      </c>
      <c r="E64" s="16">
        <v>65</v>
      </c>
      <c r="F64" s="16">
        <v>850</v>
      </c>
      <c r="G64" s="16">
        <v>100</v>
      </c>
      <c r="H64" s="16" t="s">
        <v>1855</v>
      </c>
      <c r="I64" s="16" t="s">
        <v>1870</v>
      </c>
      <c r="K64" s="16" t="s">
        <v>243</v>
      </c>
      <c r="L64" s="16" t="s">
        <v>244</v>
      </c>
    </row>
    <row r="65" spans="1:12">
      <c r="A65" s="16">
        <v>2040</v>
      </c>
      <c r="B65" s="16">
        <v>2050</v>
      </c>
      <c r="C65" s="16">
        <v>3.06</v>
      </c>
      <c r="D65" s="16">
        <v>10</v>
      </c>
      <c r="E65" s="16">
        <v>65</v>
      </c>
      <c r="F65" s="16">
        <v>850</v>
      </c>
      <c r="G65" s="16">
        <v>100</v>
      </c>
      <c r="H65" s="16" t="s">
        <v>1855</v>
      </c>
      <c r="I65" s="16" t="s">
        <v>1870</v>
      </c>
      <c r="K65" s="16" t="s">
        <v>245</v>
      </c>
      <c r="L65" s="16" t="s">
        <v>246</v>
      </c>
    </row>
    <row r="66" spans="1:12">
      <c r="A66" s="16" t="s">
        <v>1872</v>
      </c>
    </row>
    <row r="67" spans="1:12">
      <c r="A67" s="16">
        <v>2005</v>
      </c>
      <c r="B67" s="16">
        <v>2019</v>
      </c>
      <c r="C67" s="16">
        <v>6.23</v>
      </c>
      <c r="D67" s="16">
        <v>48</v>
      </c>
      <c r="E67" s="16">
        <v>15</v>
      </c>
      <c r="F67" s="16">
        <v>8000</v>
      </c>
      <c r="G67" s="16">
        <v>82</v>
      </c>
      <c r="H67" s="16" t="s">
        <v>1855</v>
      </c>
      <c r="I67" s="16" t="s">
        <v>1276</v>
      </c>
      <c r="K67" s="16" t="s">
        <v>1876</v>
      </c>
      <c r="L67" s="16" t="s">
        <v>248</v>
      </c>
    </row>
    <row r="68" spans="1:12">
      <c r="A68" s="16">
        <v>2020</v>
      </c>
      <c r="B68" s="16">
        <v>2029</v>
      </c>
      <c r="C68" s="16">
        <v>6.07</v>
      </c>
      <c r="D68" s="16">
        <v>50.4</v>
      </c>
      <c r="E68" s="16">
        <v>15</v>
      </c>
      <c r="F68" s="16">
        <v>8000</v>
      </c>
      <c r="G68" s="16">
        <v>83</v>
      </c>
      <c r="H68" s="16" t="s">
        <v>1855</v>
      </c>
      <c r="I68" s="16" t="s">
        <v>1276</v>
      </c>
      <c r="K68" s="16" t="s">
        <v>249</v>
      </c>
      <c r="L68" s="16" t="s">
        <v>250</v>
      </c>
    </row>
    <row r="69" spans="1:12">
      <c r="A69" s="16">
        <v>2030</v>
      </c>
      <c r="B69" s="16">
        <v>2039</v>
      </c>
      <c r="C69" s="16">
        <v>5.92</v>
      </c>
      <c r="D69" s="16">
        <v>42.9</v>
      </c>
      <c r="E69" s="16">
        <v>15</v>
      </c>
      <c r="F69" s="16">
        <v>8000</v>
      </c>
      <c r="G69" s="16">
        <v>84</v>
      </c>
      <c r="H69" s="16" t="s">
        <v>1855</v>
      </c>
      <c r="I69" s="16" t="s">
        <v>1276</v>
      </c>
      <c r="K69" s="16" t="s">
        <v>251</v>
      </c>
      <c r="L69" s="16" t="s">
        <v>252</v>
      </c>
    </row>
    <row r="70" spans="1:12">
      <c r="A70" s="16">
        <v>2040</v>
      </c>
      <c r="B70" s="16">
        <v>2050</v>
      </c>
      <c r="C70" s="16">
        <v>5.77</v>
      </c>
      <c r="D70" s="16">
        <v>55.6</v>
      </c>
      <c r="E70" s="16">
        <v>15</v>
      </c>
      <c r="F70" s="16">
        <v>9000</v>
      </c>
      <c r="G70" s="16">
        <v>85</v>
      </c>
      <c r="H70" s="16" t="s">
        <v>1855</v>
      </c>
      <c r="I70" s="16" t="s">
        <v>1276</v>
      </c>
      <c r="K70" s="16" t="s">
        <v>253</v>
      </c>
      <c r="L70" s="16" t="s">
        <v>254</v>
      </c>
    </row>
    <row r="71" spans="1:12">
      <c r="A71" s="16" t="s">
        <v>1872</v>
      </c>
    </row>
    <row r="72" spans="1:12">
      <c r="A72" s="16">
        <v>2005</v>
      </c>
      <c r="B72" s="16">
        <v>2019</v>
      </c>
      <c r="C72" s="16">
        <v>5.99</v>
      </c>
      <c r="D72" s="16">
        <v>12.6</v>
      </c>
      <c r="E72" s="16">
        <v>50</v>
      </c>
      <c r="F72" s="16">
        <v>3000</v>
      </c>
      <c r="G72" s="16">
        <v>100</v>
      </c>
      <c r="H72" s="16" t="s">
        <v>1855</v>
      </c>
      <c r="I72" s="16" t="s">
        <v>1877</v>
      </c>
      <c r="K72" s="16" t="s">
        <v>1878</v>
      </c>
      <c r="L72" s="16" t="s">
        <v>256</v>
      </c>
    </row>
    <row r="73" spans="1:12">
      <c r="A73" s="16">
        <v>2020</v>
      </c>
      <c r="B73" s="16">
        <v>2029</v>
      </c>
      <c r="C73" s="16">
        <v>5.85</v>
      </c>
      <c r="D73" s="16">
        <v>13.2</v>
      </c>
      <c r="E73" s="16">
        <v>50</v>
      </c>
      <c r="F73" s="16">
        <v>3000</v>
      </c>
      <c r="G73" s="16">
        <v>100</v>
      </c>
      <c r="H73" s="16" t="s">
        <v>1855</v>
      </c>
      <c r="I73" s="16" t="s">
        <v>1877</v>
      </c>
      <c r="K73" s="16" t="s">
        <v>257</v>
      </c>
      <c r="L73" s="16" t="s">
        <v>258</v>
      </c>
    </row>
    <row r="74" spans="1:12">
      <c r="A74" s="16">
        <v>2030</v>
      </c>
      <c r="B74" s="16">
        <v>2039</v>
      </c>
      <c r="C74" s="16">
        <v>5.7</v>
      </c>
      <c r="D74" s="16">
        <v>13.9</v>
      </c>
      <c r="E74" s="16">
        <v>50</v>
      </c>
      <c r="F74" s="16">
        <v>3000</v>
      </c>
      <c r="G74" s="16">
        <v>100</v>
      </c>
      <c r="H74" s="16" t="s">
        <v>1855</v>
      </c>
      <c r="I74" s="16" t="s">
        <v>1877</v>
      </c>
      <c r="K74" s="16" t="s">
        <v>259</v>
      </c>
      <c r="L74" s="16" t="s">
        <v>260</v>
      </c>
    </row>
    <row r="75" spans="1:12">
      <c r="A75" s="16">
        <v>2040</v>
      </c>
      <c r="B75" s="16">
        <v>2050</v>
      </c>
      <c r="C75" s="16">
        <v>5.55</v>
      </c>
      <c r="D75" s="16">
        <v>14.6</v>
      </c>
      <c r="E75" s="16">
        <v>50</v>
      </c>
      <c r="F75" s="16">
        <v>3000</v>
      </c>
      <c r="G75" s="16">
        <v>100</v>
      </c>
      <c r="H75" s="16" t="s">
        <v>1855</v>
      </c>
      <c r="I75" s="16" t="s">
        <v>1877</v>
      </c>
      <c r="K75" s="16" t="s">
        <v>261</v>
      </c>
      <c r="L75" s="16" t="s">
        <v>262</v>
      </c>
    </row>
    <row r="76" spans="1:12">
      <c r="A76" s="16" t="s">
        <v>1872</v>
      </c>
    </row>
    <row r="77" spans="1:12">
      <c r="A77" s="16">
        <v>2005</v>
      </c>
      <c r="B77" s="16">
        <v>2010</v>
      </c>
      <c r="C77" s="16">
        <v>160.58000000000001</v>
      </c>
      <c r="D77" s="16">
        <v>36</v>
      </c>
      <c r="E77" s="16">
        <v>28</v>
      </c>
      <c r="F77" s="16">
        <v>10000</v>
      </c>
      <c r="G77" s="16">
        <v>92</v>
      </c>
      <c r="H77" s="16" t="s">
        <v>1855</v>
      </c>
      <c r="I77" s="16" t="s">
        <v>1749</v>
      </c>
    </row>
    <row r="78" spans="1:12">
      <c r="A78" s="16">
        <v>2011</v>
      </c>
      <c r="B78" s="16">
        <v>2011</v>
      </c>
      <c r="C78" s="16">
        <v>49.93</v>
      </c>
      <c r="D78" s="16">
        <v>50</v>
      </c>
      <c r="E78" s="16">
        <v>20</v>
      </c>
      <c r="F78" s="16">
        <v>25000</v>
      </c>
      <c r="G78" s="16">
        <v>92</v>
      </c>
      <c r="H78" s="16" t="s">
        <v>1855</v>
      </c>
      <c r="I78" s="16" t="s">
        <v>1749</v>
      </c>
      <c r="K78" s="16" t="s">
        <v>1879</v>
      </c>
      <c r="L78" s="16" t="s">
        <v>264</v>
      </c>
    </row>
    <row r="79" spans="1:12">
      <c r="A79" s="16">
        <v>2012</v>
      </c>
      <c r="B79" s="16">
        <v>2012</v>
      </c>
      <c r="C79" s="16">
        <v>40.049999999999997</v>
      </c>
      <c r="D79" s="16">
        <v>56.8</v>
      </c>
      <c r="E79" s="16">
        <v>17.5</v>
      </c>
      <c r="F79" s="16">
        <v>27001</v>
      </c>
      <c r="G79" s="16">
        <v>92</v>
      </c>
      <c r="H79" s="16" t="s">
        <v>1855</v>
      </c>
      <c r="I79" s="16" t="s">
        <v>1749</v>
      </c>
    </row>
    <row r="80" spans="1:12">
      <c r="A80" s="16">
        <v>2013</v>
      </c>
      <c r="B80" s="16">
        <v>2013</v>
      </c>
      <c r="C80" s="16">
        <v>32.119999999999997</v>
      </c>
      <c r="D80" s="16">
        <v>64.5</v>
      </c>
      <c r="E80" s="16">
        <v>15.3</v>
      </c>
      <c r="F80" s="16">
        <v>29163</v>
      </c>
      <c r="G80" s="16">
        <v>92</v>
      </c>
      <c r="H80" s="16" t="s">
        <v>1855</v>
      </c>
      <c r="I80" s="16" t="s">
        <v>1749</v>
      </c>
    </row>
    <row r="81" spans="1:12">
      <c r="A81" s="16">
        <v>2014</v>
      </c>
      <c r="B81" s="16">
        <v>2014</v>
      </c>
      <c r="C81" s="16">
        <v>25.76</v>
      </c>
      <c r="D81" s="16">
        <v>73.2</v>
      </c>
      <c r="E81" s="16">
        <v>13.4</v>
      </c>
      <c r="F81" s="16">
        <v>31498</v>
      </c>
      <c r="G81" s="16">
        <v>92</v>
      </c>
      <c r="H81" s="16" t="s">
        <v>1855</v>
      </c>
      <c r="I81" s="16" t="s">
        <v>1749</v>
      </c>
    </row>
    <row r="82" spans="1:12">
      <c r="A82" s="16">
        <v>2015</v>
      </c>
      <c r="B82" s="16">
        <v>2015</v>
      </c>
      <c r="C82" s="16">
        <v>20.66</v>
      </c>
      <c r="D82" s="16">
        <v>83.1</v>
      </c>
      <c r="E82" s="16">
        <v>11.7</v>
      </c>
      <c r="F82" s="16">
        <v>34020</v>
      </c>
      <c r="G82" s="16">
        <v>92</v>
      </c>
      <c r="H82" s="16" t="s">
        <v>1855</v>
      </c>
      <c r="I82" s="16" t="s">
        <v>1749</v>
      </c>
      <c r="K82" s="16" t="s">
        <v>265</v>
      </c>
      <c r="L82" s="16" t="s">
        <v>266</v>
      </c>
    </row>
    <row r="83" spans="1:12">
      <c r="A83" s="16">
        <v>2016</v>
      </c>
      <c r="B83" s="16">
        <v>2016</v>
      </c>
      <c r="C83" s="16">
        <v>16.57</v>
      </c>
      <c r="D83" s="16">
        <v>94.4</v>
      </c>
      <c r="E83" s="16">
        <v>10.199999999999999</v>
      </c>
      <c r="F83" s="16">
        <v>36743</v>
      </c>
      <c r="G83" s="16">
        <v>92</v>
      </c>
      <c r="H83" s="16" t="s">
        <v>1855</v>
      </c>
      <c r="I83" s="16" t="s">
        <v>1749</v>
      </c>
    </row>
    <row r="84" spans="1:12">
      <c r="A84" s="16">
        <v>2017</v>
      </c>
      <c r="B84" s="16">
        <v>2017</v>
      </c>
      <c r="C84" s="16">
        <v>13.29</v>
      </c>
      <c r="D84" s="16">
        <v>107.2</v>
      </c>
      <c r="E84" s="16">
        <v>9</v>
      </c>
      <c r="F84" s="16">
        <v>39685</v>
      </c>
      <c r="G84" s="16">
        <v>92</v>
      </c>
      <c r="H84" s="16" t="s">
        <v>1855</v>
      </c>
      <c r="I84" s="16" t="s">
        <v>1749</v>
      </c>
    </row>
    <row r="85" spans="1:12">
      <c r="A85" s="16">
        <v>2018</v>
      </c>
      <c r="B85" s="16">
        <v>2018</v>
      </c>
      <c r="C85" s="16">
        <v>10.65</v>
      </c>
      <c r="D85" s="16">
        <v>121.8</v>
      </c>
      <c r="E85" s="16">
        <v>7.8</v>
      </c>
      <c r="F85" s="16">
        <v>42862</v>
      </c>
      <c r="G85" s="16">
        <v>92</v>
      </c>
      <c r="H85" s="16" t="s">
        <v>1855</v>
      </c>
      <c r="I85" s="16" t="s">
        <v>1749</v>
      </c>
    </row>
    <row r="86" spans="1:12">
      <c r="A86" s="16">
        <v>2019</v>
      </c>
      <c r="B86" s="16">
        <v>2019</v>
      </c>
      <c r="C86" s="16">
        <v>8.5500000000000007</v>
      </c>
      <c r="D86" s="16">
        <v>138.30000000000001</v>
      </c>
      <c r="E86" s="16">
        <v>6.9</v>
      </c>
      <c r="F86" s="16">
        <v>46294</v>
      </c>
      <c r="G86" s="16">
        <v>92</v>
      </c>
      <c r="H86" s="16" t="s">
        <v>1855</v>
      </c>
      <c r="I86" s="16" t="s">
        <v>1749</v>
      </c>
    </row>
    <row r="87" spans="1:12">
      <c r="A87" s="16">
        <v>2020</v>
      </c>
      <c r="B87" s="16">
        <v>2024</v>
      </c>
      <c r="C87" s="16">
        <v>6.85</v>
      </c>
      <c r="D87" s="16">
        <v>157</v>
      </c>
      <c r="E87" s="16">
        <v>6</v>
      </c>
      <c r="F87" s="16">
        <v>50000</v>
      </c>
      <c r="G87" s="16">
        <v>95</v>
      </c>
      <c r="H87" s="16" t="s">
        <v>1855</v>
      </c>
      <c r="I87" s="16" t="s">
        <v>1749</v>
      </c>
      <c r="K87" s="16" t="s">
        <v>267</v>
      </c>
      <c r="L87" s="16" t="s">
        <v>268</v>
      </c>
    </row>
    <row r="88" spans="1:12">
      <c r="A88" s="16">
        <v>2025</v>
      </c>
      <c r="B88" s="16">
        <v>2029</v>
      </c>
      <c r="C88" s="16">
        <v>5.87</v>
      </c>
      <c r="D88" s="16">
        <v>180</v>
      </c>
      <c r="E88" s="16">
        <v>5.5</v>
      </c>
      <c r="F88" s="16">
        <v>50000</v>
      </c>
      <c r="G88" s="16">
        <v>97</v>
      </c>
      <c r="H88" s="16" t="s">
        <v>1855</v>
      </c>
      <c r="I88" s="16" t="s">
        <v>1749</v>
      </c>
      <c r="K88" s="16" t="s">
        <v>269</v>
      </c>
      <c r="L88" s="16" t="s">
        <v>270</v>
      </c>
    </row>
    <row r="89" spans="1:12">
      <c r="A89" s="16">
        <v>2030</v>
      </c>
      <c r="B89" s="16">
        <v>2039</v>
      </c>
      <c r="C89" s="16">
        <v>4.9000000000000004</v>
      </c>
      <c r="D89" s="16">
        <v>202</v>
      </c>
      <c r="E89" s="16">
        <v>5</v>
      </c>
      <c r="F89" s="16">
        <v>50000</v>
      </c>
      <c r="G89" s="16">
        <v>98</v>
      </c>
      <c r="H89" s="16" t="s">
        <v>1855</v>
      </c>
      <c r="I89" s="16" t="s">
        <v>1749</v>
      </c>
      <c r="K89" s="16" t="s">
        <v>271</v>
      </c>
      <c r="L89" s="16" t="s">
        <v>272</v>
      </c>
    </row>
    <row r="90" spans="1:12">
      <c r="A90" s="16">
        <v>2040</v>
      </c>
      <c r="B90" s="16">
        <v>2050</v>
      </c>
      <c r="C90" s="16">
        <v>4.9000000000000004</v>
      </c>
      <c r="D90" s="16">
        <v>202</v>
      </c>
      <c r="E90" s="16">
        <v>5</v>
      </c>
      <c r="F90" s="16">
        <v>50000</v>
      </c>
      <c r="G90" s="16">
        <v>98</v>
      </c>
      <c r="H90" s="16" t="s">
        <v>1855</v>
      </c>
      <c r="I90" s="16" t="s">
        <v>1749</v>
      </c>
    </row>
    <row r="91" spans="1:12">
      <c r="A91" s="16" t="s">
        <v>1872</v>
      </c>
    </row>
    <row r="92" spans="1:12">
      <c r="A92" s="16">
        <v>2005</v>
      </c>
      <c r="B92" s="16">
        <v>2019</v>
      </c>
      <c r="C92" s="16">
        <v>5.79</v>
      </c>
      <c r="D92" s="16">
        <v>63.1</v>
      </c>
      <c r="E92" s="16">
        <v>35</v>
      </c>
      <c r="F92" s="16">
        <v>24000</v>
      </c>
      <c r="G92" s="16">
        <v>82</v>
      </c>
      <c r="H92" s="16" t="s">
        <v>1277</v>
      </c>
      <c r="I92" s="16" t="s">
        <v>1880</v>
      </c>
      <c r="K92" s="16" t="s">
        <v>1881</v>
      </c>
      <c r="L92" s="16" t="s">
        <v>274</v>
      </c>
    </row>
    <row r="93" spans="1:12">
      <c r="A93" s="16">
        <v>2020</v>
      </c>
      <c r="B93" s="16">
        <v>2050</v>
      </c>
      <c r="C93" s="16">
        <v>96.9</v>
      </c>
      <c r="D93" s="16">
        <v>99</v>
      </c>
      <c r="E93" s="16">
        <v>99</v>
      </c>
      <c r="F93" s="16">
        <v>9999</v>
      </c>
      <c r="G93" s="16">
        <v>82</v>
      </c>
      <c r="H93" s="16" t="s">
        <v>1277</v>
      </c>
      <c r="I93" s="16" t="s">
        <v>1880</v>
      </c>
    </row>
    <row r="94" spans="1:12">
      <c r="A94" s="16" t="s">
        <v>1872</v>
      </c>
    </row>
    <row r="95" spans="1:12">
      <c r="A95" s="16">
        <v>2005</v>
      </c>
      <c r="B95" s="16">
        <v>2019</v>
      </c>
      <c r="C95" s="16">
        <v>2.61</v>
      </c>
      <c r="D95" s="16">
        <v>73.8</v>
      </c>
      <c r="E95" s="16">
        <v>33</v>
      </c>
      <c r="F95" s="16">
        <v>24000</v>
      </c>
      <c r="G95" s="16">
        <v>82</v>
      </c>
      <c r="H95" s="16" t="s">
        <v>1277</v>
      </c>
      <c r="I95" s="16" t="s">
        <v>1882</v>
      </c>
      <c r="K95" s="16" t="s">
        <v>1883</v>
      </c>
      <c r="L95" s="16" t="s">
        <v>278</v>
      </c>
    </row>
    <row r="96" spans="1:12">
      <c r="A96" s="16">
        <v>2020</v>
      </c>
      <c r="B96" s="16">
        <v>2029</v>
      </c>
      <c r="C96" s="16">
        <v>2.7</v>
      </c>
      <c r="D96" s="16">
        <v>77</v>
      </c>
      <c r="E96" s="16">
        <v>33</v>
      </c>
      <c r="F96" s="16">
        <v>25000</v>
      </c>
      <c r="G96" s="16">
        <v>82</v>
      </c>
      <c r="H96" s="16" t="s">
        <v>1277</v>
      </c>
      <c r="I96" s="16" t="s">
        <v>1882</v>
      </c>
    </row>
    <row r="97" spans="1:12">
      <c r="A97" s="16">
        <v>2030</v>
      </c>
      <c r="B97" s="16">
        <v>2039</v>
      </c>
      <c r="C97" s="16">
        <v>2.65</v>
      </c>
      <c r="D97" s="16">
        <v>77.7</v>
      </c>
      <c r="E97" s="16">
        <v>33</v>
      </c>
      <c r="F97" s="16">
        <v>26000</v>
      </c>
      <c r="G97" s="16">
        <v>82</v>
      </c>
      <c r="H97" s="16" t="s">
        <v>1277</v>
      </c>
      <c r="I97" s="16" t="s">
        <v>1882</v>
      </c>
      <c r="K97" s="16" t="s">
        <v>279</v>
      </c>
      <c r="L97" s="16" t="s">
        <v>280</v>
      </c>
    </row>
    <row r="98" spans="1:12">
      <c r="A98" s="16">
        <v>2040</v>
      </c>
      <c r="B98" s="16">
        <v>2050</v>
      </c>
      <c r="C98" s="16">
        <v>2.61</v>
      </c>
      <c r="D98" s="16">
        <v>77.7</v>
      </c>
      <c r="E98" s="16">
        <v>33</v>
      </c>
      <c r="F98" s="16">
        <v>26000</v>
      </c>
      <c r="G98" s="16">
        <v>82</v>
      </c>
      <c r="H98" s="16" t="s">
        <v>1277</v>
      </c>
      <c r="I98" s="16" t="s">
        <v>1882</v>
      </c>
    </row>
    <row r="99" spans="1:12">
      <c r="A99" s="16" t="s">
        <v>1872</v>
      </c>
    </row>
    <row r="100" spans="1:12">
      <c r="A100" s="16">
        <v>2005</v>
      </c>
      <c r="B100" s="16">
        <v>2012</v>
      </c>
      <c r="C100" s="16">
        <v>99</v>
      </c>
      <c r="D100" s="16">
        <v>50</v>
      </c>
      <c r="E100" s="16">
        <v>25</v>
      </c>
      <c r="F100" s="16">
        <v>50000</v>
      </c>
      <c r="G100" s="16">
        <v>72</v>
      </c>
      <c r="H100" s="16" t="s">
        <v>1277</v>
      </c>
      <c r="I100" s="16" t="s">
        <v>1749</v>
      </c>
      <c r="K100" s="16" t="s">
        <v>1884</v>
      </c>
      <c r="L100" s="16" t="s">
        <v>282</v>
      </c>
    </row>
    <row r="101" spans="1:12">
      <c r="A101" s="16">
        <v>2013</v>
      </c>
      <c r="B101" s="16">
        <v>2019</v>
      </c>
      <c r="C101" s="16">
        <v>60</v>
      </c>
      <c r="D101" s="16">
        <v>107</v>
      </c>
      <c r="E101" s="16">
        <v>19</v>
      </c>
      <c r="F101" s="16">
        <v>50000</v>
      </c>
      <c r="G101" s="16">
        <v>72</v>
      </c>
      <c r="H101" s="16" t="s">
        <v>1277</v>
      </c>
      <c r="I101" s="16" t="s">
        <v>1749</v>
      </c>
      <c r="K101" s="16" t="s">
        <v>283</v>
      </c>
      <c r="L101" s="16" t="s">
        <v>284</v>
      </c>
    </row>
    <row r="102" spans="1:12">
      <c r="A102" s="16">
        <v>2020</v>
      </c>
      <c r="B102" s="16">
        <v>2029</v>
      </c>
      <c r="C102" s="16">
        <v>15</v>
      </c>
      <c r="D102" s="16">
        <v>157</v>
      </c>
      <c r="E102" s="16">
        <v>15</v>
      </c>
      <c r="F102" s="16">
        <v>50000</v>
      </c>
      <c r="G102" s="16">
        <v>92</v>
      </c>
      <c r="H102" s="16" t="s">
        <v>1277</v>
      </c>
      <c r="I102" s="16" t="s">
        <v>1749</v>
      </c>
      <c r="K102" s="16" t="s">
        <v>285</v>
      </c>
      <c r="L102" s="16" t="s">
        <v>286</v>
      </c>
    </row>
    <row r="103" spans="1:12">
      <c r="A103" s="16">
        <v>2030</v>
      </c>
      <c r="B103" s="16">
        <v>2050</v>
      </c>
      <c r="C103" s="16">
        <v>12</v>
      </c>
      <c r="D103" s="16">
        <v>157</v>
      </c>
      <c r="E103" s="16">
        <v>15</v>
      </c>
      <c r="F103" s="16">
        <v>50000</v>
      </c>
      <c r="G103" s="16">
        <v>92</v>
      </c>
      <c r="H103" s="16" t="s">
        <v>1277</v>
      </c>
      <c r="I103" s="16" t="s">
        <v>1749</v>
      </c>
      <c r="K103" s="16" t="s">
        <v>287</v>
      </c>
      <c r="L103" s="16" t="s">
        <v>288</v>
      </c>
    </row>
    <row r="104" spans="1:12">
      <c r="A104" s="16" t="s">
        <v>1872</v>
      </c>
    </row>
    <row r="105" spans="1:12">
      <c r="A105" s="16">
        <v>2005</v>
      </c>
      <c r="B105" s="16">
        <v>2012</v>
      </c>
      <c r="C105" s="16">
        <v>3.21</v>
      </c>
      <c r="D105" s="16">
        <v>12.27</v>
      </c>
      <c r="E105" s="16">
        <v>57.3</v>
      </c>
      <c r="F105" s="16">
        <v>1567</v>
      </c>
      <c r="G105" s="16">
        <v>100</v>
      </c>
      <c r="H105" s="16" t="s">
        <v>1856</v>
      </c>
      <c r="I105" s="16" t="s">
        <v>1870</v>
      </c>
      <c r="K105" s="16" t="s">
        <v>1885</v>
      </c>
      <c r="L105" s="16" t="s">
        <v>292</v>
      </c>
    </row>
    <row r="106" spans="1:12">
      <c r="A106" s="16">
        <v>2013</v>
      </c>
      <c r="B106" s="16">
        <v>2013</v>
      </c>
      <c r="C106" s="16">
        <v>3.35</v>
      </c>
      <c r="D106" s="16">
        <v>12.8</v>
      </c>
      <c r="E106" s="16">
        <v>55.8</v>
      </c>
      <c r="F106" s="16">
        <v>1582</v>
      </c>
      <c r="G106" s="16">
        <v>101</v>
      </c>
      <c r="H106" s="16" t="s">
        <v>1856</v>
      </c>
      <c r="I106" s="16" t="s">
        <v>1870</v>
      </c>
    </row>
    <row r="107" spans="1:12">
      <c r="A107" s="16">
        <v>2014</v>
      </c>
      <c r="B107" s="16">
        <v>2019</v>
      </c>
      <c r="C107" s="16">
        <v>3.67</v>
      </c>
      <c r="D107" s="16">
        <v>14.03</v>
      </c>
      <c r="E107" s="16">
        <v>52.3</v>
      </c>
      <c r="F107" s="16">
        <v>1617</v>
      </c>
      <c r="G107" s="16">
        <v>102</v>
      </c>
      <c r="H107" s="16" t="s">
        <v>1856</v>
      </c>
      <c r="I107" s="16" t="s">
        <v>1870</v>
      </c>
      <c r="K107" s="16" t="s">
        <v>293</v>
      </c>
      <c r="L107" s="16" t="s">
        <v>294</v>
      </c>
    </row>
    <row r="108" spans="1:12">
      <c r="A108" s="16">
        <v>2020</v>
      </c>
      <c r="B108" s="16">
        <v>2029</v>
      </c>
      <c r="C108" s="16">
        <v>4.54</v>
      </c>
      <c r="D108" s="16">
        <v>11.5</v>
      </c>
      <c r="E108" s="16">
        <v>57.5</v>
      </c>
      <c r="F108" s="16">
        <v>1925</v>
      </c>
      <c r="G108" s="16">
        <v>103</v>
      </c>
      <c r="H108" s="16" t="s">
        <v>1856</v>
      </c>
      <c r="I108" s="16" t="s">
        <v>1870</v>
      </c>
      <c r="K108" s="16" t="s">
        <v>295</v>
      </c>
      <c r="L108" s="16" t="s">
        <v>296</v>
      </c>
    </row>
    <row r="109" spans="1:12">
      <c r="A109" s="16">
        <v>2030</v>
      </c>
      <c r="B109" s="16">
        <v>2039</v>
      </c>
      <c r="C109" s="16">
        <v>4.43</v>
      </c>
      <c r="D109" s="16">
        <v>11.9</v>
      </c>
      <c r="E109" s="16">
        <v>57.5</v>
      </c>
      <c r="F109" s="16">
        <v>1925</v>
      </c>
      <c r="G109" s="16">
        <v>104</v>
      </c>
      <c r="H109" s="16" t="s">
        <v>1856</v>
      </c>
      <c r="I109" s="16" t="s">
        <v>1870</v>
      </c>
      <c r="K109" s="16" t="s">
        <v>297</v>
      </c>
      <c r="L109" s="16" t="s">
        <v>298</v>
      </c>
    </row>
    <row r="110" spans="1:12">
      <c r="A110" s="16">
        <v>2040</v>
      </c>
      <c r="B110" s="16">
        <v>2050</v>
      </c>
      <c r="C110" s="16">
        <v>4.3099999999999996</v>
      </c>
      <c r="D110" s="16">
        <v>12.3</v>
      </c>
      <c r="E110" s="16">
        <v>57.5</v>
      </c>
      <c r="F110" s="16">
        <v>1925</v>
      </c>
      <c r="G110" s="16">
        <v>105</v>
      </c>
      <c r="H110" s="16" t="s">
        <v>1856</v>
      </c>
      <c r="I110" s="16" t="s">
        <v>1870</v>
      </c>
      <c r="K110" s="16" t="s">
        <v>299</v>
      </c>
      <c r="L110" s="16" t="s">
        <v>300</v>
      </c>
    </row>
    <row r="111" spans="1:12">
      <c r="A111" s="16" t="s">
        <v>1872</v>
      </c>
    </row>
    <row r="112" spans="1:12">
      <c r="A112" s="16">
        <v>2005</v>
      </c>
      <c r="B112" s="16">
        <v>2019</v>
      </c>
      <c r="C112" s="16">
        <v>6.23</v>
      </c>
      <c r="D112" s="16">
        <v>48</v>
      </c>
      <c r="E112" s="16">
        <v>15</v>
      </c>
      <c r="F112" s="16">
        <v>8000</v>
      </c>
      <c r="G112" s="16">
        <v>82</v>
      </c>
      <c r="H112" s="16" t="s">
        <v>1856</v>
      </c>
      <c r="I112" s="16" t="s">
        <v>1276</v>
      </c>
      <c r="K112" s="16" t="s">
        <v>1886</v>
      </c>
      <c r="L112" s="16" t="s">
        <v>302</v>
      </c>
    </row>
    <row r="113" spans="1:12">
      <c r="A113" s="16">
        <v>2020</v>
      </c>
      <c r="B113" s="16">
        <v>2029</v>
      </c>
      <c r="C113" s="16">
        <v>6.07</v>
      </c>
      <c r="D113" s="16">
        <v>50.4</v>
      </c>
      <c r="E113" s="16">
        <v>15</v>
      </c>
      <c r="F113" s="16">
        <v>8000</v>
      </c>
      <c r="G113" s="16">
        <v>82</v>
      </c>
      <c r="H113" s="16" t="s">
        <v>1856</v>
      </c>
      <c r="I113" s="16" t="s">
        <v>1276</v>
      </c>
      <c r="K113" s="16" t="s">
        <v>303</v>
      </c>
      <c r="L113" s="16" t="s">
        <v>304</v>
      </c>
    </row>
    <row r="114" spans="1:12">
      <c r="A114" s="16">
        <v>2030</v>
      </c>
      <c r="B114" s="16">
        <v>2039</v>
      </c>
      <c r="C114" s="16">
        <v>5.92</v>
      </c>
      <c r="D114" s="16">
        <v>52.9</v>
      </c>
      <c r="E114" s="16">
        <v>15</v>
      </c>
      <c r="F114" s="16">
        <v>8000</v>
      </c>
      <c r="G114" s="16">
        <v>82</v>
      </c>
      <c r="H114" s="16" t="s">
        <v>1856</v>
      </c>
      <c r="I114" s="16" t="s">
        <v>1276</v>
      </c>
      <c r="K114" s="16" t="s">
        <v>305</v>
      </c>
      <c r="L114" s="16" t="s">
        <v>306</v>
      </c>
    </row>
    <row r="115" spans="1:12">
      <c r="A115" s="16">
        <v>2040</v>
      </c>
      <c r="B115" s="16">
        <v>2050</v>
      </c>
      <c r="C115" s="16">
        <v>5.77</v>
      </c>
      <c r="D115" s="16">
        <v>55.6</v>
      </c>
      <c r="E115" s="16">
        <v>15</v>
      </c>
      <c r="F115" s="16">
        <v>9000</v>
      </c>
      <c r="G115" s="16">
        <v>82</v>
      </c>
      <c r="H115" s="16" t="s">
        <v>1856</v>
      </c>
      <c r="I115" s="16" t="s">
        <v>1276</v>
      </c>
      <c r="K115" s="16" t="s">
        <v>307</v>
      </c>
      <c r="L115" s="16" t="s">
        <v>308</v>
      </c>
    </row>
    <row r="116" spans="1:12">
      <c r="A116" s="16" t="s">
        <v>1872</v>
      </c>
    </row>
    <row r="117" spans="1:12">
      <c r="A117" s="16">
        <v>2005</v>
      </c>
      <c r="B117" s="16">
        <v>2019</v>
      </c>
      <c r="C117" s="16">
        <v>15</v>
      </c>
      <c r="D117" s="16">
        <v>92.8</v>
      </c>
      <c r="E117" s="16">
        <v>70</v>
      </c>
      <c r="F117" s="16">
        <v>24000</v>
      </c>
      <c r="G117" s="16">
        <v>100</v>
      </c>
      <c r="H117" s="16" t="s">
        <v>1856</v>
      </c>
      <c r="I117" s="16" t="s">
        <v>1887</v>
      </c>
      <c r="K117" s="16" t="s">
        <v>1888</v>
      </c>
      <c r="L117" s="16" t="s">
        <v>310</v>
      </c>
    </row>
    <row r="118" spans="1:12">
      <c r="A118" s="16">
        <v>2020</v>
      </c>
      <c r="B118" s="16">
        <v>2029</v>
      </c>
      <c r="C118" s="16">
        <v>10</v>
      </c>
      <c r="D118" s="16">
        <v>92.8</v>
      </c>
      <c r="E118" s="16">
        <v>70</v>
      </c>
      <c r="F118" s="16">
        <v>24000</v>
      </c>
      <c r="G118" s="16">
        <v>100</v>
      </c>
      <c r="H118" s="16" t="s">
        <v>1856</v>
      </c>
      <c r="I118" s="16" t="s">
        <v>1887</v>
      </c>
      <c r="K118" s="16" t="s">
        <v>311</v>
      </c>
      <c r="L118" s="16" t="s">
        <v>312</v>
      </c>
    </row>
    <row r="119" spans="1:12">
      <c r="A119" s="16" t="s">
        <v>1872</v>
      </c>
    </row>
    <row r="120" spans="1:12">
      <c r="A120" s="16">
        <v>2005</v>
      </c>
      <c r="B120" s="16">
        <v>2010</v>
      </c>
      <c r="C120" s="16">
        <v>192.69</v>
      </c>
      <c r="D120" s="16">
        <v>36</v>
      </c>
      <c r="E120" s="16">
        <v>28</v>
      </c>
      <c r="F120" s="16">
        <v>10000</v>
      </c>
      <c r="G120" s="16">
        <v>92</v>
      </c>
      <c r="H120" s="16" t="s">
        <v>1856</v>
      </c>
      <c r="I120" s="16" t="s">
        <v>1749</v>
      </c>
    </row>
    <row r="121" spans="1:12">
      <c r="A121" s="16">
        <v>2011</v>
      </c>
      <c r="B121" s="16">
        <v>2011</v>
      </c>
      <c r="C121" s="16">
        <v>59.92</v>
      </c>
      <c r="D121" s="16">
        <v>50</v>
      </c>
      <c r="E121" s="16">
        <v>20</v>
      </c>
      <c r="F121" s="16">
        <v>25000</v>
      </c>
      <c r="G121" s="16">
        <v>92</v>
      </c>
      <c r="H121" s="16" t="s">
        <v>1856</v>
      </c>
      <c r="I121" s="16" t="s">
        <v>1749</v>
      </c>
      <c r="K121" s="16" t="s">
        <v>1889</v>
      </c>
      <c r="L121" s="16" t="s">
        <v>314</v>
      </c>
    </row>
    <row r="122" spans="1:12">
      <c r="A122" s="16">
        <v>2012</v>
      </c>
      <c r="B122" s="16">
        <v>2012</v>
      </c>
      <c r="C122" s="16">
        <v>48.06</v>
      </c>
      <c r="D122" s="16">
        <v>56.8</v>
      </c>
      <c r="E122" s="16">
        <v>17.5</v>
      </c>
      <c r="F122" s="16">
        <v>27789</v>
      </c>
      <c r="G122" s="16">
        <v>92</v>
      </c>
      <c r="H122" s="16" t="s">
        <v>1856</v>
      </c>
      <c r="I122" s="16" t="s">
        <v>1749</v>
      </c>
    </row>
    <row r="123" spans="1:12">
      <c r="A123" s="16">
        <v>2013</v>
      </c>
      <c r="B123" s="16">
        <v>2013</v>
      </c>
      <c r="C123" s="16">
        <v>38.54</v>
      </c>
      <c r="D123" s="16">
        <v>64.5</v>
      </c>
      <c r="E123" s="16">
        <v>15.3</v>
      </c>
      <c r="F123" s="16">
        <v>30556</v>
      </c>
      <c r="G123" s="16">
        <v>92</v>
      </c>
      <c r="H123" s="16" t="s">
        <v>1856</v>
      </c>
      <c r="I123" s="16" t="s">
        <v>1749</v>
      </c>
    </row>
    <row r="124" spans="1:12">
      <c r="A124" s="16">
        <v>2014</v>
      </c>
      <c r="B124" s="16">
        <v>2014</v>
      </c>
      <c r="C124" s="16">
        <v>30.91</v>
      </c>
      <c r="D124" s="16">
        <v>73.2</v>
      </c>
      <c r="E124" s="16">
        <v>13.4</v>
      </c>
      <c r="F124" s="16">
        <v>33333</v>
      </c>
      <c r="G124" s="16">
        <v>92</v>
      </c>
      <c r="H124" s="16" t="s">
        <v>1856</v>
      </c>
      <c r="I124" s="16" t="s">
        <v>1749</v>
      </c>
    </row>
    <row r="125" spans="1:12">
      <c r="A125" s="16">
        <v>2015</v>
      </c>
      <c r="B125" s="16">
        <v>2015</v>
      </c>
      <c r="C125" s="16">
        <v>24.79</v>
      </c>
      <c r="D125" s="16">
        <v>83.1</v>
      </c>
      <c r="E125" s="16">
        <v>11.7</v>
      </c>
      <c r="F125" s="16">
        <v>36111</v>
      </c>
      <c r="G125" s="16">
        <v>92</v>
      </c>
      <c r="H125" s="16" t="s">
        <v>1856</v>
      </c>
      <c r="I125" s="16" t="s">
        <v>1749</v>
      </c>
      <c r="K125" s="16" t="s">
        <v>315</v>
      </c>
      <c r="L125" s="16" t="s">
        <v>316</v>
      </c>
    </row>
    <row r="126" spans="1:12">
      <c r="A126" s="16">
        <v>2016</v>
      </c>
      <c r="B126" s="16">
        <v>2016</v>
      </c>
      <c r="C126" s="16">
        <v>19.88</v>
      </c>
      <c r="D126" s="16">
        <v>94.4</v>
      </c>
      <c r="E126" s="16">
        <v>10.199999999999999</v>
      </c>
      <c r="F126" s="16">
        <v>38889</v>
      </c>
      <c r="G126" s="16">
        <v>92</v>
      </c>
      <c r="H126" s="16" t="s">
        <v>1856</v>
      </c>
      <c r="I126" s="16" t="s">
        <v>1749</v>
      </c>
    </row>
    <row r="127" spans="1:12">
      <c r="A127" s="16">
        <v>2017</v>
      </c>
      <c r="B127" s="16">
        <v>2017</v>
      </c>
      <c r="C127" s="16">
        <v>15.94</v>
      </c>
      <c r="D127" s="16">
        <v>107.2</v>
      </c>
      <c r="E127" s="16">
        <v>9</v>
      </c>
      <c r="F127" s="16">
        <v>41667</v>
      </c>
      <c r="G127" s="16">
        <v>92</v>
      </c>
      <c r="H127" s="16" t="s">
        <v>1856</v>
      </c>
      <c r="I127" s="16" t="s">
        <v>1749</v>
      </c>
    </row>
    <row r="128" spans="1:12">
      <c r="A128" s="16">
        <v>2018</v>
      </c>
      <c r="B128" s="16">
        <v>2018</v>
      </c>
      <c r="C128" s="16">
        <v>12.79</v>
      </c>
      <c r="D128" s="16">
        <v>121.8</v>
      </c>
      <c r="E128" s="16">
        <v>7.8</v>
      </c>
      <c r="F128" s="16">
        <v>44444</v>
      </c>
      <c r="G128" s="16">
        <v>92</v>
      </c>
      <c r="H128" s="16" t="s">
        <v>1856</v>
      </c>
      <c r="I128" s="16" t="s">
        <v>1749</v>
      </c>
    </row>
    <row r="129" spans="1:12">
      <c r="A129" s="16">
        <v>2019</v>
      </c>
      <c r="B129" s="16">
        <v>2019</v>
      </c>
      <c r="C129" s="16">
        <v>10.25</v>
      </c>
      <c r="D129" s="16">
        <v>138.30000000000001</v>
      </c>
      <c r="E129" s="16">
        <v>6.9</v>
      </c>
      <c r="F129" s="16">
        <v>47222</v>
      </c>
      <c r="G129" s="16">
        <v>92</v>
      </c>
      <c r="H129" s="16" t="s">
        <v>1856</v>
      </c>
      <c r="I129" s="16" t="s">
        <v>1749</v>
      </c>
    </row>
    <row r="130" spans="1:12">
      <c r="A130" s="16">
        <v>2020</v>
      </c>
      <c r="B130" s="16">
        <v>2024</v>
      </c>
      <c r="C130" s="16">
        <v>8.2200000000000006</v>
      </c>
      <c r="D130" s="16">
        <v>157</v>
      </c>
      <c r="E130" s="16">
        <v>6</v>
      </c>
      <c r="F130" s="16">
        <v>50000</v>
      </c>
      <c r="G130" s="16">
        <v>92</v>
      </c>
      <c r="H130" s="16" t="s">
        <v>1856</v>
      </c>
      <c r="I130" s="16" t="s">
        <v>1749</v>
      </c>
      <c r="K130" s="16" t="s">
        <v>317</v>
      </c>
      <c r="L130" s="16" t="s">
        <v>318</v>
      </c>
    </row>
    <row r="131" spans="1:12">
      <c r="A131" s="16">
        <v>2025</v>
      </c>
      <c r="B131" s="16">
        <v>2029</v>
      </c>
      <c r="C131" s="16">
        <v>7.05</v>
      </c>
      <c r="D131" s="16">
        <v>180</v>
      </c>
      <c r="E131" s="16">
        <v>5.5</v>
      </c>
      <c r="F131" s="16">
        <v>50000</v>
      </c>
      <c r="G131" s="16">
        <v>92</v>
      </c>
      <c r="H131" s="16" t="s">
        <v>1856</v>
      </c>
      <c r="I131" s="16" t="s">
        <v>1749</v>
      </c>
      <c r="K131" s="16" t="s">
        <v>319</v>
      </c>
      <c r="L131" s="16" t="s">
        <v>320</v>
      </c>
    </row>
    <row r="132" spans="1:12">
      <c r="A132" s="16">
        <v>2030</v>
      </c>
      <c r="B132" s="16">
        <v>2039</v>
      </c>
      <c r="C132" s="16">
        <v>5.87</v>
      </c>
      <c r="D132" s="16">
        <v>202</v>
      </c>
      <c r="E132" s="16">
        <v>5</v>
      </c>
      <c r="F132" s="16">
        <v>50000</v>
      </c>
      <c r="G132" s="16">
        <v>92</v>
      </c>
      <c r="H132" s="16" t="s">
        <v>1856</v>
      </c>
      <c r="I132" s="16" t="s">
        <v>1749</v>
      </c>
      <c r="K132" s="16" t="s">
        <v>321</v>
      </c>
      <c r="L132" s="16" t="s">
        <v>322</v>
      </c>
    </row>
    <row r="133" spans="1:12">
      <c r="A133" s="16">
        <v>2040</v>
      </c>
      <c r="B133" s="16">
        <v>2050</v>
      </c>
      <c r="C133" s="16">
        <v>5.87</v>
      </c>
      <c r="D133" s="16">
        <v>202</v>
      </c>
      <c r="E133" s="16">
        <v>5</v>
      </c>
      <c r="F133" s="16">
        <v>50000</v>
      </c>
      <c r="G133" s="16">
        <v>92</v>
      </c>
      <c r="H133" s="16" t="s">
        <v>1856</v>
      </c>
      <c r="I133" s="16" t="s">
        <v>1749</v>
      </c>
      <c r="K133" s="16" t="s">
        <v>1890</v>
      </c>
      <c r="L133" s="16" t="s">
        <v>1891</v>
      </c>
    </row>
    <row r="134" spans="1:12">
      <c r="A134" s="16" t="s">
        <v>1892</v>
      </c>
    </row>
    <row r="135" spans="1:12">
      <c r="A135" s="16" t="s">
        <v>1893</v>
      </c>
    </row>
    <row r="138" spans="1:12">
      <c r="A138" s="16" t="s">
        <v>1894</v>
      </c>
    </row>
    <row r="140" spans="1:12">
      <c r="A140" s="16" t="s">
        <v>1895</v>
      </c>
    </row>
    <row r="141" spans="1:12">
      <c r="B141" s="16">
        <v>7.5</v>
      </c>
      <c r="C141" s="16" t="s">
        <v>1896</v>
      </c>
      <c r="D141" s="16">
        <v>2.2999999999999998</v>
      </c>
      <c r="E141" s="16" t="s">
        <v>1896</v>
      </c>
      <c r="F141" s="16">
        <v>3.3</v>
      </c>
    </row>
    <row r="142" spans="1:12">
      <c r="A142" s="16" t="s">
        <v>1897</v>
      </c>
    </row>
    <row r="143" spans="1:12">
      <c r="B143" s="16">
        <v>4.2</v>
      </c>
      <c r="C143" s="16" t="s">
        <v>1896</v>
      </c>
      <c r="D143" s="16">
        <v>1.3</v>
      </c>
      <c r="E143" s="16" t="s">
        <v>1896</v>
      </c>
      <c r="F143" s="16">
        <v>1.8</v>
      </c>
    </row>
    <row r="144" spans="1:12">
      <c r="A144" s="16" t="s">
        <v>1898</v>
      </c>
    </row>
    <row r="145" spans="1:9">
      <c r="B145" s="16">
        <v>11.1</v>
      </c>
      <c r="C145" s="16" t="s">
        <v>1896</v>
      </c>
      <c r="D145" s="16">
        <v>2.1</v>
      </c>
      <c r="E145" s="16" t="s">
        <v>1896</v>
      </c>
      <c r="F145" s="16">
        <v>5.5</v>
      </c>
    </row>
    <row r="148" spans="1:9">
      <c r="A148" s="16" t="s">
        <v>1899</v>
      </c>
    </row>
    <row r="149" spans="1:9">
      <c r="B149" s="16">
        <v>0.5</v>
      </c>
      <c r="C149" s="16">
        <v>1.5</v>
      </c>
      <c r="D149" s="16">
        <v>2.5</v>
      </c>
      <c r="E149" s="16">
        <v>4.5</v>
      </c>
      <c r="F149" s="16">
        <v>8</v>
      </c>
      <c r="G149" s="16">
        <v>10</v>
      </c>
      <c r="I149" s="16" t="s">
        <v>1900</v>
      </c>
    </row>
    <row r="150" spans="1:9">
      <c r="A150" s="16" t="s">
        <v>1901</v>
      </c>
    </row>
    <row r="151" spans="1:9">
      <c r="B151" s="16">
        <v>0.65</v>
      </c>
      <c r="C151" s="16">
        <v>0.16</v>
      </c>
      <c r="D151" s="16">
        <v>0.08</v>
      </c>
      <c r="E151" s="16">
        <v>5.5E-2</v>
      </c>
      <c r="F151" s="16">
        <v>3.5000000000000003E-2</v>
      </c>
      <c r="G151" s="16">
        <v>0.02</v>
      </c>
      <c r="H151" s="16" t="s">
        <v>487</v>
      </c>
      <c r="I151" s="16" t="s">
        <v>1902</v>
      </c>
    </row>
    <row r="152" spans="1:9">
      <c r="A152" s="16" t="s">
        <v>1903</v>
      </c>
    </row>
    <row r="153" spans="1:9">
      <c r="B153" s="16">
        <v>0.8</v>
      </c>
      <c r="C153" s="16">
        <v>0.78</v>
      </c>
      <c r="D153" s="16">
        <v>0.76</v>
      </c>
      <c r="E153" s="16">
        <v>0.74</v>
      </c>
      <c r="F153" s="16">
        <v>0.72</v>
      </c>
      <c r="G153" s="16">
        <v>0.7</v>
      </c>
    </row>
    <row r="154" spans="1:9">
      <c r="B154" s="16">
        <v>0.19800000000000001</v>
      </c>
      <c r="C154" s="16">
        <v>0.218</v>
      </c>
      <c r="D154" s="16">
        <v>0.23799999999999999</v>
      </c>
      <c r="E154" s="16">
        <v>0.25800000000000001</v>
      </c>
      <c r="F154" s="16">
        <v>0.27800000000000002</v>
      </c>
      <c r="G154" s="16">
        <v>0.29799999999999999</v>
      </c>
    </row>
    <row r="155" spans="1:9">
      <c r="B155" s="16">
        <v>2E-3</v>
      </c>
      <c r="C155" s="16">
        <v>2E-3</v>
      </c>
      <c r="D155" s="16">
        <v>2E-3</v>
      </c>
      <c r="E155" s="16">
        <v>2E-3</v>
      </c>
      <c r="F155" s="16">
        <v>2E-3</v>
      </c>
      <c r="G155" s="16">
        <v>2E-3</v>
      </c>
    </row>
    <row r="156" spans="1:9">
      <c r="A156" s="16" t="s">
        <v>1904</v>
      </c>
    </row>
    <row r="157" spans="1:9">
      <c r="B157" s="16">
        <v>57</v>
      </c>
      <c r="C157" s="16">
        <v>13</v>
      </c>
      <c r="E157" s="16">
        <v>18</v>
      </c>
    </row>
    <row r="160" spans="1:9">
      <c r="A160" s="16" t="s">
        <v>1905</v>
      </c>
    </row>
    <row r="161" spans="1:4">
      <c r="A161" s="16">
        <v>1.4</v>
      </c>
    </row>
    <row r="162" spans="1:4">
      <c r="A162" s="16" t="s">
        <v>1906</v>
      </c>
    </row>
    <row r="163" spans="1:4">
      <c r="A163" s="16">
        <v>1</v>
      </c>
    </row>
    <row r="164" spans="1:4">
      <c r="A164" s="16" t="s">
        <v>1907</v>
      </c>
    </row>
    <row r="165" spans="1:4">
      <c r="B165" s="16">
        <v>0.6</v>
      </c>
    </row>
    <row r="166" spans="1:4">
      <c r="B166" s="16">
        <v>0.16</v>
      </c>
    </row>
    <row r="167" spans="1:4">
      <c r="B167" s="16">
        <v>0.24</v>
      </c>
    </row>
    <row r="168" spans="1:4">
      <c r="B168" s="16">
        <v>0</v>
      </c>
    </row>
    <row r="169" spans="1:4">
      <c r="A169" s="16" t="s">
        <v>1908</v>
      </c>
    </row>
    <row r="170" spans="1:4">
      <c r="A170" s="16">
        <v>65</v>
      </c>
      <c r="B170" s="16">
        <v>15</v>
      </c>
      <c r="C170" s="16">
        <v>50</v>
      </c>
    </row>
    <row r="172" spans="1:4">
      <c r="D172" s="16" t="s">
        <v>1909</v>
      </c>
    </row>
    <row r="173" spans="1:4">
      <c r="A173" s="16" t="s">
        <v>1910</v>
      </c>
    </row>
    <row r="174" spans="1:4">
      <c r="A174" s="16">
        <v>1.4</v>
      </c>
    </row>
    <row r="175" spans="1:4">
      <c r="A175" s="16" t="s">
        <v>1911</v>
      </c>
    </row>
    <row r="176" spans="1:4">
      <c r="A176" s="16">
        <v>1</v>
      </c>
    </row>
    <row r="177" spans="1:3">
      <c r="A177" s="16" t="s">
        <v>1912</v>
      </c>
    </row>
    <row r="178" spans="1:3">
      <c r="B178" s="16">
        <v>0.84</v>
      </c>
    </row>
    <row r="179" spans="1:3">
      <c r="B179" s="16">
        <v>0.16</v>
      </c>
    </row>
    <row r="180" spans="1:3">
      <c r="B180" s="16">
        <v>0</v>
      </c>
    </row>
    <row r="181" spans="1:3">
      <c r="A181" s="16" t="s">
        <v>1913</v>
      </c>
    </row>
    <row r="182" spans="1:3">
      <c r="A182" s="16">
        <v>35</v>
      </c>
      <c r="B182" s="16">
        <v>33</v>
      </c>
      <c r="C182" s="16">
        <v>25</v>
      </c>
    </row>
    <row r="185" spans="1:3">
      <c r="A185" s="16" t="s">
        <v>1914</v>
      </c>
    </row>
    <row r="186" spans="1:3">
      <c r="A186" s="16">
        <v>2</v>
      </c>
    </row>
    <row r="187" spans="1:3">
      <c r="A187" s="16" t="s">
        <v>1915</v>
      </c>
    </row>
    <row r="188" spans="1:3">
      <c r="A188" s="16">
        <v>1</v>
      </c>
    </row>
    <row r="189" spans="1:3">
      <c r="A189" s="16" t="s">
        <v>1916</v>
      </c>
    </row>
    <row r="190" spans="1:3">
      <c r="B190" s="16">
        <v>0.59</v>
      </c>
    </row>
    <row r="191" spans="1:3">
      <c r="B191" s="16">
        <v>0.18</v>
      </c>
    </row>
    <row r="192" spans="1:3">
      <c r="B192" s="16">
        <v>0.23</v>
      </c>
    </row>
    <row r="193" spans="1:4">
      <c r="B193" s="16">
        <v>0</v>
      </c>
    </row>
    <row r="194" spans="1:4">
      <c r="A194" s="16" t="s">
        <v>1917</v>
      </c>
    </row>
    <row r="195" spans="1:4">
      <c r="A195" s="16">
        <v>57</v>
      </c>
      <c r="B195" s="16">
        <v>15</v>
      </c>
      <c r="C195" s="16">
        <v>70</v>
      </c>
      <c r="D195" s="16">
        <v>25</v>
      </c>
    </row>
    <row r="198" spans="1:4">
      <c r="A198" s="16" t="s">
        <v>1918</v>
      </c>
    </row>
    <row r="199" spans="1:4">
      <c r="A199" s="16">
        <v>-0.95</v>
      </c>
      <c r="B199" s="16">
        <v>-0.1</v>
      </c>
    </row>
  </sheetData>
  <dataConsolidate/>
  <pageMargins left="0.7" right="0.7" top="0.75" bottom="0.75" header="0.3" footer="0.3"/>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K55"/>
  <sheetViews>
    <sheetView workbookViewId="0">
      <selection activeCell="R107" sqref="R107"/>
    </sheetView>
  </sheetViews>
  <sheetFormatPr defaultColWidth="9.26953125" defaultRowHeight="12.5"/>
  <cols>
    <col min="1" max="1" width="27.54296875" style="17" customWidth="1"/>
    <col min="2" max="2" width="10.26953125" style="17" bestFit="1" customWidth="1"/>
    <col min="3" max="16384" width="9.26953125" style="17"/>
  </cols>
  <sheetData>
    <row r="1" spans="1:11" s="19" customFormat="1" ht="10.5">
      <c r="A1" s="665" t="s">
        <v>1920</v>
      </c>
      <c r="G1" s="167"/>
      <c r="H1" s="167"/>
      <c r="I1" s="167"/>
      <c r="J1" s="167"/>
      <c r="K1" s="168"/>
    </row>
    <row r="2" spans="1:11" s="19" customFormat="1" ht="10">
      <c r="A2" s="19" t="s">
        <v>1921</v>
      </c>
      <c r="B2" s="19">
        <v>24</v>
      </c>
      <c r="G2" s="167"/>
      <c r="H2" s="167"/>
      <c r="I2" s="167"/>
      <c r="J2" s="167"/>
      <c r="K2" s="168"/>
    </row>
    <row r="3" spans="1:11" s="19" customFormat="1" ht="10">
      <c r="A3" s="19" t="s">
        <v>1922</v>
      </c>
      <c r="B3" s="19">
        <v>365</v>
      </c>
      <c r="E3" s="169"/>
      <c r="F3" s="169"/>
      <c r="G3" s="167"/>
      <c r="H3" s="167"/>
      <c r="I3" s="167"/>
      <c r="J3" s="167"/>
      <c r="K3" s="168"/>
    </row>
    <row r="4" spans="1:11" s="19" customFormat="1" ht="10">
      <c r="A4" s="19" t="s">
        <v>1923</v>
      </c>
      <c r="B4" s="19">
        <v>1055.056</v>
      </c>
      <c r="E4" s="169"/>
      <c r="F4" s="169"/>
      <c r="G4" s="167"/>
      <c r="H4" s="167"/>
      <c r="I4" s="167"/>
      <c r="J4" s="167"/>
      <c r="K4" s="168"/>
    </row>
    <row r="5" spans="1:11" s="19" customFormat="1" ht="10">
      <c r="A5" s="19" t="s">
        <v>1924</v>
      </c>
      <c r="B5" s="19">
        <v>3.4119999999999999</v>
      </c>
      <c r="E5" s="169"/>
      <c r="F5" s="169"/>
      <c r="G5" s="167"/>
      <c r="H5" s="167"/>
      <c r="I5" s="167"/>
      <c r="J5" s="167"/>
      <c r="K5" s="168"/>
    </row>
    <row r="6" spans="1:11" s="19" customFormat="1" ht="10">
      <c r="A6" s="19" t="s">
        <v>1925</v>
      </c>
      <c r="B6" s="160">
        <f>1000000000000000</f>
        <v>1000000000000000</v>
      </c>
    </row>
    <row r="7" spans="1:11" s="19" customFormat="1" ht="10">
      <c r="A7" s="19" t="s">
        <v>1926</v>
      </c>
      <c r="B7" s="160">
        <f>1000000</f>
        <v>1000000</v>
      </c>
    </row>
    <row r="8" spans="1:11" s="19" customFormat="1" ht="10">
      <c r="A8" s="161" t="s">
        <v>1927</v>
      </c>
      <c r="B8" s="162">
        <f>1000000000000</f>
        <v>1000000000000</v>
      </c>
    </row>
    <row r="9" spans="1:11" s="19" customFormat="1" ht="10">
      <c r="A9" s="161" t="s">
        <v>1928</v>
      </c>
      <c r="B9" s="162">
        <f>1000000000</f>
        <v>1000000000</v>
      </c>
    </row>
    <row r="10" spans="1:11" s="19" customFormat="1" ht="10">
      <c r="A10" s="19" t="s">
        <v>1929</v>
      </c>
      <c r="B10" s="19">
        <v>2.7780000000000001E-7</v>
      </c>
      <c r="F10" s="163"/>
    </row>
    <row r="11" spans="1:11" s="19" customFormat="1" ht="11.25" customHeight="1">
      <c r="A11" s="19" t="s">
        <v>1930</v>
      </c>
      <c r="B11" s="160">
        <v>1000000</v>
      </c>
      <c r="F11" s="163"/>
    </row>
    <row r="12" spans="1:11" s="19" customFormat="1" ht="10">
      <c r="A12" s="19" t="s">
        <v>1931</v>
      </c>
      <c r="B12" s="160">
        <v>1000000</v>
      </c>
    </row>
    <row r="13" spans="1:11" s="19" customFormat="1" ht="10">
      <c r="A13" s="19" t="s">
        <v>1932</v>
      </c>
      <c r="B13" s="19">
        <v>1.054</v>
      </c>
    </row>
    <row r="14" spans="1:11" s="19" customFormat="1" ht="10">
      <c r="A14" s="19" t="s">
        <v>1933</v>
      </c>
      <c r="B14" s="19">
        <v>2</v>
      </c>
      <c r="C14" s="19" t="s">
        <v>1934</v>
      </c>
    </row>
    <row r="15" spans="1:11" s="19" customFormat="1" ht="10">
      <c r="A15" s="19" t="s">
        <v>1935</v>
      </c>
      <c r="B15" s="19">
        <v>1055</v>
      </c>
    </row>
    <row r="17" spans="1:6">
      <c r="A17" s="63" t="s">
        <v>1936</v>
      </c>
      <c r="B17" s="63">
        <f>10^(15)/1055</f>
        <v>947867298578.1991</v>
      </c>
      <c r="C17" s="63" t="s">
        <v>1937</v>
      </c>
    </row>
    <row r="18" spans="1:6">
      <c r="A18" s="63"/>
      <c r="B18" s="63"/>
      <c r="C18" s="63"/>
    </row>
    <row r="19" spans="1:6">
      <c r="A19" s="63"/>
      <c r="B19" s="63"/>
      <c r="C19" s="63"/>
    </row>
    <row r="20" spans="1:6">
      <c r="A20" s="170" t="s">
        <v>1938</v>
      </c>
      <c r="B20" s="164"/>
      <c r="C20" s="164"/>
      <c r="D20" s="666"/>
      <c r="E20" s="666"/>
      <c r="F20" s="666"/>
    </row>
    <row r="21" spans="1:6">
      <c r="A21" s="164" t="s">
        <v>1939</v>
      </c>
      <c r="B21" s="164"/>
      <c r="C21" s="164"/>
      <c r="D21" s="666"/>
      <c r="E21" s="666"/>
      <c r="F21" s="666"/>
    </row>
    <row r="22" spans="1:6">
      <c r="A22" s="164" t="s">
        <v>1940</v>
      </c>
      <c r="B22" s="164"/>
      <c r="C22" s="164"/>
      <c r="D22" s="666"/>
      <c r="E22" s="666"/>
      <c r="F22" s="666"/>
    </row>
    <row r="23" spans="1:6">
      <c r="A23" s="171" t="s">
        <v>1941</v>
      </c>
      <c r="B23" s="164"/>
      <c r="C23" s="164"/>
      <c r="D23" s="666"/>
      <c r="E23" s="666"/>
      <c r="F23" s="666"/>
    </row>
    <row r="24" spans="1:6">
      <c r="A24" s="16" t="s">
        <v>1942</v>
      </c>
      <c r="B24" s="164"/>
      <c r="C24" s="164"/>
      <c r="D24" s="666"/>
      <c r="E24" s="666"/>
      <c r="F24" s="666"/>
    </row>
    <row r="25" spans="1:6">
      <c r="A25" s="164" t="s">
        <v>1919</v>
      </c>
      <c r="B25" s="164" t="s">
        <v>1943</v>
      </c>
      <c r="C25" s="164" t="s">
        <v>1944</v>
      </c>
      <c r="D25" s="666"/>
      <c r="E25" s="666"/>
      <c r="F25" s="666"/>
    </row>
    <row r="26" spans="1:6">
      <c r="A26" s="48" t="s">
        <v>1945</v>
      </c>
      <c r="B26" s="48">
        <v>53.622999999999998</v>
      </c>
      <c r="C26" s="165">
        <f>$B$48/B26</f>
        <v>1.7155138653189863</v>
      </c>
      <c r="D26" s="666"/>
      <c r="E26" s="666"/>
      <c r="F26" s="666"/>
    </row>
    <row r="27" spans="1:6">
      <c r="A27" s="48" t="s">
        <v>1946</v>
      </c>
      <c r="B27" s="48">
        <v>55.524999999999999</v>
      </c>
      <c r="C27" s="165">
        <f t="shared" ref="C27:C55" si="0">$B$48/B27</f>
        <v>1.6567492120666367</v>
      </c>
      <c r="D27" s="666"/>
      <c r="E27" s="666"/>
    </row>
    <row r="28" spans="1:6">
      <c r="A28" s="48" t="s">
        <v>1947</v>
      </c>
      <c r="B28" s="48">
        <v>57.302</v>
      </c>
      <c r="C28" s="165">
        <f t="shared" si="0"/>
        <v>1.6053715402603748</v>
      </c>
      <c r="D28" s="666"/>
      <c r="E28" s="666"/>
    </row>
    <row r="29" spans="1:6">
      <c r="A29" s="48" t="s">
        <v>1948</v>
      </c>
      <c r="B29" s="48">
        <v>58.457999999999998</v>
      </c>
      <c r="C29" s="165">
        <f t="shared" si="0"/>
        <v>1.5736255089123816</v>
      </c>
      <c r="D29" s="666"/>
      <c r="E29" s="666"/>
    </row>
    <row r="30" spans="1:6">
      <c r="A30" s="48" t="s">
        <v>1949</v>
      </c>
      <c r="B30" s="48">
        <v>59.948999999999998</v>
      </c>
      <c r="C30" s="165">
        <f t="shared" si="0"/>
        <v>1.5344876478339922</v>
      </c>
      <c r="D30" s="666"/>
      <c r="E30" s="666"/>
    </row>
    <row r="31" spans="1:6">
      <c r="A31" s="48" t="s">
        <v>1950</v>
      </c>
      <c r="B31" s="48">
        <v>62.048000000000002</v>
      </c>
      <c r="C31" s="165">
        <f t="shared" si="0"/>
        <v>1.4825780041258381</v>
      </c>
      <c r="D31" s="666"/>
      <c r="E31" s="666"/>
    </row>
    <row r="32" spans="1:6">
      <c r="A32" s="48" t="s">
        <v>1951</v>
      </c>
      <c r="B32" s="48">
        <v>64.459999999999994</v>
      </c>
      <c r="C32" s="165">
        <f t="shared" si="0"/>
        <v>1.4271020788085635</v>
      </c>
      <c r="D32" s="666"/>
      <c r="E32" s="666"/>
    </row>
    <row r="33" spans="1:6">
      <c r="A33" s="48" t="s">
        <v>1952</v>
      </c>
      <c r="B33" s="48">
        <v>66.844999999999999</v>
      </c>
      <c r="C33" s="165">
        <f t="shared" si="0"/>
        <v>1.3761837085795496</v>
      </c>
      <c r="D33" s="166"/>
      <c r="E33" s="166"/>
      <c r="F33" s="666"/>
    </row>
    <row r="34" spans="1:6">
      <c r="A34" s="48" t="s">
        <v>1953</v>
      </c>
      <c r="B34" s="48">
        <v>69.069000000000003</v>
      </c>
      <c r="C34" s="165">
        <f t="shared" si="0"/>
        <v>1.3318710275232013</v>
      </c>
      <c r="D34" s="166"/>
      <c r="E34" s="166"/>
      <c r="F34" s="666"/>
    </row>
    <row r="35" spans="1:6">
      <c r="A35" s="48" t="s">
        <v>1954</v>
      </c>
      <c r="B35" s="48">
        <v>70.644000000000005</v>
      </c>
      <c r="C35" s="165">
        <f t="shared" si="0"/>
        <v>1.3021771134137363</v>
      </c>
      <c r="D35" s="166"/>
      <c r="E35" s="166"/>
      <c r="F35" s="666"/>
    </row>
    <row r="36" spans="1:6">
      <c r="A36" s="48" t="s">
        <v>1955</v>
      </c>
      <c r="B36" s="48">
        <v>72.325000000000003</v>
      </c>
      <c r="C36" s="165">
        <f t="shared" si="0"/>
        <v>1.2719115105426892</v>
      </c>
      <c r="D36" s="166"/>
      <c r="E36" s="166"/>
      <c r="F36" s="666"/>
    </row>
    <row r="37" spans="1:6">
      <c r="A37" s="48" t="s">
        <v>1956</v>
      </c>
      <c r="B37" s="48">
        <v>73.864999999999995</v>
      </c>
      <c r="C37" s="165">
        <f t="shared" si="0"/>
        <v>1.2453936235023355</v>
      </c>
      <c r="D37" s="166"/>
      <c r="E37" s="166"/>
      <c r="F37" s="666"/>
    </row>
    <row r="38" spans="1:6">
      <c r="A38" s="48" t="s">
        <v>1957</v>
      </c>
      <c r="B38" s="48">
        <v>75.406000000000006</v>
      </c>
      <c r="C38" s="165">
        <f t="shared" si="0"/>
        <v>1.2199427101291673</v>
      </c>
      <c r="D38" s="166"/>
      <c r="E38" s="166"/>
      <c r="F38" s="666"/>
    </row>
    <row r="39" spans="1:6">
      <c r="A39" s="48" t="s">
        <v>1958</v>
      </c>
      <c r="B39" s="48">
        <v>76.783000000000001</v>
      </c>
      <c r="C39" s="165">
        <f t="shared" si="0"/>
        <v>1.1980646757745854</v>
      </c>
      <c r="D39" s="166"/>
      <c r="E39" s="166"/>
      <c r="F39" s="666"/>
    </row>
    <row r="40" spans="1:6">
      <c r="A40" s="48" t="s">
        <v>1959</v>
      </c>
      <c r="B40" s="48">
        <v>78.096000000000004</v>
      </c>
      <c r="C40" s="165">
        <f t="shared" si="0"/>
        <v>1.1779220446629788</v>
      </c>
      <c r="D40" s="166"/>
      <c r="E40" s="166"/>
      <c r="F40" s="666"/>
    </row>
    <row r="41" spans="1:6">
      <c r="A41" s="48" t="s">
        <v>1960</v>
      </c>
      <c r="B41" s="48">
        <v>78.944000000000003</v>
      </c>
      <c r="C41" s="165">
        <f t="shared" si="0"/>
        <v>1.1652690514795299</v>
      </c>
      <c r="D41" s="166"/>
      <c r="E41" s="166"/>
      <c r="F41" s="666"/>
    </row>
    <row r="42" spans="1:6">
      <c r="A42" s="48" t="s">
        <v>1961</v>
      </c>
      <c r="B42" s="48">
        <v>80.070999999999998</v>
      </c>
      <c r="C42" s="165">
        <f t="shared" si="0"/>
        <v>1.148867879756716</v>
      </c>
      <c r="D42" s="166"/>
      <c r="E42" s="166"/>
      <c r="F42" s="666"/>
    </row>
    <row r="43" spans="1:6">
      <c r="A43" s="48" t="s">
        <v>1962</v>
      </c>
      <c r="B43" s="48">
        <v>81.891000000000005</v>
      </c>
      <c r="C43" s="165">
        <f t="shared" si="0"/>
        <v>1.123334676582286</v>
      </c>
      <c r="D43" s="166"/>
      <c r="E43" s="166"/>
      <c r="F43" s="666"/>
    </row>
    <row r="44" spans="1:6">
      <c r="A44" s="48" t="s">
        <v>1963</v>
      </c>
      <c r="B44" s="48">
        <v>83.766000000000005</v>
      </c>
      <c r="C44" s="165">
        <f t="shared" si="0"/>
        <v>1.0981901964997731</v>
      </c>
      <c r="D44" s="166"/>
      <c r="E44" s="166"/>
      <c r="F44" s="666"/>
    </row>
    <row r="45" spans="1:6">
      <c r="A45" s="48" t="s">
        <v>1964</v>
      </c>
      <c r="B45" s="48">
        <v>85.054000000000002</v>
      </c>
      <c r="C45" s="165">
        <f t="shared" si="0"/>
        <v>1.0815599501493169</v>
      </c>
      <c r="D45" s="166"/>
      <c r="E45" s="166"/>
      <c r="F45" s="666"/>
    </row>
    <row r="46" spans="1:6">
      <c r="A46" s="48" t="s">
        <v>1965</v>
      </c>
      <c r="B46" s="48">
        <v>86.754000000000005</v>
      </c>
      <c r="C46" s="165">
        <f t="shared" si="0"/>
        <v>1.0603660926297347</v>
      </c>
      <c r="D46" s="166"/>
      <c r="E46" s="166"/>
      <c r="F46" s="666"/>
    </row>
    <row r="47" spans="1:6">
      <c r="A47" s="48" t="s">
        <v>1966</v>
      </c>
      <c r="B47" s="48">
        <v>89.132000000000005</v>
      </c>
      <c r="C47" s="165">
        <f t="shared" si="0"/>
        <v>1.0320760220796121</v>
      </c>
      <c r="D47" s="166"/>
      <c r="E47" s="166"/>
      <c r="F47" s="666"/>
    </row>
    <row r="48" spans="1:6">
      <c r="A48" s="48" t="s">
        <v>931</v>
      </c>
      <c r="B48" s="48">
        <v>91.991</v>
      </c>
      <c r="C48" s="165">
        <f t="shared" si="0"/>
        <v>1</v>
      </c>
      <c r="D48" s="166"/>
      <c r="E48" s="166"/>
      <c r="F48" s="666"/>
    </row>
    <row r="49" spans="1:6">
      <c r="A49" s="48" t="s">
        <v>1967</v>
      </c>
      <c r="B49" s="48">
        <v>94.817999999999998</v>
      </c>
      <c r="C49" s="165">
        <f t="shared" si="0"/>
        <v>0.97018498597312752</v>
      </c>
      <c r="D49" s="166"/>
      <c r="E49" s="166"/>
      <c r="F49" s="666"/>
    </row>
    <row r="50" spans="1:6">
      <c r="A50" s="48" t="s">
        <v>1968</v>
      </c>
      <c r="B50" s="48">
        <v>97.334999999999994</v>
      </c>
      <c r="C50" s="165">
        <f t="shared" si="0"/>
        <v>0.94509683053372384</v>
      </c>
      <c r="D50" s="166"/>
      <c r="E50" s="166"/>
      <c r="F50" s="666"/>
    </row>
    <row r="51" spans="1:6">
      <c r="A51" s="48" t="s">
        <v>1969</v>
      </c>
      <c r="B51" s="48">
        <v>99.236000000000004</v>
      </c>
      <c r="C51" s="165">
        <f t="shared" si="0"/>
        <v>0.92699222056511743</v>
      </c>
      <c r="D51" s="166"/>
      <c r="E51" s="166"/>
      <c r="F51" s="666"/>
    </row>
    <row r="52" spans="1:6">
      <c r="A52" s="48" t="s">
        <v>1970</v>
      </c>
      <c r="B52" s="48">
        <v>100</v>
      </c>
      <c r="C52" s="165">
        <f t="shared" si="0"/>
        <v>0.91991000000000001</v>
      </c>
      <c r="D52" s="166"/>
      <c r="E52" s="166"/>
      <c r="F52" s="666"/>
    </row>
    <row r="53" spans="1:6">
      <c r="A53" s="48" t="s">
        <v>899</v>
      </c>
      <c r="B53" s="48">
        <v>101.211</v>
      </c>
      <c r="C53" s="165">
        <f t="shared" si="0"/>
        <v>0.90890318246040447</v>
      </c>
    </row>
    <row r="54" spans="1:6">
      <c r="A54" s="48" t="s">
        <v>165</v>
      </c>
      <c r="B54" s="48">
        <v>103.199</v>
      </c>
      <c r="C54" s="165">
        <f t="shared" si="0"/>
        <v>0.89139429645636103</v>
      </c>
    </row>
    <row r="55" spans="1:6">
      <c r="A55" s="48" t="s">
        <v>1971</v>
      </c>
      <c r="B55" s="48">
        <v>105.002</v>
      </c>
      <c r="C55" s="165">
        <f t="shared" si="0"/>
        <v>0.87608807451286641</v>
      </c>
    </row>
  </sheetData>
  <phoneticPr fontId="14" type="noConversion"/>
  <hyperlinks>
    <hyperlink ref="A23" r:id="rId1" xr:uid="{00000000-0004-0000-2F00-000000000000}"/>
  </hyperlinks>
  <pageMargins left="0.75" right="0.75" top="1" bottom="1" header="0.5" footer="0.5"/>
  <pageSetup orientation="portrait" r:id="rId2"/>
  <headerFooter alignWithMargins="0"/>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Sheet20"/>
  <dimension ref="A1:E18"/>
  <sheetViews>
    <sheetView workbookViewId="0">
      <pane xSplit="5" ySplit="7" topLeftCell="F8" activePane="bottomRight" state="frozen"/>
      <selection pane="topRight" activeCell="G1" sqref="G1"/>
      <selection pane="bottomLeft" activeCell="A8" sqref="A8"/>
      <selection pane="bottomRight" activeCell="A2" sqref="A2"/>
    </sheetView>
  </sheetViews>
  <sheetFormatPr defaultRowHeight="12.5"/>
  <cols>
    <col min="1" max="1" width="10.453125" customWidth="1"/>
    <col min="2" max="2" width="11.54296875" customWidth="1"/>
    <col min="3" max="3" width="17.54296875" customWidth="1"/>
    <col min="4" max="4" width="5.7265625" customWidth="1"/>
    <col min="5" max="5" width="10.26953125" customWidth="1"/>
  </cols>
  <sheetData>
    <row r="1" spans="1:5" ht="13">
      <c r="A1" s="1" t="s">
        <v>1748</v>
      </c>
      <c r="B1" s="12"/>
    </row>
    <row r="4" spans="1:5" ht="17.25" customHeight="1"/>
    <row r="5" spans="1:5" ht="18" customHeight="1"/>
    <row r="6" spans="1:5" ht="17.25" customHeight="1"/>
    <row r="7" spans="1:5" ht="15.75" customHeight="1">
      <c r="B7" s="1" t="s">
        <v>429</v>
      </c>
      <c r="C7" s="1" t="s">
        <v>430</v>
      </c>
      <c r="D7" s="1" t="s">
        <v>431</v>
      </c>
      <c r="E7" s="1" t="s">
        <v>7</v>
      </c>
    </row>
    <row r="8" spans="1:5">
      <c r="B8" s="2"/>
      <c r="E8" s="2"/>
    </row>
    <row r="9" spans="1:5">
      <c r="B9" s="7"/>
      <c r="E9" s="2"/>
    </row>
    <row r="10" spans="1:5">
      <c r="B10" s="7"/>
      <c r="E10" s="2"/>
    </row>
    <row r="11" spans="1:5">
      <c r="B11" s="7"/>
      <c r="E11" s="2"/>
    </row>
    <row r="14" spans="1:5" ht="13">
      <c r="A14" s="1"/>
    </row>
    <row r="18" spans="1:5" ht="13">
      <c r="A18" s="1"/>
      <c r="B18" s="1"/>
      <c r="C18" s="1"/>
      <c r="D18" s="1"/>
      <c r="E18" s="1"/>
    </row>
  </sheetData>
  <phoneticPr fontId="0" type="noConversion"/>
  <pageMargins left="0.75" right="0.75" top="1" bottom="1" header="0.5" footer="0.5"/>
  <pageSetup paperSize="9" orientation="landscape" horizontalDpi="1200" verticalDpi="300" r:id="rId1"/>
  <headerFooter alignWithMargins="0"/>
  <drawing r:id="rId2"/>
  <legacyDrawing r:id="rId3"/>
  <controls>
    <mc:AlternateContent xmlns:mc="http://schemas.openxmlformats.org/markup-compatibility/2006">
      <mc:Choice Requires="x14">
        <control shapeId="70662" r:id="rId4" name="cmdRefreshUnits">
          <controlPr defaultSize="0" autoLine="0" r:id="rId5">
            <anchor moveWithCells="1">
              <from>
                <xdr:col>2</xdr:col>
                <xdr:colOff>1009650</xdr:colOff>
                <xdr:row>2</xdr:row>
                <xdr:rowOff>31750</xdr:rowOff>
              </from>
              <to>
                <xdr:col>3</xdr:col>
                <xdr:colOff>336550</xdr:colOff>
                <xdr:row>4</xdr:row>
                <xdr:rowOff>31750</xdr:rowOff>
              </to>
            </anchor>
          </controlPr>
        </control>
      </mc:Choice>
      <mc:Fallback>
        <control shapeId="70662" r:id="rId4" name="cmdRefreshUnits"/>
      </mc:Fallback>
    </mc:AlternateContent>
    <mc:AlternateContent xmlns:mc="http://schemas.openxmlformats.org/markup-compatibility/2006">
      <mc:Choice Requires="x14">
        <control shapeId="70661" r:id="rId6" name="cmdAddParamQualifier">
          <controlPr defaultSize="0" autoLine="0" r:id="rId7">
            <anchor moveWithCells="1">
              <from>
                <xdr:col>0</xdr:col>
                <xdr:colOff>19050</xdr:colOff>
                <xdr:row>5</xdr:row>
                <xdr:rowOff>0</xdr:rowOff>
              </from>
              <to>
                <xdr:col>0</xdr:col>
                <xdr:colOff>704850</xdr:colOff>
                <xdr:row>6</xdr:row>
                <xdr:rowOff>19050</xdr:rowOff>
              </to>
            </anchor>
          </controlPr>
        </control>
      </mc:Choice>
      <mc:Fallback>
        <control shapeId="70661" r:id="rId6" name="cmdAddParamQualifier"/>
      </mc:Fallback>
    </mc:AlternateContent>
    <mc:AlternateContent xmlns:mc="http://schemas.openxmlformats.org/markup-compatibility/2006">
      <mc:Choice Requires="x14">
        <control shapeId="70660" r:id="rId8" name="cmdCheckConstrDataSheet">
          <controlPr defaultSize="0" autoLine="0" autoPict="0" r:id="rId9">
            <anchor moveWithCells="1">
              <from>
                <xdr:col>0</xdr:col>
                <xdr:colOff>19050</xdr:colOff>
                <xdr:row>2</xdr:row>
                <xdr:rowOff>152400</xdr:rowOff>
              </from>
              <to>
                <xdr:col>1</xdr:col>
                <xdr:colOff>0</xdr:colOff>
                <xdr:row>4</xdr:row>
                <xdr:rowOff>19050</xdr:rowOff>
              </to>
            </anchor>
          </controlPr>
        </control>
      </mc:Choice>
      <mc:Fallback>
        <control shapeId="70660" r:id="rId8" name="cmdCheckConstrDataSheet"/>
      </mc:Fallback>
    </mc:AlternateContent>
    <mc:AlternateContent xmlns:mc="http://schemas.openxmlformats.org/markup-compatibility/2006">
      <mc:Choice Requires="x14">
        <control shapeId="70659" r:id="rId10" name="cmdAddParameter">
          <controlPr defaultSize="0" autoLine="0" r:id="rId11">
            <anchor moveWithCells="1">
              <from>
                <xdr:col>0</xdr:col>
                <xdr:colOff>19050</xdr:colOff>
                <xdr:row>4</xdr:row>
                <xdr:rowOff>0</xdr:rowOff>
              </from>
              <to>
                <xdr:col>0</xdr:col>
                <xdr:colOff>704850</xdr:colOff>
                <xdr:row>5</xdr:row>
                <xdr:rowOff>6350</xdr:rowOff>
              </to>
            </anchor>
          </controlPr>
        </control>
      </mc:Choice>
      <mc:Fallback>
        <control shapeId="70659" r:id="rId10" name="cmdAddParameter"/>
      </mc:Fallback>
    </mc:AlternateContent>
    <mc:AlternateContent xmlns:mc="http://schemas.openxmlformats.org/markup-compatibility/2006">
      <mc:Choice Requires="x14">
        <control shapeId="70658" r:id="rId12" name="cmdTechName">
          <controlPr defaultSize="0" autoLine="0" r:id="rId13">
            <anchor moveWithCells="1">
              <from>
                <xdr:col>4</xdr:col>
                <xdr:colOff>0</xdr:colOff>
                <xdr:row>3</xdr:row>
                <xdr:rowOff>0</xdr:rowOff>
              </from>
              <to>
                <xdr:col>4</xdr:col>
                <xdr:colOff>660400</xdr:colOff>
                <xdr:row>4</xdr:row>
                <xdr:rowOff>19050</xdr:rowOff>
              </to>
            </anchor>
          </controlPr>
        </control>
      </mc:Choice>
      <mc:Fallback>
        <control shapeId="70658" r:id="rId12" name="cmdTechName"/>
      </mc:Fallback>
    </mc:AlternateContent>
    <mc:AlternateContent xmlns:mc="http://schemas.openxmlformats.org/markup-compatibility/2006">
      <mc:Choice Requires="x14">
        <control shapeId="70657" r:id="rId14" name="cmdConstrNameAndDesc">
          <controlPr defaultSize="0" autoLine="0" autoPict="0" r:id="rId15">
            <anchor moveWithCells="1">
              <from>
                <xdr:col>1</xdr:col>
                <xdr:colOff>19050</xdr:colOff>
                <xdr:row>3</xdr:row>
                <xdr:rowOff>0</xdr:rowOff>
              </from>
              <to>
                <xdr:col>2</xdr:col>
                <xdr:colOff>1009650</xdr:colOff>
                <xdr:row>4</xdr:row>
                <xdr:rowOff>19050</xdr:rowOff>
              </to>
            </anchor>
          </controlPr>
        </control>
      </mc:Choice>
      <mc:Fallback>
        <control shapeId="70657" r:id="rId14" name="cmdConstrNameAndDesc"/>
      </mc:Fallback>
    </mc:AlternateContent>
  </controls>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Sheet19"/>
  <dimension ref="A1:P7"/>
  <sheetViews>
    <sheetView workbookViewId="0">
      <pane xSplit="6" ySplit="7" topLeftCell="G8" activePane="bottomRight" state="frozen"/>
      <selection pane="topRight" activeCell="G1" sqref="G1"/>
      <selection pane="bottomLeft" activeCell="A8" sqref="A8"/>
      <selection pane="bottomRight"/>
    </sheetView>
  </sheetViews>
  <sheetFormatPr defaultRowHeight="12.5"/>
  <cols>
    <col min="1" max="2" width="10.26953125" customWidth="1"/>
    <col min="3" max="3" width="24.26953125" customWidth="1"/>
    <col min="4" max="4" width="7.7265625" customWidth="1"/>
    <col min="6" max="6" width="10.54296875" customWidth="1"/>
    <col min="7" max="7" width="9.7265625" customWidth="1"/>
    <col min="8" max="8" width="8.26953125" customWidth="1"/>
    <col min="9" max="11" width="9.26953125" customWidth="1"/>
    <col min="12" max="12" width="12.54296875" customWidth="1"/>
    <col min="13" max="13" width="12.453125" customWidth="1"/>
  </cols>
  <sheetData>
    <row r="1" spans="1:16" ht="13">
      <c r="A1" s="1" t="s">
        <v>1747</v>
      </c>
      <c r="B1" s="12"/>
    </row>
    <row r="4" spans="1:16" ht="17.25" customHeight="1"/>
    <row r="5" spans="1:16" ht="18" customHeight="1">
      <c r="G5" s="2"/>
      <c r="H5" s="2"/>
      <c r="I5" s="2"/>
      <c r="J5" s="11"/>
      <c r="K5" s="11"/>
      <c r="L5" s="2"/>
      <c r="M5" s="9"/>
      <c r="N5" s="2"/>
      <c r="O5" s="9"/>
      <c r="P5" s="9"/>
    </row>
    <row r="6" spans="1:16" ht="17.25" customHeight="1">
      <c r="G6" s="2"/>
      <c r="H6" s="2"/>
      <c r="I6" s="2"/>
      <c r="J6" s="2"/>
      <c r="K6" s="2"/>
      <c r="L6" s="2"/>
      <c r="M6" s="8"/>
      <c r="N6" s="2"/>
      <c r="O6" s="8"/>
    </row>
    <row r="7" spans="1:16" ht="15.75" customHeight="1">
      <c r="B7" s="1" t="s">
        <v>7</v>
      </c>
      <c r="C7" s="1" t="s">
        <v>8</v>
      </c>
      <c r="D7" s="1" t="s">
        <v>431</v>
      </c>
      <c r="E7" s="1" t="s">
        <v>74</v>
      </c>
      <c r="F7" s="1" t="s">
        <v>75</v>
      </c>
      <c r="G7" s="2"/>
      <c r="H7" s="2"/>
      <c r="I7" s="2"/>
      <c r="J7" s="11"/>
      <c r="K7" s="2"/>
      <c r="L7" s="2"/>
      <c r="M7" s="8"/>
      <c r="N7" s="2"/>
      <c r="P7" s="8"/>
    </row>
  </sheetData>
  <phoneticPr fontId="0" type="noConversion"/>
  <pageMargins left="0.75" right="0.75" top="1" bottom="1" header="0.5" footer="0.5"/>
  <pageSetup paperSize="9" orientation="landscape" horizontalDpi="1200" verticalDpi="300" r:id="rId1"/>
  <headerFooter alignWithMargins="0"/>
  <drawing r:id="rId2"/>
  <legacyDrawing r:id="rId3"/>
  <controls>
    <mc:AlternateContent xmlns:mc="http://schemas.openxmlformats.org/markup-compatibility/2006">
      <mc:Choice Requires="x14">
        <control shapeId="69639" r:id="rId4" name="cmdRefreshUnits">
          <controlPr defaultSize="0" autoLine="0" r:id="rId5">
            <anchor moveWithCells="1">
              <from>
                <xdr:col>3</xdr:col>
                <xdr:colOff>0</xdr:colOff>
                <xdr:row>2</xdr:row>
                <xdr:rowOff>19050</xdr:rowOff>
              </from>
              <to>
                <xdr:col>4</xdr:col>
                <xdr:colOff>12700</xdr:colOff>
                <xdr:row>4</xdr:row>
                <xdr:rowOff>19050</xdr:rowOff>
              </to>
            </anchor>
          </controlPr>
        </control>
      </mc:Choice>
      <mc:Fallback>
        <control shapeId="69639" r:id="rId4" name="cmdRefreshUnits"/>
      </mc:Fallback>
    </mc:AlternateContent>
    <mc:AlternateContent xmlns:mc="http://schemas.openxmlformats.org/markup-compatibility/2006">
      <mc:Choice Requires="x14">
        <control shapeId="69638" r:id="rId6" name="cmdCheckTechDataSheet">
          <controlPr defaultSize="0" autoLine="0" autoPict="0" r:id="rId7">
            <anchor moveWithCells="1">
              <from>
                <xdr:col>0</xdr:col>
                <xdr:colOff>19050</xdr:colOff>
                <xdr:row>2</xdr:row>
                <xdr:rowOff>152400</xdr:rowOff>
              </from>
              <to>
                <xdr:col>1</xdr:col>
                <xdr:colOff>19050</xdr:colOff>
                <xdr:row>4</xdr:row>
                <xdr:rowOff>19050</xdr:rowOff>
              </to>
            </anchor>
          </controlPr>
        </control>
      </mc:Choice>
      <mc:Fallback>
        <control shapeId="69638" r:id="rId6" name="cmdCheckTechDataSheet"/>
      </mc:Fallback>
    </mc:AlternateContent>
    <mc:AlternateContent xmlns:mc="http://schemas.openxmlformats.org/markup-compatibility/2006">
      <mc:Choice Requires="x14">
        <control shapeId="69637" r:id="rId8" name="cmdAddParamQualifier">
          <controlPr defaultSize="0" autoLine="0" autoPict="0" r:id="rId9">
            <anchor moveWithCells="1">
              <from>
                <xdr:col>0</xdr:col>
                <xdr:colOff>19050</xdr:colOff>
                <xdr:row>5</xdr:row>
                <xdr:rowOff>19050</xdr:rowOff>
              </from>
              <to>
                <xdr:col>1</xdr:col>
                <xdr:colOff>19050</xdr:colOff>
                <xdr:row>6</xdr:row>
                <xdr:rowOff>31750</xdr:rowOff>
              </to>
            </anchor>
          </controlPr>
        </control>
      </mc:Choice>
      <mc:Fallback>
        <control shapeId="69637" r:id="rId8" name="cmdAddParamQualifier"/>
      </mc:Fallback>
    </mc:AlternateContent>
    <mc:AlternateContent xmlns:mc="http://schemas.openxmlformats.org/markup-compatibility/2006">
      <mc:Choice Requires="x14">
        <control shapeId="69636" r:id="rId10" name="cmdAddParameter">
          <controlPr defaultSize="0" autoLine="0" r:id="rId11">
            <anchor moveWithCells="1">
              <from>
                <xdr:col>0</xdr:col>
                <xdr:colOff>19050</xdr:colOff>
                <xdr:row>4</xdr:row>
                <xdr:rowOff>0</xdr:rowOff>
              </from>
              <to>
                <xdr:col>0</xdr:col>
                <xdr:colOff>704850</xdr:colOff>
                <xdr:row>5</xdr:row>
                <xdr:rowOff>6350</xdr:rowOff>
              </to>
            </anchor>
          </controlPr>
        </control>
      </mc:Choice>
      <mc:Fallback>
        <control shapeId="69636" r:id="rId10" name="cmdAddParameter"/>
      </mc:Fallback>
    </mc:AlternateContent>
    <mc:AlternateContent xmlns:mc="http://schemas.openxmlformats.org/markup-compatibility/2006">
      <mc:Choice Requires="x14">
        <control shapeId="69635" r:id="rId12" name="cmdCommOUT">
          <controlPr defaultSize="0" autoLine="0" r:id="rId13">
            <anchor moveWithCells="1">
              <from>
                <xdr:col>5</xdr:col>
                <xdr:colOff>19050</xdr:colOff>
                <xdr:row>2</xdr:row>
                <xdr:rowOff>146050</xdr:rowOff>
              </from>
              <to>
                <xdr:col>5</xdr:col>
                <xdr:colOff>711200</xdr:colOff>
                <xdr:row>4</xdr:row>
                <xdr:rowOff>6350</xdr:rowOff>
              </to>
            </anchor>
          </controlPr>
        </control>
      </mc:Choice>
      <mc:Fallback>
        <control shapeId="69635" r:id="rId12" name="cmdCommOUT"/>
      </mc:Fallback>
    </mc:AlternateContent>
    <mc:AlternateContent xmlns:mc="http://schemas.openxmlformats.org/markup-compatibility/2006">
      <mc:Choice Requires="x14">
        <control shapeId="69634" r:id="rId14" name="cmdCommIN">
          <controlPr defaultSize="0" autoLine="0" r:id="rId15">
            <anchor moveWithCells="1">
              <from>
                <xdr:col>4</xdr:col>
                <xdr:colOff>19050</xdr:colOff>
                <xdr:row>2</xdr:row>
                <xdr:rowOff>146050</xdr:rowOff>
              </from>
              <to>
                <xdr:col>5</xdr:col>
                <xdr:colOff>0</xdr:colOff>
                <xdr:row>4</xdr:row>
                <xdr:rowOff>6350</xdr:rowOff>
              </to>
            </anchor>
          </controlPr>
        </control>
      </mc:Choice>
      <mc:Fallback>
        <control shapeId="69634" r:id="rId14" name="cmdCommIN"/>
      </mc:Fallback>
    </mc:AlternateContent>
    <mc:AlternateContent xmlns:mc="http://schemas.openxmlformats.org/markup-compatibility/2006">
      <mc:Choice Requires="x14">
        <control shapeId="69633" r:id="rId16" name="cmdTechNameAndDesc">
          <controlPr defaultSize="0" autoLine="0" r:id="rId17">
            <anchor moveWithCells="1">
              <from>
                <xdr:col>1</xdr:col>
                <xdr:colOff>38100</xdr:colOff>
                <xdr:row>2</xdr:row>
                <xdr:rowOff>152400</xdr:rowOff>
              </from>
              <to>
                <xdr:col>2</xdr:col>
                <xdr:colOff>1549400</xdr:colOff>
                <xdr:row>4</xdr:row>
                <xdr:rowOff>12700</xdr:rowOff>
              </to>
            </anchor>
          </controlPr>
        </control>
      </mc:Choice>
      <mc:Fallback>
        <control shapeId="69633" r:id="rId16" name="cmdTechNameAndDesc"/>
      </mc:Fallback>
    </mc:AlternateContent>
  </controls>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Sheet18"/>
  <dimension ref="A1:H23"/>
  <sheetViews>
    <sheetView workbookViewId="0">
      <pane xSplit="4" ySplit="7" topLeftCell="E8" activePane="bottomRight" state="frozen"/>
      <selection pane="topRight" activeCell="E1" sqref="E1"/>
      <selection pane="bottomLeft" activeCell="A8" sqref="A8"/>
      <selection pane="bottomRight"/>
    </sheetView>
  </sheetViews>
  <sheetFormatPr defaultRowHeight="12.5"/>
  <cols>
    <col min="1" max="1" width="10.54296875" customWidth="1"/>
    <col min="2" max="2" width="11.7265625" customWidth="1"/>
    <col min="3" max="3" width="24" customWidth="1"/>
    <col min="4" max="4" width="5.453125" customWidth="1"/>
    <col min="6" max="6" width="10.26953125" bestFit="1" customWidth="1"/>
  </cols>
  <sheetData>
    <row r="1" spans="1:8" ht="13">
      <c r="A1" s="1" t="s">
        <v>1746</v>
      </c>
      <c r="B1" s="12"/>
    </row>
    <row r="3" spans="1:8" ht="15" customHeight="1"/>
    <row r="4" spans="1:8" ht="20.25" customHeight="1"/>
    <row r="5" spans="1:8" ht="19.5" customHeight="1">
      <c r="E5" s="2"/>
      <c r="F5" s="2"/>
      <c r="G5" s="11"/>
      <c r="H5" s="11"/>
    </row>
    <row r="6" spans="1:8" ht="19.5" customHeight="1">
      <c r="E6" s="8"/>
      <c r="F6" s="8"/>
      <c r="G6" s="11"/>
      <c r="H6" s="11"/>
    </row>
    <row r="7" spans="1:8" ht="13">
      <c r="B7" s="1" t="s">
        <v>1</v>
      </c>
      <c r="C7" s="1" t="s">
        <v>2</v>
      </c>
      <c r="D7" s="1" t="s">
        <v>431</v>
      </c>
      <c r="E7" s="10"/>
      <c r="F7" s="6"/>
      <c r="G7" s="6"/>
      <c r="H7" s="11"/>
    </row>
    <row r="9" spans="1:8">
      <c r="B9" s="8"/>
      <c r="C9" s="8"/>
      <c r="D9" s="8"/>
    </row>
    <row r="10" spans="1:8">
      <c r="B10" s="8"/>
      <c r="C10" s="8"/>
      <c r="D10" s="8"/>
    </row>
    <row r="13" spans="1:8">
      <c r="B13" s="8"/>
      <c r="C13" s="8"/>
      <c r="D13" s="8"/>
    </row>
    <row r="15" spans="1:8">
      <c r="B15" s="8"/>
      <c r="C15" s="8"/>
      <c r="D15" s="8"/>
    </row>
    <row r="17" spans="2:4">
      <c r="B17" s="8"/>
      <c r="C17" s="8"/>
      <c r="D17" s="8"/>
    </row>
    <row r="19" spans="2:4">
      <c r="B19" s="8"/>
      <c r="C19" s="8"/>
      <c r="D19" s="8"/>
    </row>
    <row r="21" spans="2:4">
      <c r="B21" s="8"/>
      <c r="C21" s="8"/>
      <c r="D21" s="8"/>
    </row>
    <row r="23" spans="2:4">
      <c r="B23" s="8"/>
      <c r="C23" s="8"/>
      <c r="D23" s="8"/>
    </row>
  </sheetData>
  <phoneticPr fontId="0" type="noConversion"/>
  <conditionalFormatting sqref="B13">
    <cfRule type="cellIs" dxfId="0" priority="1" stopIfTrue="1" operator="equal">
      <formula>"REF"</formula>
    </cfRule>
  </conditionalFormatting>
  <pageMargins left="0.75" right="0.75" top="1" bottom="1" header="0.5" footer="0.5"/>
  <pageSetup paperSize="9" orientation="landscape" horizontalDpi="1200" verticalDpi="300" r:id="rId1"/>
  <headerFooter alignWithMargins="0"/>
  <drawing r:id="rId2"/>
  <legacyDrawing r:id="rId3"/>
  <controls>
    <mc:AlternateContent xmlns:mc="http://schemas.openxmlformats.org/markup-compatibility/2006">
      <mc:Choice Requires="x14">
        <control shapeId="68613" r:id="rId4" name="cmdRefreshUnits">
          <controlPr defaultSize="0" autoLine="0" r:id="rId5">
            <anchor moveWithCells="1">
              <from>
                <xdr:col>2</xdr:col>
                <xdr:colOff>1409700</xdr:colOff>
                <xdr:row>2</xdr:row>
                <xdr:rowOff>76200</xdr:rowOff>
              </from>
              <to>
                <xdr:col>3</xdr:col>
                <xdr:colOff>285750</xdr:colOff>
                <xdr:row>4</xdr:row>
                <xdr:rowOff>6350</xdr:rowOff>
              </to>
            </anchor>
          </controlPr>
        </control>
      </mc:Choice>
      <mc:Fallback>
        <control shapeId="68613" r:id="rId4" name="cmdRefreshUnits"/>
      </mc:Fallback>
    </mc:AlternateContent>
    <mc:AlternateContent xmlns:mc="http://schemas.openxmlformats.org/markup-compatibility/2006">
      <mc:Choice Requires="x14">
        <control shapeId="68612" r:id="rId6" name="cmdCheckCommDataSheet">
          <controlPr defaultSize="0" autoLine="0" r:id="rId7">
            <anchor moveWithCells="1">
              <from>
                <xdr:col>0</xdr:col>
                <xdr:colOff>19050</xdr:colOff>
                <xdr:row>3</xdr:row>
                <xdr:rowOff>19050</xdr:rowOff>
              </from>
              <to>
                <xdr:col>0</xdr:col>
                <xdr:colOff>704850</xdr:colOff>
                <xdr:row>4</xdr:row>
                <xdr:rowOff>0</xdr:rowOff>
              </to>
            </anchor>
          </controlPr>
        </control>
      </mc:Choice>
      <mc:Fallback>
        <control shapeId="68612" r:id="rId6" name="cmdCheckCommDataSheet"/>
      </mc:Fallback>
    </mc:AlternateContent>
    <mc:AlternateContent xmlns:mc="http://schemas.openxmlformats.org/markup-compatibility/2006">
      <mc:Choice Requires="x14">
        <control shapeId="68611" r:id="rId8" name="cmdAddParamQualifier">
          <controlPr defaultSize="0" autoLine="0" r:id="rId9">
            <anchor moveWithCells="1">
              <from>
                <xdr:col>0</xdr:col>
                <xdr:colOff>19050</xdr:colOff>
                <xdr:row>5</xdr:row>
                <xdr:rowOff>0</xdr:rowOff>
              </from>
              <to>
                <xdr:col>0</xdr:col>
                <xdr:colOff>704850</xdr:colOff>
                <xdr:row>5</xdr:row>
                <xdr:rowOff>234950</xdr:rowOff>
              </to>
            </anchor>
          </controlPr>
        </control>
      </mc:Choice>
      <mc:Fallback>
        <control shapeId="68611" r:id="rId8" name="cmdAddParamQualifier"/>
      </mc:Fallback>
    </mc:AlternateContent>
    <mc:AlternateContent xmlns:mc="http://schemas.openxmlformats.org/markup-compatibility/2006">
      <mc:Choice Requires="x14">
        <control shapeId="68610" r:id="rId10" name="cmdCommNameAndDesc">
          <controlPr defaultSize="0" autoLine="0" autoPict="0" r:id="rId11">
            <anchor moveWithCells="1">
              <from>
                <xdr:col>1</xdr:col>
                <xdr:colOff>0</xdr:colOff>
                <xdr:row>3</xdr:row>
                <xdr:rowOff>19050</xdr:rowOff>
              </from>
              <to>
                <xdr:col>2</xdr:col>
                <xdr:colOff>1390650</xdr:colOff>
                <xdr:row>4</xdr:row>
                <xdr:rowOff>0</xdr:rowOff>
              </to>
            </anchor>
          </controlPr>
        </control>
      </mc:Choice>
      <mc:Fallback>
        <control shapeId="68610" r:id="rId10" name="cmdCommNameAndDesc"/>
      </mc:Fallback>
    </mc:AlternateContent>
    <mc:AlternateContent xmlns:mc="http://schemas.openxmlformats.org/markup-compatibility/2006">
      <mc:Choice Requires="x14">
        <control shapeId="68609" r:id="rId12" name="cmdAddParameter">
          <controlPr defaultSize="0" autoLine="0" r:id="rId13">
            <anchor moveWithCells="1">
              <from>
                <xdr:col>0</xdr:col>
                <xdr:colOff>19050</xdr:colOff>
                <xdr:row>4</xdr:row>
                <xdr:rowOff>19050</xdr:rowOff>
              </from>
              <to>
                <xdr:col>0</xdr:col>
                <xdr:colOff>704850</xdr:colOff>
                <xdr:row>5</xdr:row>
                <xdr:rowOff>6350</xdr:rowOff>
              </to>
            </anchor>
          </controlPr>
        </control>
      </mc:Choice>
      <mc:Fallback>
        <control shapeId="68609" r:id="rId12" name="cmdAddParameter"/>
      </mc:Fallback>
    </mc:AlternateContent>
  </controls>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Sheet17"/>
  <dimension ref="A1:F24"/>
  <sheetViews>
    <sheetView workbookViewId="0">
      <pane xSplit="3" ySplit="7" topLeftCell="D8" activePane="bottomRight" state="frozen"/>
      <selection pane="topRight" activeCell="D1" sqref="D1"/>
      <selection pane="bottomLeft" activeCell="A8" sqref="A8"/>
      <selection pane="bottomRight"/>
    </sheetView>
  </sheetViews>
  <sheetFormatPr defaultRowHeight="12.5"/>
  <cols>
    <col min="1" max="1" width="12" customWidth="1"/>
    <col min="2" max="2" width="11.7265625" customWidth="1"/>
    <col min="3" max="3" width="21.453125" customWidth="1"/>
    <col min="4" max="4" width="8.7265625" customWidth="1"/>
    <col min="5" max="5" width="18.26953125" customWidth="1"/>
    <col min="6" max="6" width="10.26953125" customWidth="1"/>
  </cols>
  <sheetData>
    <row r="1" spans="1:6" ht="13">
      <c r="A1" s="1" t="s">
        <v>1745</v>
      </c>
      <c r="B1" s="12"/>
    </row>
    <row r="4" spans="1:6" ht="18.75" customHeight="1"/>
    <row r="5" spans="1:6" ht="17.25" customHeight="1">
      <c r="C5" s="2"/>
    </row>
    <row r="6" spans="1:6" ht="15.75" customHeight="1"/>
    <row r="7" spans="1:6" ht="13">
      <c r="B7" s="3" t="s">
        <v>429</v>
      </c>
      <c r="C7" s="1" t="s">
        <v>430</v>
      </c>
      <c r="D7" s="1" t="s">
        <v>431</v>
      </c>
      <c r="E7" s="1" t="s">
        <v>4</v>
      </c>
      <c r="F7" s="1" t="s">
        <v>5</v>
      </c>
    </row>
    <row r="8" spans="1:6" ht="13">
      <c r="B8" s="1"/>
      <c r="C8" s="1"/>
      <c r="D8" s="1"/>
      <c r="E8" s="2"/>
      <c r="F8" s="1"/>
    </row>
    <row r="10" spans="1:6" ht="13">
      <c r="B10" s="2"/>
      <c r="C10" s="2"/>
      <c r="D10" s="11"/>
      <c r="E10" s="11"/>
    </row>
    <row r="11" spans="1:6">
      <c r="B11" s="2"/>
      <c r="C11" s="2"/>
    </row>
    <row r="12" spans="1:6">
      <c r="B12" s="2"/>
      <c r="C12" s="2"/>
      <c r="D12" s="2"/>
      <c r="E12" s="2"/>
    </row>
    <row r="13" spans="1:6">
      <c r="B13" s="2"/>
      <c r="C13" s="2"/>
      <c r="D13" s="5"/>
      <c r="E13" s="2"/>
    </row>
    <row r="14" spans="1:6">
      <c r="B14" s="2"/>
      <c r="C14" s="2"/>
      <c r="D14" s="2"/>
      <c r="E14" s="2"/>
    </row>
    <row r="15" spans="1:6">
      <c r="B15" s="2"/>
      <c r="C15" s="2"/>
      <c r="E15" s="2"/>
    </row>
    <row r="16" spans="1:6">
      <c r="B16" s="2"/>
      <c r="C16" s="2"/>
    </row>
    <row r="17" spans="2:5">
      <c r="B17" s="2"/>
      <c r="C17" s="2"/>
      <c r="D17" s="5"/>
      <c r="E17" s="2"/>
    </row>
    <row r="18" spans="2:5" ht="13">
      <c r="B18" s="3"/>
      <c r="C18" s="2"/>
      <c r="E18" s="2"/>
    </row>
    <row r="19" spans="2:5">
      <c r="E19" s="2"/>
    </row>
    <row r="21" spans="2:5">
      <c r="B21" s="2"/>
      <c r="C21" s="2"/>
      <c r="D21" s="2"/>
      <c r="E21" s="2"/>
    </row>
    <row r="22" spans="2:5">
      <c r="B22" s="2"/>
      <c r="C22" s="2"/>
    </row>
    <row r="23" spans="2:5">
      <c r="B23" s="2"/>
      <c r="C23" s="2"/>
      <c r="E23" s="2"/>
    </row>
    <row r="24" spans="2:5">
      <c r="D24" s="2"/>
      <c r="E24" s="2"/>
    </row>
  </sheetData>
  <phoneticPr fontId="0" type="noConversion"/>
  <pageMargins left="0.75" right="0.75" top="1" bottom="1" header="0.5" footer="0.5"/>
  <pageSetup paperSize="9" orientation="portrait" horizontalDpi="1200" verticalDpi="300" r:id="rId1"/>
  <headerFooter alignWithMargins="0"/>
  <drawing r:id="rId2"/>
  <legacyDrawing r:id="rId3"/>
  <controls>
    <mc:AlternateContent xmlns:mc="http://schemas.openxmlformats.org/markup-compatibility/2006">
      <mc:Choice Requires="x14">
        <control shapeId="67588" r:id="rId4" name="cmdRefreshUnits">
          <controlPr defaultSize="0" autoLine="0" r:id="rId5">
            <anchor moveWithCells="1">
              <from>
                <xdr:col>3</xdr:col>
                <xdr:colOff>19050</xdr:colOff>
                <xdr:row>2</xdr:row>
                <xdr:rowOff>57150</xdr:rowOff>
              </from>
              <to>
                <xdr:col>3</xdr:col>
                <xdr:colOff>571500</xdr:colOff>
                <xdr:row>4</xdr:row>
                <xdr:rowOff>38100</xdr:rowOff>
              </to>
            </anchor>
          </controlPr>
        </control>
      </mc:Choice>
      <mc:Fallback>
        <control shapeId="67588" r:id="rId4" name="cmdRefreshUnits"/>
      </mc:Fallback>
    </mc:AlternateContent>
    <mc:AlternateContent xmlns:mc="http://schemas.openxmlformats.org/markup-compatibility/2006">
      <mc:Choice Requires="x14">
        <control shapeId="67587" r:id="rId6" name="cmdConstraintUnit">
          <controlPr defaultSize="0" autoLine="0" r:id="rId7">
            <anchor moveWithCells="1">
              <from>
                <xdr:col>3</xdr:col>
                <xdr:colOff>19050</xdr:colOff>
                <xdr:row>4</xdr:row>
                <xdr:rowOff>19050</xdr:rowOff>
              </from>
              <to>
                <xdr:col>3</xdr:col>
                <xdr:colOff>571500</xdr:colOff>
                <xdr:row>5</xdr:row>
                <xdr:rowOff>38100</xdr:rowOff>
              </to>
            </anchor>
          </controlPr>
        </control>
      </mc:Choice>
      <mc:Fallback>
        <control shapeId="67587" r:id="rId6" name="cmdConstraintUnit"/>
      </mc:Fallback>
    </mc:AlternateContent>
    <mc:AlternateContent xmlns:mc="http://schemas.openxmlformats.org/markup-compatibility/2006">
      <mc:Choice Requires="x14">
        <control shapeId="67586" r:id="rId8" name="cmdCheckConstraintsSheet">
          <controlPr defaultSize="0" autoLine="0" r:id="rId9">
            <anchor moveWithCells="1">
              <from>
                <xdr:col>0</xdr:col>
                <xdr:colOff>19050</xdr:colOff>
                <xdr:row>3</xdr:row>
                <xdr:rowOff>0</xdr:rowOff>
              </from>
              <to>
                <xdr:col>0</xdr:col>
                <xdr:colOff>800100</xdr:colOff>
                <xdr:row>4</xdr:row>
                <xdr:rowOff>0</xdr:rowOff>
              </to>
            </anchor>
          </controlPr>
        </control>
      </mc:Choice>
      <mc:Fallback>
        <control shapeId="67586" r:id="rId8" name="cmdCheckConstraintsSheet"/>
      </mc:Fallback>
    </mc:AlternateContent>
    <mc:AlternateContent xmlns:mc="http://schemas.openxmlformats.org/markup-compatibility/2006">
      <mc:Choice Requires="x14">
        <control shapeId="67585" r:id="rId10" name="cmdConstraintSets">
          <controlPr defaultSize="0" autoLine="0" r:id="rId11">
            <anchor moveWithCells="1">
              <from>
                <xdr:col>4</xdr:col>
                <xdr:colOff>19050</xdr:colOff>
                <xdr:row>4</xdr:row>
                <xdr:rowOff>19050</xdr:rowOff>
              </from>
              <to>
                <xdr:col>4</xdr:col>
                <xdr:colOff>990600</xdr:colOff>
                <xdr:row>5</xdr:row>
                <xdr:rowOff>38100</xdr:rowOff>
              </to>
            </anchor>
          </controlPr>
        </control>
      </mc:Choice>
      <mc:Fallback>
        <control shapeId="67585" r:id="rId10" name="cmdConstraintSets"/>
      </mc:Fallback>
    </mc:AlternateContent>
  </controls>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codeName="Sheet16"/>
  <dimension ref="A1:L38"/>
  <sheetViews>
    <sheetView workbookViewId="0">
      <pane xSplit="3" ySplit="7" topLeftCell="D8" activePane="bottomRight" state="frozen"/>
      <selection pane="topRight" activeCell="D1" sqref="D1"/>
      <selection pane="bottomLeft" activeCell="A8" sqref="A8"/>
      <selection pane="bottomRight"/>
    </sheetView>
  </sheetViews>
  <sheetFormatPr defaultRowHeight="12.5"/>
  <cols>
    <col min="1" max="1" width="12.453125" customWidth="1"/>
    <col min="2" max="2" width="11.26953125" customWidth="1"/>
    <col min="3" max="3" width="27.26953125" customWidth="1"/>
    <col min="4" max="5" width="9.7265625" customWidth="1"/>
    <col min="6" max="6" width="30.453125" customWidth="1"/>
    <col min="7" max="7" width="10.453125" customWidth="1"/>
  </cols>
  <sheetData>
    <row r="1" spans="1:12" ht="13">
      <c r="A1" s="1" t="s">
        <v>6</v>
      </c>
      <c r="B1" s="12"/>
    </row>
    <row r="4" spans="1:12" ht="18" customHeight="1"/>
    <row r="7" spans="1:12" ht="13">
      <c r="B7" s="1" t="s">
        <v>7</v>
      </c>
      <c r="C7" s="1" t="s">
        <v>8</v>
      </c>
      <c r="D7" s="1" t="s">
        <v>9</v>
      </c>
      <c r="E7" s="1" t="s">
        <v>10</v>
      </c>
      <c r="F7" s="1" t="s">
        <v>4</v>
      </c>
      <c r="G7" s="1" t="s">
        <v>5</v>
      </c>
    </row>
    <row r="8" spans="1:12" ht="13">
      <c r="B8" s="1"/>
      <c r="C8" s="1"/>
      <c r="D8" s="1"/>
      <c r="E8" s="1"/>
      <c r="F8" s="1"/>
      <c r="G8" s="1"/>
    </row>
    <row r="9" spans="1:12">
      <c r="D9" s="2"/>
      <c r="E9" s="2"/>
      <c r="F9" s="2"/>
    </row>
    <row r="10" spans="1:12">
      <c r="F10" s="2"/>
    </row>
    <row r="11" spans="1:12" ht="13">
      <c r="B11" s="1"/>
      <c r="C11" s="1"/>
      <c r="D11" s="11"/>
      <c r="E11" s="11"/>
    </row>
    <row r="12" spans="1:12" ht="13">
      <c r="B12" s="7"/>
      <c r="C12" s="2"/>
      <c r="F12" s="11"/>
    </row>
    <row r="13" spans="1:12">
      <c r="B13" s="2"/>
      <c r="C13" s="2"/>
    </row>
    <row r="14" spans="1:12">
      <c r="B14" s="2"/>
      <c r="C14" s="2"/>
      <c r="D14" s="5"/>
      <c r="F14" s="2"/>
      <c r="L14" s="4"/>
    </row>
    <row r="15" spans="1:12">
      <c r="B15" s="2"/>
      <c r="C15" s="2"/>
      <c r="E15" s="5"/>
      <c r="F15" s="2"/>
    </row>
    <row r="16" spans="1:12">
      <c r="B16" s="2"/>
      <c r="C16" s="2"/>
      <c r="F16" s="2"/>
    </row>
    <row r="17" spans="2:6">
      <c r="D17" s="5"/>
    </row>
    <row r="18" spans="2:6">
      <c r="E18" s="5"/>
    </row>
    <row r="20" spans="2:6">
      <c r="B20" s="2"/>
      <c r="C20" s="2"/>
      <c r="F20" s="8"/>
    </row>
    <row r="21" spans="2:6">
      <c r="B21" s="2"/>
      <c r="C21" s="2"/>
    </row>
    <row r="22" spans="2:6">
      <c r="B22" s="2"/>
      <c r="C22" s="2"/>
      <c r="D22" s="2"/>
      <c r="E22" s="2"/>
      <c r="F22" s="2"/>
    </row>
    <row r="23" spans="2:6">
      <c r="B23" s="2"/>
      <c r="C23" s="2"/>
    </row>
    <row r="24" spans="2:6">
      <c r="B24" s="2"/>
      <c r="C24" s="2"/>
    </row>
    <row r="25" spans="2:6">
      <c r="D25" s="5"/>
      <c r="E25" s="5"/>
    </row>
    <row r="26" spans="2:6">
      <c r="F26" s="2"/>
    </row>
    <row r="27" spans="2:6" ht="13">
      <c r="B27" s="3"/>
      <c r="C27" s="2"/>
      <c r="D27" s="5"/>
      <c r="E27" s="5"/>
    </row>
    <row r="28" spans="2:6">
      <c r="B28" s="2"/>
      <c r="C28" s="2"/>
      <c r="D28" s="8"/>
      <c r="E28" s="2"/>
      <c r="F28" s="2"/>
    </row>
    <row r="29" spans="2:6">
      <c r="B29" s="2"/>
      <c r="C29" s="2"/>
    </row>
    <row r="30" spans="2:6">
      <c r="B30" s="2"/>
      <c r="C30" s="2"/>
    </row>
    <row r="31" spans="2:6">
      <c r="B31" s="2"/>
      <c r="C31" s="2"/>
    </row>
    <row r="32" spans="2:6">
      <c r="B32" s="2"/>
      <c r="C32" s="2"/>
    </row>
    <row r="33" spans="2:6">
      <c r="B33" s="2"/>
      <c r="C33" s="2"/>
    </row>
    <row r="37" spans="2:6">
      <c r="B37" s="2"/>
      <c r="C37" s="2"/>
      <c r="F37" s="2"/>
    </row>
    <row r="38" spans="2:6" ht="13">
      <c r="B38" s="3"/>
      <c r="C38" s="2"/>
    </row>
  </sheetData>
  <phoneticPr fontId="0" type="noConversion"/>
  <pageMargins left="0.75" right="0.75" top="1" bottom="1" header="0.5" footer="0.5"/>
  <pageSetup paperSize="9" orientation="portrait" horizontalDpi="1200" verticalDpi="300" r:id="rId1"/>
  <headerFooter alignWithMargins="0"/>
  <drawing r:id="rId2"/>
  <legacyDrawing r:id="rId3"/>
  <controls>
    <mc:AlternateContent xmlns:mc="http://schemas.openxmlformats.org/markup-compatibility/2006">
      <mc:Choice Requires="x14">
        <control shapeId="66565" r:id="rId4" name="cmdRefreshUnits">
          <controlPr defaultSize="0" autoLine="0" r:id="rId5">
            <anchor moveWithCells="1">
              <from>
                <xdr:col>3</xdr:col>
                <xdr:colOff>381000</xdr:colOff>
                <xdr:row>1</xdr:row>
                <xdr:rowOff>152400</xdr:rowOff>
              </from>
              <to>
                <xdr:col>4</xdr:col>
                <xdr:colOff>254000</xdr:colOff>
                <xdr:row>3</xdr:row>
                <xdr:rowOff>209550</xdr:rowOff>
              </to>
            </anchor>
          </controlPr>
        </control>
      </mc:Choice>
      <mc:Fallback>
        <control shapeId="66565" r:id="rId4" name="cmdRefreshUnits"/>
      </mc:Fallback>
    </mc:AlternateContent>
    <mc:AlternateContent xmlns:mc="http://schemas.openxmlformats.org/markup-compatibility/2006">
      <mc:Choice Requires="x14">
        <control shapeId="66564" r:id="rId6" name="cmdTCAPUnit">
          <controlPr defaultSize="0" autoLine="0" r:id="rId7">
            <anchor moveWithCells="1">
              <from>
                <xdr:col>4</xdr:col>
                <xdr:colOff>19050</xdr:colOff>
                <xdr:row>4</xdr:row>
                <xdr:rowOff>19050</xdr:rowOff>
              </from>
              <to>
                <xdr:col>4</xdr:col>
                <xdr:colOff>660400</xdr:colOff>
                <xdr:row>5</xdr:row>
                <xdr:rowOff>95250</xdr:rowOff>
              </to>
            </anchor>
          </controlPr>
        </control>
      </mc:Choice>
      <mc:Fallback>
        <control shapeId="66564" r:id="rId6" name="cmdTCAPUnit"/>
      </mc:Fallback>
    </mc:AlternateContent>
    <mc:AlternateContent xmlns:mc="http://schemas.openxmlformats.org/markup-compatibility/2006">
      <mc:Choice Requires="x14">
        <control shapeId="66563" r:id="rId8" name="cmdTACTUnit">
          <controlPr defaultSize="0" autoLine="0" r:id="rId9">
            <anchor moveWithCells="1">
              <from>
                <xdr:col>3</xdr:col>
                <xdr:colOff>19050</xdr:colOff>
                <xdr:row>4</xdr:row>
                <xdr:rowOff>19050</xdr:rowOff>
              </from>
              <to>
                <xdr:col>3</xdr:col>
                <xdr:colOff>660400</xdr:colOff>
                <xdr:row>5</xdr:row>
                <xdr:rowOff>95250</xdr:rowOff>
              </to>
            </anchor>
          </controlPr>
        </control>
      </mc:Choice>
      <mc:Fallback>
        <control shapeId="66563" r:id="rId8" name="cmdTACTUnit"/>
      </mc:Fallback>
    </mc:AlternateContent>
    <mc:AlternateContent xmlns:mc="http://schemas.openxmlformats.org/markup-compatibility/2006">
      <mc:Choice Requires="x14">
        <control shapeId="66562" r:id="rId10" name="cmdCheckTechnologiesSheet">
          <controlPr defaultSize="0" autoLine="0" autoPict="0" r:id="rId11">
            <anchor moveWithCells="1">
              <from>
                <xdr:col>0</xdr:col>
                <xdr:colOff>19050</xdr:colOff>
                <xdr:row>2</xdr:row>
                <xdr:rowOff>152400</xdr:rowOff>
              </from>
              <to>
                <xdr:col>1</xdr:col>
                <xdr:colOff>0</xdr:colOff>
                <xdr:row>4</xdr:row>
                <xdr:rowOff>0</xdr:rowOff>
              </to>
            </anchor>
          </controlPr>
        </control>
      </mc:Choice>
      <mc:Fallback>
        <control shapeId="66562" r:id="rId10" name="cmdCheckTechnologiesSheet"/>
      </mc:Fallback>
    </mc:AlternateContent>
    <mc:AlternateContent xmlns:mc="http://schemas.openxmlformats.org/markup-compatibility/2006">
      <mc:Choice Requires="x14">
        <control shapeId="66561" r:id="rId12" name="cmdTechnologySets">
          <controlPr defaultSize="0" autoLine="0" r:id="rId13">
            <anchor moveWithCells="1">
              <from>
                <xdr:col>5</xdr:col>
                <xdr:colOff>19050</xdr:colOff>
                <xdr:row>4</xdr:row>
                <xdr:rowOff>19050</xdr:rowOff>
              </from>
              <to>
                <xdr:col>5</xdr:col>
                <xdr:colOff>1822450</xdr:colOff>
                <xdr:row>5</xdr:row>
                <xdr:rowOff>95250</xdr:rowOff>
              </to>
            </anchor>
          </controlPr>
        </control>
      </mc:Choice>
      <mc:Fallback>
        <control shapeId="66561" r:id="rId12" name="cmdTechnologySets"/>
      </mc:Fallback>
    </mc:AlternateContent>
  </controls>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codeName="Sheet15"/>
  <dimension ref="A1:F32"/>
  <sheetViews>
    <sheetView workbookViewId="0">
      <pane xSplit="3" ySplit="7" topLeftCell="D8" activePane="bottomRight" state="frozen"/>
      <selection pane="topRight" activeCell="D1" sqref="D1"/>
      <selection pane="bottomLeft" activeCell="A8" sqref="A8"/>
      <selection pane="bottomRight" sqref="A1:A65536"/>
    </sheetView>
  </sheetViews>
  <sheetFormatPr defaultRowHeight="12.5"/>
  <cols>
    <col min="1" max="1" width="12.54296875" customWidth="1"/>
    <col min="2" max="2" width="12.26953125" customWidth="1"/>
    <col min="3" max="3" width="29.7265625" customWidth="1"/>
    <col min="4" max="4" width="10.26953125" customWidth="1"/>
    <col min="5" max="5" width="29.7265625" customWidth="1"/>
    <col min="6" max="6" width="10.26953125" customWidth="1"/>
  </cols>
  <sheetData>
    <row r="1" spans="1:6" ht="13">
      <c r="A1" s="1" t="s">
        <v>0</v>
      </c>
      <c r="B1" s="12"/>
    </row>
    <row r="4" spans="1:6" ht="17.25" customHeight="1"/>
    <row r="5" spans="1:6" ht="17.25" customHeight="1">
      <c r="C5" s="2"/>
    </row>
    <row r="6" spans="1:6" ht="15.75" customHeight="1"/>
    <row r="7" spans="1:6" ht="13">
      <c r="B7" s="3" t="s">
        <v>1</v>
      </c>
      <c r="C7" s="1" t="s">
        <v>2</v>
      </c>
      <c r="D7" s="1" t="s">
        <v>3</v>
      </c>
      <c r="E7" s="1" t="s">
        <v>4</v>
      </c>
      <c r="F7" s="1" t="s">
        <v>5</v>
      </c>
    </row>
    <row r="8" spans="1:6" ht="13">
      <c r="B8" s="1"/>
      <c r="C8" s="1"/>
      <c r="D8" s="1"/>
      <c r="E8" s="2"/>
      <c r="F8" s="1"/>
    </row>
    <row r="9" spans="1:6">
      <c r="D9" s="2"/>
      <c r="E9" s="2"/>
    </row>
    <row r="11" spans="1:6" ht="13">
      <c r="B11" s="2"/>
      <c r="C11" s="2"/>
      <c r="D11" s="11"/>
      <c r="E11" s="11"/>
    </row>
    <row r="12" spans="1:6">
      <c r="B12" s="2"/>
      <c r="C12" s="2"/>
      <c r="E12" s="2"/>
    </row>
    <row r="13" spans="1:6">
      <c r="B13" s="2"/>
      <c r="C13" s="2"/>
    </row>
    <row r="14" spans="1:6">
      <c r="B14" s="2"/>
      <c r="C14" s="2"/>
      <c r="D14" s="5"/>
    </row>
    <row r="15" spans="1:6">
      <c r="B15" s="2"/>
      <c r="C15" s="2"/>
      <c r="E15" s="2"/>
    </row>
    <row r="16" spans="1:6">
      <c r="B16" s="2"/>
      <c r="C16" s="2"/>
      <c r="E16" s="2"/>
    </row>
    <row r="17" spans="2:5">
      <c r="B17" s="2"/>
      <c r="C17" s="2"/>
      <c r="E17" s="2"/>
    </row>
    <row r="18" spans="2:5">
      <c r="B18" s="2"/>
      <c r="C18" s="2"/>
      <c r="E18" s="2"/>
    </row>
    <row r="19" spans="2:5">
      <c r="B19" s="2"/>
      <c r="C19" s="2"/>
      <c r="E19" s="2"/>
    </row>
    <row r="20" spans="2:5">
      <c r="D20" s="5"/>
    </row>
    <row r="21" spans="2:5">
      <c r="E21" s="2"/>
    </row>
    <row r="23" spans="2:5">
      <c r="B23" s="2"/>
      <c r="C23" s="2"/>
      <c r="D23" s="2"/>
      <c r="E23" s="2"/>
    </row>
    <row r="24" spans="2:5">
      <c r="B24" s="2"/>
      <c r="C24" s="2"/>
    </row>
    <row r="25" spans="2:5">
      <c r="B25" s="2"/>
      <c r="C25" s="2"/>
      <c r="D25" s="5"/>
      <c r="E25" s="2"/>
    </row>
    <row r="26" spans="2:5" ht="13">
      <c r="B26" s="3"/>
      <c r="C26" s="2"/>
      <c r="E26" s="2"/>
    </row>
    <row r="27" spans="2:5">
      <c r="E27" s="2"/>
    </row>
    <row r="29" spans="2:5">
      <c r="B29" s="2"/>
      <c r="C29" s="2"/>
      <c r="D29" s="2"/>
      <c r="E29" s="2"/>
    </row>
    <row r="30" spans="2:5">
      <c r="B30" s="2"/>
      <c r="C30" s="2"/>
    </row>
    <row r="31" spans="2:5">
      <c r="B31" s="2"/>
      <c r="C31" s="2"/>
      <c r="E31" s="2"/>
    </row>
    <row r="32" spans="2:5">
      <c r="B32" s="2"/>
      <c r="C32" s="2"/>
      <c r="E32" s="2"/>
    </row>
  </sheetData>
  <phoneticPr fontId="0" type="noConversion"/>
  <pageMargins left="0.75" right="0.75" top="1" bottom="1" header="0.5" footer="0.5"/>
  <pageSetup paperSize="9" orientation="portrait" horizontalDpi="1200" verticalDpi="300" r:id="rId1"/>
  <headerFooter alignWithMargins="0"/>
  <drawing r:id="rId2"/>
  <legacyDrawing r:id="rId3"/>
  <controls>
    <mc:AlternateContent xmlns:mc="http://schemas.openxmlformats.org/markup-compatibility/2006">
      <mc:Choice Requires="x14">
        <control shapeId="63495" r:id="rId4" name="cmdRefreshUnits">
          <controlPr defaultSize="0" autoLine="0" r:id="rId5">
            <anchor moveWithCells="1">
              <from>
                <xdr:col>3</xdr:col>
                <xdr:colOff>69850</xdr:colOff>
                <xdr:row>2</xdr:row>
                <xdr:rowOff>114300</xdr:rowOff>
              </from>
              <to>
                <xdr:col>3</xdr:col>
                <xdr:colOff>622300</xdr:colOff>
                <xdr:row>4</xdr:row>
                <xdr:rowOff>114300</xdr:rowOff>
              </to>
            </anchor>
          </controlPr>
        </control>
      </mc:Choice>
      <mc:Fallback>
        <control shapeId="63495" r:id="rId4" name="cmdRefreshUnits"/>
      </mc:Fallback>
    </mc:AlternateContent>
    <mc:AlternateContent xmlns:mc="http://schemas.openxmlformats.org/markup-compatibility/2006">
      <mc:Choice Requires="x14">
        <control shapeId="63494" r:id="rId6" name="cmdCommUnit">
          <controlPr defaultSize="0" autoLine="0" r:id="rId7">
            <anchor moveWithCells="1">
              <from>
                <xdr:col>3</xdr:col>
                <xdr:colOff>19050</xdr:colOff>
                <xdr:row>4</xdr:row>
                <xdr:rowOff>171450</xdr:rowOff>
              </from>
              <to>
                <xdr:col>3</xdr:col>
                <xdr:colOff>685800</xdr:colOff>
                <xdr:row>5</xdr:row>
                <xdr:rowOff>190500</xdr:rowOff>
              </to>
            </anchor>
          </controlPr>
        </control>
      </mc:Choice>
      <mc:Fallback>
        <control shapeId="63494" r:id="rId6" name="cmdCommUnit"/>
      </mc:Fallback>
    </mc:AlternateContent>
    <mc:AlternateContent xmlns:mc="http://schemas.openxmlformats.org/markup-compatibility/2006">
      <mc:Choice Requires="x14">
        <control shapeId="63493" r:id="rId8" name="cmdCheckCommoditiesSheet">
          <controlPr defaultSize="0" autoLine="0" autoPict="0" r:id="rId9">
            <anchor moveWithCells="1">
              <from>
                <xdr:col>0</xdr:col>
                <xdr:colOff>19050</xdr:colOff>
                <xdr:row>2</xdr:row>
                <xdr:rowOff>146050</xdr:rowOff>
              </from>
              <to>
                <xdr:col>0</xdr:col>
                <xdr:colOff>831850</xdr:colOff>
                <xdr:row>4</xdr:row>
                <xdr:rowOff>0</xdr:rowOff>
              </to>
            </anchor>
          </controlPr>
        </control>
      </mc:Choice>
      <mc:Fallback>
        <control shapeId="63493" r:id="rId8" name="cmdCheckCommoditiesSheet"/>
      </mc:Fallback>
    </mc:AlternateContent>
    <mc:AlternateContent xmlns:mc="http://schemas.openxmlformats.org/markup-compatibility/2006">
      <mc:Choice Requires="x14">
        <control shapeId="63492" r:id="rId10" name="cmdMaterialSets">
          <controlPr defaultSize="0" autoLine="0" r:id="rId11">
            <anchor moveWithCells="1">
              <from>
                <xdr:col>4</xdr:col>
                <xdr:colOff>1009650</xdr:colOff>
                <xdr:row>3</xdr:row>
                <xdr:rowOff>95250</xdr:rowOff>
              </from>
              <to>
                <xdr:col>4</xdr:col>
                <xdr:colOff>1981200</xdr:colOff>
                <xdr:row>4</xdr:row>
                <xdr:rowOff>114300</xdr:rowOff>
              </to>
            </anchor>
          </controlPr>
        </control>
      </mc:Choice>
      <mc:Fallback>
        <control shapeId="63492" r:id="rId10" name="cmdMaterialSets"/>
      </mc:Fallback>
    </mc:AlternateContent>
    <mc:AlternateContent xmlns:mc="http://schemas.openxmlformats.org/markup-compatibility/2006">
      <mc:Choice Requires="x14">
        <control shapeId="63491" r:id="rId12" name="cmdEmissionSets">
          <controlPr defaultSize="0" autoLine="0" r:id="rId13">
            <anchor moveWithCells="1">
              <from>
                <xdr:col>4</xdr:col>
                <xdr:colOff>1009650</xdr:colOff>
                <xdr:row>4</xdr:row>
                <xdr:rowOff>171450</xdr:rowOff>
              </from>
              <to>
                <xdr:col>4</xdr:col>
                <xdr:colOff>1981200</xdr:colOff>
                <xdr:row>5</xdr:row>
                <xdr:rowOff>190500</xdr:rowOff>
              </to>
            </anchor>
          </controlPr>
        </control>
      </mc:Choice>
      <mc:Fallback>
        <control shapeId="63491" r:id="rId12" name="cmdEmissionSets"/>
      </mc:Fallback>
    </mc:AlternateContent>
    <mc:AlternateContent xmlns:mc="http://schemas.openxmlformats.org/markup-compatibility/2006">
      <mc:Choice Requires="x14">
        <control shapeId="63490" r:id="rId14" name="cmdDemandSets">
          <controlPr defaultSize="0" autoLine="0" r:id="rId15">
            <anchor moveWithCells="1">
              <from>
                <xdr:col>4</xdr:col>
                <xdr:colOff>19050</xdr:colOff>
                <xdr:row>4</xdr:row>
                <xdr:rowOff>171450</xdr:rowOff>
              </from>
              <to>
                <xdr:col>4</xdr:col>
                <xdr:colOff>990600</xdr:colOff>
                <xdr:row>5</xdr:row>
                <xdr:rowOff>190500</xdr:rowOff>
              </to>
            </anchor>
          </controlPr>
        </control>
      </mc:Choice>
      <mc:Fallback>
        <control shapeId="63490" r:id="rId14" name="cmdDemandSets"/>
      </mc:Fallback>
    </mc:AlternateContent>
    <mc:AlternateContent xmlns:mc="http://schemas.openxmlformats.org/markup-compatibility/2006">
      <mc:Choice Requires="x14">
        <control shapeId="63489" r:id="rId16" name="cmdEnergySets">
          <controlPr defaultSize="0" autoLine="0" r:id="rId17">
            <anchor moveWithCells="1">
              <from>
                <xdr:col>4</xdr:col>
                <xdr:colOff>19050</xdr:colOff>
                <xdr:row>3</xdr:row>
                <xdr:rowOff>95250</xdr:rowOff>
              </from>
              <to>
                <xdr:col>4</xdr:col>
                <xdr:colOff>990600</xdr:colOff>
                <xdr:row>4</xdr:row>
                <xdr:rowOff>114300</xdr:rowOff>
              </to>
            </anchor>
          </controlPr>
        </control>
      </mc:Choice>
      <mc:Fallback>
        <control shapeId="63489" r:id="rId16" name="cmdEnergySets"/>
      </mc:Fallback>
    </mc:AlternateContent>
  </control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E21"/>
  <sheetViews>
    <sheetView workbookViewId="0">
      <selection activeCell="R107" sqref="R107"/>
    </sheetView>
  </sheetViews>
  <sheetFormatPr defaultColWidth="9.26953125" defaultRowHeight="12.5"/>
  <cols>
    <col min="1" max="1" width="9.26953125" style="17"/>
    <col min="2" max="2" width="13" style="17" customWidth="1"/>
    <col min="3" max="16384" width="9.26953125" style="17"/>
  </cols>
  <sheetData>
    <row r="1" spans="1:5" ht="13">
      <c r="A1" s="17" t="s">
        <v>1972</v>
      </c>
      <c r="B1" s="15" t="s">
        <v>1973</v>
      </c>
    </row>
    <row r="2" spans="1:5">
      <c r="A2" s="17" t="s">
        <v>1974</v>
      </c>
    </row>
    <row r="3" spans="1:5">
      <c r="B3" s="17" t="s">
        <v>1975</v>
      </c>
    </row>
    <row r="5" spans="1:5">
      <c r="B5" s="17" t="s">
        <v>1976</v>
      </c>
    </row>
    <row r="7" spans="1:5">
      <c r="C7" s="17" t="s">
        <v>1977</v>
      </c>
      <c r="D7" s="17" t="s">
        <v>1978</v>
      </c>
      <c r="E7" s="17" t="s">
        <v>1979</v>
      </c>
    </row>
    <row r="8" spans="1:5">
      <c r="B8" s="17" t="s">
        <v>1980</v>
      </c>
      <c r="C8" s="17" t="s">
        <v>1981</v>
      </c>
      <c r="D8" s="17" t="s">
        <v>32</v>
      </c>
      <c r="E8" s="17" t="s">
        <v>32</v>
      </c>
    </row>
    <row r="9" spans="1:5">
      <c r="B9" s="17" t="s">
        <v>1446</v>
      </c>
      <c r="C9" s="17">
        <v>53.06</v>
      </c>
      <c r="D9" s="17">
        <f t="shared" ref="D9:D21" si="0">E9/1000</f>
        <v>5.5983606000000005E-2</v>
      </c>
      <c r="E9" s="17">
        <f t="shared" ref="E9:E21" si="1">C9*1055.1/1000</f>
        <v>55.983606000000002</v>
      </c>
    </row>
    <row r="10" spans="1:5">
      <c r="B10" s="17" t="s">
        <v>1286</v>
      </c>
      <c r="C10" s="17">
        <v>73.150000000000006</v>
      </c>
      <c r="D10" s="17">
        <f t="shared" si="0"/>
        <v>7.7180565000000007E-2</v>
      </c>
      <c r="E10" s="17">
        <f t="shared" si="1"/>
        <v>77.180565000000001</v>
      </c>
    </row>
    <row r="11" spans="1:5">
      <c r="B11" s="17" t="s">
        <v>1982</v>
      </c>
      <c r="C11" s="17">
        <v>70.88</v>
      </c>
      <c r="D11" s="17">
        <f t="shared" si="0"/>
        <v>7.4785487999999983E-2</v>
      </c>
      <c r="E11" s="17">
        <f t="shared" si="1"/>
        <v>74.785487999999987</v>
      </c>
    </row>
    <row r="12" spans="1:5">
      <c r="B12" s="17" t="s">
        <v>1289</v>
      </c>
      <c r="C12" s="17">
        <v>72.31</v>
      </c>
      <c r="D12" s="17">
        <f t="shared" si="0"/>
        <v>7.6294280999999992E-2</v>
      </c>
      <c r="E12" s="17">
        <f t="shared" si="1"/>
        <v>76.294280999999998</v>
      </c>
    </row>
    <row r="13" spans="1:5">
      <c r="B13" s="17" t="s">
        <v>1287</v>
      </c>
      <c r="C13" s="17">
        <v>62.28</v>
      </c>
      <c r="D13" s="17">
        <f t="shared" si="0"/>
        <v>6.5711627999999994E-2</v>
      </c>
      <c r="E13" s="17">
        <f t="shared" si="1"/>
        <v>65.71162799999999</v>
      </c>
    </row>
    <row r="14" spans="1:5">
      <c r="B14" s="17" t="s">
        <v>1449</v>
      </c>
      <c r="C14" s="17">
        <v>70.88</v>
      </c>
      <c r="D14" s="17">
        <f t="shared" si="0"/>
        <v>7.4785487999999983E-2</v>
      </c>
      <c r="E14" s="17">
        <f t="shared" si="1"/>
        <v>74.785487999999987</v>
      </c>
    </row>
    <row r="15" spans="1:5">
      <c r="B15" s="17" t="s">
        <v>1983</v>
      </c>
      <c r="C15" s="17">
        <v>78.8</v>
      </c>
      <c r="D15" s="17">
        <f t="shared" si="0"/>
        <v>8.3141879999999987E-2</v>
      </c>
      <c r="E15" s="17">
        <f t="shared" si="1"/>
        <v>83.141879999999986</v>
      </c>
    </row>
    <row r="16" spans="1:5">
      <c r="B16" s="17" t="s">
        <v>1984</v>
      </c>
      <c r="C16" s="17">
        <v>71.02</v>
      </c>
      <c r="D16" s="17">
        <f t="shared" si="0"/>
        <v>7.493320199999999E-2</v>
      </c>
      <c r="E16" s="17">
        <f t="shared" si="1"/>
        <v>74.933201999999994</v>
      </c>
    </row>
    <row r="17" spans="2:5">
      <c r="B17" s="17" t="s">
        <v>1985</v>
      </c>
      <c r="C17" s="17">
        <v>102.12</v>
      </c>
      <c r="D17" s="17">
        <f t="shared" si="0"/>
        <v>0.107746812</v>
      </c>
      <c r="E17" s="17">
        <f t="shared" si="1"/>
        <v>107.74681199999999</v>
      </c>
    </row>
    <row r="18" spans="2:5">
      <c r="B18" s="17" t="s">
        <v>1986</v>
      </c>
      <c r="C18" s="17">
        <f>94.7</f>
        <v>94.7</v>
      </c>
      <c r="D18" s="17">
        <f t="shared" si="0"/>
        <v>9.9917969999999995E-2</v>
      </c>
      <c r="E18" s="17">
        <f t="shared" si="1"/>
        <v>99.917969999999997</v>
      </c>
    </row>
    <row r="19" spans="2:5">
      <c r="B19" s="17" t="s">
        <v>1987</v>
      </c>
      <c r="C19" s="17">
        <f>95.35</f>
        <v>95.35</v>
      </c>
      <c r="D19" s="17">
        <f t="shared" si="0"/>
        <v>0.10060378499999999</v>
      </c>
      <c r="E19" s="17">
        <f t="shared" si="1"/>
        <v>100.60378499999999</v>
      </c>
    </row>
    <row r="20" spans="2:5">
      <c r="B20" s="17" t="s">
        <v>1988</v>
      </c>
      <c r="C20" s="17">
        <v>95.35</v>
      </c>
      <c r="D20" s="17">
        <f t="shared" si="0"/>
        <v>0.10060378499999999</v>
      </c>
      <c r="E20" s="17">
        <f t="shared" si="1"/>
        <v>100.60378499999999</v>
      </c>
    </row>
    <row r="21" spans="2:5">
      <c r="B21" s="17" t="s">
        <v>1989</v>
      </c>
      <c r="C21" s="17">
        <f>93.98</f>
        <v>93.98</v>
      </c>
      <c r="D21" s="17">
        <f t="shared" si="0"/>
        <v>9.9158298000000006E-2</v>
      </c>
      <c r="E21" s="17">
        <f t="shared" si="1"/>
        <v>99.158298000000002</v>
      </c>
    </row>
  </sheetData>
  <pageMargins left="0.7" right="0.7" top="0.75" bottom="0.75" header="0.3" footer="0.3"/>
  <pageSetup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N36"/>
  <sheetViews>
    <sheetView zoomScale="80" zoomScaleNormal="80" workbookViewId="0">
      <selection activeCell="R107" sqref="R107"/>
    </sheetView>
  </sheetViews>
  <sheetFormatPr defaultColWidth="12.54296875" defaultRowHeight="12.5"/>
  <cols>
    <col min="1" max="1" width="12.54296875" style="25"/>
    <col min="2" max="2" width="21.26953125" style="25" customWidth="1"/>
    <col min="3" max="3" width="17" style="25" customWidth="1"/>
    <col min="4" max="5" width="12.54296875" style="25"/>
    <col min="6" max="14" width="15.453125" style="25" customWidth="1"/>
    <col min="15" max="16384" width="12.54296875" style="25"/>
  </cols>
  <sheetData>
    <row r="1" spans="1:14" ht="13">
      <c r="A1" s="173" t="s">
        <v>1990</v>
      </c>
      <c r="B1" s="173"/>
      <c r="C1" s="174"/>
      <c r="D1" s="173"/>
      <c r="E1" s="173"/>
      <c r="F1" s="173"/>
      <c r="G1" s="173"/>
      <c r="H1" s="173"/>
      <c r="I1" s="173"/>
      <c r="J1" s="660"/>
      <c r="K1" s="660"/>
      <c r="L1" s="660"/>
      <c r="M1" s="660"/>
      <c r="N1" s="660"/>
    </row>
    <row r="2" spans="1:14" ht="13">
      <c r="A2" s="173" t="s">
        <v>1991</v>
      </c>
      <c r="B2" s="173"/>
      <c r="C2" s="174"/>
      <c r="D2" s="173"/>
      <c r="E2" s="173"/>
      <c r="F2" s="173"/>
      <c r="G2" s="173"/>
      <c r="H2" s="173"/>
      <c r="I2" s="173"/>
      <c r="J2" s="660"/>
      <c r="K2" s="660"/>
      <c r="L2" s="660"/>
      <c r="M2" s="660"/>
      <c r="N2" s="660"/>
    </row>
    <row r="3" spans="1:14" ht="13">
      <c r="A3" s="660"/>
      <c r="B3" s="660"/>
      <c r="C3" s="660"/>
      <c r="D3" s="660"/>
      <c r="E3" s="660"/>
      <c r="F3" s="704"/>
      <c r="G3" s="704"/>
      <c r="H3" s="704"/>
      <c r="I3" s="704"/>
      <c r="J3" s="704"/>
      <c r="K3" s="704"/>
      <c r="L3" s="704"/>
      <c r="M3" s="704"/>
      <c r="N3" s="704"/>
    </row>
    <row r="4" spans="1:14" ht="13">
      <c r="A4" s="652" t="s">
        <v>1992</v>
      </c>
      <c r="B4" s="652" t="s">
        <v>1993</v>
      </c>
      <c r="C4" s="652" t="s">
        <v>1994</v>
      </c>
      <c r="D4" s="652" t="s">
        <v>1831</v>
      </c>
      <c r="E4" s="652" t="s">
        <v>1980</v>
      </c>
      <c r="F4" s="175" t="s">
        <v>1995</v>
      </c>
      <c r="G4" s="176" t="s">
        <v>1996</v>
      </c>
      <c r="H4" s="176" t="s">
        <v>1997</v>
      </c>
      <c r="I4" s="176" t="s">
        <v>1998</v>
      </c>
      <c r="J4" s="176" t="s">
        <v>1999</v>
      </c>
      <c r="K4" s="176" t="s">
        <v>2000</v>
      </c>
      <c r="L4" s="176" t="s">
        <v>2001</v>
      </c>
      <c r="M4" s="176" t="s">
        <v>2002</v>
      </c>
      <c r="N4" s="176" t="s">
        <v>2003</v>
      </c>
    </row>
    <row r="5" spans="1:14">
      <c r="A5" s="660" t="s">
        <v>473</v>
      </c>
      <c r="B5" s="660" t="str">
        <f t="shared" ref="B5:B24" si="0">C5&amp;D5&amp;E5</f>
        <v>Space heatingBoiler RadiantWood</v>
      </c>
      <c r="C5" s="660" t="s">
        <v>2004</v>
      </c>
      <c r="D5" s="660" t="s">
        <v>2005</v>
      </c>
      <c r="E5" s="660" t="s">
        <v>1288</v>
      </c>
      <c r="F5" s="172">
        <v>88.905246106165848</v>
      </c>
      <c r="G5" s="172">
        <v>1.0748065374927783E-2</v>
      </c>
      <c r="H5" s="172">
        <v>0.12680825708658253</v>
      </c>
      <c r="I5" s="172">
        <v>0.70373708963144821</v>
      </c>
      <c r="J5" s="172">
        <f>I5*0.86</f>
        <v>0.6052138970830454</v>
      </c>
      <c r="K5" s="172">
        <v>1.1519337812962567</v>
      </c>
      <c r="L5" s="172">
        <v>5.1881544168748119</v>
      </c>
      <c r="M5" s="172">
        <v>0.18729739993150055</v>
      </c>
      <c r="N5" s="172">
        <v>3.9808319152014561E-3</v>
      </c>
    </row>
    <row r="6" spans="1:14">
      <c r="A6" s="660" t="s">
        <v>125</v>
      </c>
      <c r="B6" s="660" t="str">
        <f t="shared" si="0"/>
        <v>Space heatingFurnaceNatural gas</v>
      </c>
      <c r="C6" s="660" t="s">
        <v>2004</v>
      </c>
      <c r="D6" s="660" t="s">
        <v>1743</v>
      </c>
      <c r="E6" s="660" t="s">
        <v>1446</v>
      </c>
      <c r="F6" s="172">
        <v>50.253263843805051</v>
      </c>
      <c r="G6" s="172">
        <v>2.5069701152660706E-4</v>
      </c>
      <c r="H6" s="172">
        <v>3.9275865139168441E-2</v>
      </c>
      <c r="I6" s="172">
        <v>2.1727074332305945E-4</v>
      </c>
      <c r="J6" s="172">
        <v>1.7966619159406839E-4</v>
      </c>
      <c r="K6" s="172">
        <v>2.2980559389938981E-3</v>
      </c>
      <c r="L6" s="172">
        <v>1.6713134101773802E-2</v>
      </c>
      <c r="M6" s="172">
        <v>4.7390856133350664E-3</v>
      </c>
      <c r="N6" s="172">
        <v>9.4781712266701334E-5</v>
      </c>
    </row>
    <row r="7" spans="1:14">
      <c r="A7" s="660" t="s">
        <v>126</v>
      </c>
      <c r="B7" s="660" t="str">
        <f t="shared" si="0"/>
        <v>Space heatingFurnaceDistillate oil</v>
      </c>
      <c r="C7" s="660" t="s">
        <v>2004</v>
      </c>
      <c r="D7" s="660" t="s">
        <v>1743</v>
      </c>
      <c r="E7" s="660" t="s">
        <v>2006</v>
      </c>
      <c r="F7" s="172">
        <v>70.100554392452295</v>
      </c>
      <c r="G7" s="172">
        <v>0.13206150464122579</v>
      </c>
      <c r="H7" s="172">
        <v>5.5800635763898224E-2</v>
      </c>
      <c r="I7" s="172">
        <v>7.3780840621154318E-3</v>
      </c>
      <c r="J7" s="172">
        <v>6.6030752320612894E-3</v>
      </c>
      <c r="K7" s="172">
        <v>2.1700247241515976E-3</v>
      </c>
      <c r="L7" s="172">
        <v>1.5500176601082839E-2</v>
      </c>
      <c r="M7" s="172">
        <v>5.5180628699854906E-3</v>
      </c>
      <c r="N7" s="172">
        <v>5.6869027360020798E-4</v>
      </c>
    </row>
    <row r="8" spans="1:14">
      <c r="A8" s="660" t="s">
        <v>331</v>
      </c>
      <c r="B8" s="660" t="str">
        <f t="shared" si="0"/>
        <v>Space heatingFurnaceLPG</v>
      </c>
      <c r="C8" s="660" t="s">
        <v>2004</v>
      </c>
      <c r="D8" s="660" t="s">
        <v>1743</v>
      </c>
      <c r="E8" s="660" t="s">
        <v>1287</v>
      </c>
      <c r="F8" s="172">
        <v>59.693522385568492</v>
      </c>
      <c r="G8" s="172">
        <v>2.8147727954268173E-4</v>
      </c>
      <c r="H8" s="172">
        <v>6.2863259097865581E-2</v>
      </c>
      <c r="I8" s="172">
        <v>2.3456439961890146E-4</v>
      </c>
      <c r="J8" s="172">
        <v>1.8765151969512116E-4</v>
      </c>
      <c r="K8" s="172">
        <v>2.439469756036575E-3</v>
      </c>
      <c r="L8" s="172">
        <v>1.782689437103651E-2</v>
      </c>
      <c r="M8" s="172">
        <v>1.0425988349337147E-2</v>
      </c>
      <c r="N8" s="172">
        <v>5.6869027360020798E-4</v>
      </c>
    </row>
    <row r="9" spans="1:14">
      <c r="A9" s="660" t="s">
        <v>480</v>
      </c>
      <c r="B9" s="660" t="str">
        <f t="shared" si="0"/>
        <v>Space heatingFurnaceKerosene</v>
      </c>
      <c r="C9" s="660" t="s">
        <v>2004</v>
      </c>
      <c r="D9" s="660" t="s">
        <v>1743</v>
      </c>
      <c r="E9" s="660" t="s">
        <v>1289</v>
      </c>
      <c r="F9" s="172">
        <v>71.275847624559404</v>
      </c>
      <c r="G9" s="172">
        <v>0.13567165159349917</v>
      </c>
      <c r="H9" s="172">
        <v>5.7326049969084157E-2</v>
      </c>
      <c r="I9" s="172">
        <v>7.2612996627506596E-3</v>
      </c>
      <c r="J9" s="172">
        <v>6.5288001353679169E-3</v>
      </c>
      <c r="K9" s="172">
        <v>2.140172532179142E-3</v>
      </c>
      <c r="L9" s="172">
        <v>1.5923902769190042E-2</v>
      </c>
      <c r="M9" s="172">
        <v>5.6689093858316554E-3</v>
      </c>
      <c r="N9" s="172">
        <v>5.6869027360020798E-4</v>
      </c>
    </row>
    <row r="10" spans="1:14">
      <c r="A10" s="660" t="s">
        <v>125</v>
      </c>
      <c r="B10" s="660" t="str">
        <f t="shared" si="0"/>
        <v>Space heatingRadiantNatural gas</v>
      </c>
      <c r="C10" s="660" t="s">
        <v>2004</v>
      </c>
      <c r="D10" s="660" t="s">
        <v>2007</v>
      </c>
      <c r="E10" s="660" t="s">
        <v>1446</v>
      </c>
      <c r="F10" s="172">
        <v>50.253263843805051</v>
      </c>
      <c r="G10" s="172">
        <v>2.5069701152660706E-4</v>
      </c>
      <c r="H10" s="172">
        <v>3.9275865139168441E-2</v>
      </c>
      <c r="I10" s="172">
        <v>2.1727074332305945E-4</v>
      </c>
      <c r="J10" s="172">
        <v>1.7966619159406839E-4</v>
      </c>
      <c r="K10" s="172">
        <v>2.2980559389938981E-3</v>
      </c>
      <c r="L10" s="172">
        <v>1.6713134101773802E-2</v>
      </c>
      <c r="M10" s="172">
        <v>4.7390856133350664E-3</v>
      </c>
      <c r="N10" s="172">
        <v>9.4781712266701334E-5</v>
      </c>
    </row>
    <row r="11" spans="1:14">
      <c r="A11" s="660" t="s">
        <v>126</v>
      </c>
      <c r="B11" s="660" t="str">
        <f t="shared" si="0"/>
        <v>Space heatingRadiantDistillate oil</v>
      </c>
      <c r="C11" s="660" t="s">
        <v>2004</v>
      </c>
      <c r="D11" s="660" t="s">
        <v>2007</v>
      </c>
      <c r="E11" s="660" t="s">
        <v>2006</v>
      </c>
      <c r="F11" s="172">
        <v>70.100554392452295</v>
      </c>
      <c r="G11" s="172">
        <v>0.13206150464122579</v>
      </c>
      <c r="H11" s="172">
        <v>5.5800635763898224E-2</v>
      </c>
      <c r="I11" s="172">
        <v>7.3780840621154318E-3</v>
      </c>
      <c r="J11" s="172">
        <v>6.6030752320612894E-3</v>
      </c>
      <c r="K11" s="172">
        <v>2.1700247241515976E-3</v>
      </c>
      <c r="L11" s="172">
        <v>1.5500176601082839E-2</v>
      </c>
      <c r="M11" s="172">
        <v>5.5180628699854906E-3</v>
      </c>
      <c r="N11" s="172">
        <v>5.6869027360020798E-4</v>
      </c>
    </row>
    <row r="12" spans="1:14">
      <c r="A12" s="660" t="s">
        <v>473</v>
      </c>
      <c r="B12" s="660" t="str">
        <f t="shared" si="0"/>
        <v>Space heatingRadiantWood</v>
      </c>
      <c r="C12" s="660" t="s">
        <v>2004</v>
      </c>
      <c r="D12" s="660" t="s">
        <v>2007</v>
      </c>
      <c r="E12" s="660" t="s">
        <v>1288</v>
      </c>
      <c r="F12" s="172">
        <v>88.905246106165848</v>
      </c>
      <c r="G12" s="172">
        <v>1.0748065374927783E-2</v>
      </c>
      <c r="H12" s="172">
        <v>0.12680825708658253</v>
      </c>
      <c r="I12" s="172">
        <v>0.70373708963144821</v>
      </c>
      <c r="J12" s="172">
        <f>I12*0.86</f>
        <v>0.6052138970830454</v>
      </c>
      <c r="K12" s="172">
        <v>1.1519337812962567</v>
      </c>
      <c r="L12" s="172">
        <v>5.1881544168748119</v>
      </c>
      <c r="M12" s="172">
        <v>0.18729739993150055</v>
      </c>
      <c r="N12" s="172">
        <v>3.9808319152014561E-3</v>
      </c>
    </row>
    <row r="13" spans="1:14">
      <c r="A13" s="660" t="s">
        <v>125</v>
      </c>
      <c r="B13" s="660" t="str">
        <f t="shared" si="0"/>
        <v>Space coolingHeat pumpNatural gas</v>
      </c>
      <c r="C13" s="660" t="s">
        <v>2008</v>
      </c>
      <c r="D13" s="660" t="s">
        <v>1482</v>
      </c>
      <c r="E13" s="660" t="s">
        <v>1446</v>
      </c>
      <c r="F13" s="172">
        <v>50.253263843805051</v>
      </c>
      <c r="G13" s="172">
        <v>2.5069701152660706E-4</v>
      </c>
      <c r="H13" s="172">
        <v>3.9275865139168441E-2</v>
      </c>
      <c r="I13" s="172">
        <v>2.1727074332305945E-4</v>
      </c>
      <c r="J13" s="172">
        <v>1.7966619159406839E-4</v>
      </c>
      <c r="K13" s="172">
        <v>2.2980559389938981E-3</v>
      </c>
      <c r="L13" s="172">
        <v>1.6713134101773802E-2</v>
      </c>
      <c r="M13" s="172">
        <v>4.7390856133350664E-3</v>
      </c>
      <c r="N13" s="172">
        <v>9.4781712266701334E-5</v>
      </c>
    </row>
    <row r="14" spans="1:14">
      <c r="A14" s="660" t="s">
        <v>125</v>
      </c>
      <c r="B14" s="660" t="str">
        <f t="shared" si="0"/>
        <v>Water heatingTankNatural gas</v>
      </c>
      <c r="C14" s="660" t="s">
        <v>1317</v>
      </c>
      <c r="D14" s="660" t="s">
        <v>2009</v>
      </c>
      <c r="E14" s="660" t="s">
        <v>1446</v>
      </c>
      <c r="F14" s="172">
        <v>50.253263843805051</v>
      </c>
      <c r="G14" s="172">
        <v>2.5069701152660706E-4</v>
      </c>
      <c r="H14" s="172">
        <v>3.9275865139168441E-2</v>
      </c>
      <c r="I14" s="172">
        <v>2.1727074332305945E-4</v>
      </c>
      <c r="J14" s="172">
        <v>1.7966619159406839E-4</v>
      </c>
      <c r="K14" s="172">
        <v>2.2980559389938981E-3</v>
      </c>
      <c r="L14" s="172">
        <v>1.6713134101773802E-2</v>
      </c>
      <c r="M14" s="172">
        <v>4.7390856133350664E-3</v>
      </c>
      <c r="N14" s="172">
        <v>9.4781712266701334E-5</v>
      </c>
    </row>
    <row r="15" spans="1:14">
      <c r="A15" s="660" t="s">
        <v>126</v>
      </c>
      <c r="B15" s="660" t="str">
        <f t="shared" si="0"/>
        <v>Water heatingTankDistillate oil</v>
      </c>
      <c r="C15" s="660" t="s">
        <v>1317</v>
      </c>
      <c r="D15" s="660" t="s">
        <v>2009</v>
      </c>
      <c r="E15" s="660" t="s">
        <v>2006</v>
      </c>
      <c r="F15" s="172">
        <v>70.100554392452295</v>
      </c>
      <c r="G15" s="172">
        <v>0.13206150464122579</v>
      </c>
      <c r="H15" s="172">
        <v>5.5800635763898224E-2</v>
      </c>
      <c r="I15" s="172">
        <v>7.3780840621154318E-3</v>
      </c>
      <c r="J15" s="172">
        <v>6.6030752320612894E-3</v>
      </c>
      <c r="K15" s="172">
        <v>2.1700247241515976E-3</v>
      </c>
      <c r="L15" s="172">
        <v>1.5500176601082839E-2</v>
      </c>
      <c r="M15" s="172">
        <v>5.5180628699854906E-3</v>
      </c>
      <c r="N15" s="172">
        <v>5.6869027360020798E-4</v>
      </c>
    </row>
    <row r="16" spans="1:14">
      <c r="A16" s="660" t="s">
        <v>331</v>
      </c>
      <c r="B16" s="660" t="str">
        <f t="shared" si="0"/>
        <v>Water heatingTankLPG</v>
      </c>
      <c r="C16" s="660" t="s">
        <v>1317</v>
      </c>
      <c r="D16" s="660" t="s">
        <v>2009</v>
      </c>
      <c r="E16" s="660" t="s">
        <v>1287</v>
      </c>
      <c r="F16" s="172">
        <v>59.693522385568492</v>
      </c>
      <c r="G16" s="172">
        <v>2.8147727954268173E-4</v>
      </c>
      <c r="H16" s="172">
        <v>6.2863259097865581E-2</v>
      </c>
      <c r="I16" s="172">
        <v>2.3456439961890146E-4</v>
      </c>
      <c r="J16" s="172">
        <v>1.8765151969512116E-4</v>
      </c>
      <c r="K16" s="172">
        <v>2.439469756036575E-3</v>
      </c>
      <c r="L16" s="172">
        <v>1.782689437103651E-2</v>
      </c>
      <c r="M16" s="172">
        <v>1.0425988349337147E-2</v>
      </c>
      <c r="N16" s="172">
        <v>5.6869027360020798E-4</v>
      </c>
    </row>
    <row r="17" spans="1:14">
      <c r="A17" s="660" t="s">
        <v>125</v>
      </c>
      <c r="B17" s="660" t="str">
        <f t="shared" si="0"/>
        <v>Water heatingInstantaneousNatural gas</v>
      </c>
      <c r="C17" s="660" t="s">
        <v>1317</v>
      </c>
      <c r="D17" s="660" t="s">
        <v>2010</v>
      </c>
      <c r="E17" s="660" t="s">
        <v>1446</v>
      </c>
      <c r="F17" s="172">
        <v>50.253263843805051</v>
      </c>
      <c r="G17" s="172">
        <v>2.5069701152660706E-4</v>
      </c>
      <c r="H17" s="172">
        <v>3.9275865139168441E-2</v>
      </c>
      <c r="I17" s="172">
        <v>2.1727074332305945E-4</v>
      </c>
      <c r="J17" s="172">
        <v>1.7966619159406839E-4</v>
      </c>
      <c r="K17" s="172">
        <v>2.2980559389938981E-3</v>
      </c>
      <c r="L17" s="172">
        <v>1.6713134101773802E-2</v>
      </c>
      <c r="M17" s="172">
        <v>4.7390856133350664E-3</v>
      </c>
      <c r="N17" s="172">
        <v>9.4781712266701334E-5</v>
      </c>
    </row>
    <row r="18" spans="1:14">
      <c r="A18" s="660" t="s">
        <v>126</v>
      </c>
      <c r="B18" s="660" t="str">
        <f t="shared" si="0"/>
        <v>Water heatingBoiler RadiantDistillate oil</v>
      </c>
      <c r="C18" s="660" t="s">
        <v>1317</v>
      </c>
      <c r="D18" s="660" t="s">
        <v>2005</v>
      </c>
      <c r="E18" s="660" t="s">
        <v>2006</v>
      </c>
      <c r="F18" s="172">
        <v>70.100554392452295</v>
      </c>
      <c r="G18" s="172">
        <v>0.13206150464122579</v>
      </c>
      <c r="H18" s="172">
        <v>5.5800635763898224E-2</v>
      </c>
      <c r="I18" s="172">
        <v>7.3780840621154318E-3</v>
      </c>
      <c r="J18" s="172">
        <v>6.6030752320612894E-3</v>
      </c>
      <c r="K18" s="172">
        <v>2.1700247241515976E-3</v>
      </c>
      <c r="L18" s="172">
        <v>1.5500176601082839E-2</v>
      </c>
      <c r="M18" s="172">
        <v>5.5180628699854906E-3</v>
      </c>
      <c r="N18" s="172">
        <v>5.6869027360020798E-4</v>
      </c>
    </row>
    <row r="19" spans="1:14">
      <c r="A19" s="660" t="s">
        <v>473</v>
      </c>
      <c r="B19" s="660" t="str">
        <f t="shared" si="0"/>
        <v>Water heatingBoiler RadiantWood</v>
      </c>
      <c r="C19" s="660" t="s">
        <v>1317</v>
      </c>
      <c r="D19" s="660" t="s">
        <v>2005</v>
      </c>
      <c r="E19" s="660" t="s">
        <v>1288</v>
      </c>
      <c r="F19" s="172">
        <v>88.905246106165848</v>
      </c>
      <c r="G19" s="172">
        <v>1.0748065374927783E-2</v>
      </c>
      <c r="H19" s="172">
        <v>0.12680825708658253</v>
      </c>
      <c r="I19" s="172">
        <v>0.70373708963144821</v>
      </c>
      <c r="J19" s="172">
        <f>I19*0.86</f>
        <v>0.6052138970830454</v>
      </c>
      <c r="K19" s="172">
        <v>1.1519337812962567</v>
      </c>
      <c r="L19" s="172">
        <v>5.1881544168748119</v>
      </c>
      <c r="M19" s="172">
        <v>0.18729739993150055</v>
      </c>
      <c r="N19" s="172">
        <v>3.9808319152014561E-3</v>
      </c>
    </row>
    <row r="20" spans="1:14">
      <c r="A20" s="660" t="s">
        <v>125</v>
      </c>
      <c r="B20" s="660" t="str">
        <f t="shared" si="0"/>
        <v>OtherN/ANatural gas</v>
      </c>
      <c r="C20" s="660" t="s">
        <v>1744</v>
      </c>
      <c r="D20" s="660" t="s">
        <v>1777</v>
      </c>
      <c r="E20" s="660" t="s">
        <v>1446</v>
      </c>
      <c r="F20" s="172">
        <v>50.253263843805051</v>
      </c>
      <c r="G20" s="172">
        <v>2.5069701152660706E-4</v>
      </c>
      <c r="H20" s="172">
        <v>3.9275865139168441E-2</v>
      </c>
      <c r="I20" s="172">
        <v>2.1727074332305945E-4</v>
      </c>
      <c r="J20" s="172">
        <v>1.7966619159406839E-4</v>
      </c>
      <c r="K20" s="172">
        <v>2.2980559389938981E-3</v>
      </c>
      <c r="L20" s="172">
        <v>1.6713134101773802E-2</v>
      </c>
      <c r="M20" s="172">
        <v>4.7390856133350664E-3</v>
      </c>
      <c r="N20" s="172">
        <v>9.4781712266701334E-5</v>
      </c>
    </row>
    <row r="21" spans="1:14">
      <c r="A21" s="660" t="s">
        <v>126</v>
      </c>
      <c r="B21" s="660" t="str">
        <f t="shared" si="0"/>
        <v>OtherN/ADistillate oil</v>
      </c>
      <c r="C21" s="660" t="s">
        <v>1744</v>
      </c>
      <c r="D21" s="660" t="s">
        <v>1777</v>
      </c>
      <c r="E21" s="660" t="s">
        <v>2006</v>
      </c>
      <c r="F21" s="172">
        <v>70.100554392452295</v>
      </c>
      <c r="G21" s="172">
        <v>0.13206150464122579</v>
      </c>
      <c r="H21" s="172">
        <v>5.5800635763898224E-2</v>
      </c>
      <c r="I21" s="172">
        <v>7.3780840621154318E-3</v>
      </c>
      <c r="J21" s="172">
        <v>6.6030752320612894E-3</v>
      </c>
      <c r="K21" s="172">
        <v>2.1700247241515976E-3</v>
      </c>
      <c r="L21" s="172">
        <v>1.5500176601082839E-2</v>
      </c>
      <c r="M21" s="172">
        <v>5.5180628699854906E-3</v>
      </c>
      <c r="N21" s="172">
        <v>5.6869027360020798E-4</v>
      </c>
    </row>
    <row r="22" spans="1:14">
      <c r="A22" s="660" t="s">
        <v>331</v>
      </c>
      <c r="B22" s="660" t="str">
        <f t="shared" si="0"/>
        <v>OtherN/ALPG</v>
      </c>
      <c r="C22" s="660" t="s">
        <v>1744</v>
      </c>
      <c r="D22" s="660" t="s">
        <v>1777</v>
      </c>
      <c r="E22" s="660" t="s">
        <v>1287</v>
      </c>
      <c r="F22" s="172">
        <v>59.693522385568492</v>
      </c>
      <c r="G22" s="172">
        <v>2.8147727954268173E-4</v>
      </c>
      <c r="H22" s="172">
        <v>6.2863259097865581E-2</v>
      </c>
      <c r="I22" s="172">
        <v>2.3456439961890146E-4</v>
      </c>
      <c r="J22" s="172">
        <v>1.8765151969512116E-4</v>
      </c>
      <c r="K22" s="172">
        <v>2.439469756036575E-3</v>
      </c>
      <c r="L22" s="172">
        <v>1.782689437103651E-2</v>
      </c>
      <c r="M22" s="172">
        <v>1.0425988349337147E-2</v>
      </c>
      <c r="N22" s="172">
        <v>5.6869027360020798E-4</v>
      </c>
    </row>
    <row r="23" spans="1:14">
      <c r="A23" s="660" t="s">
        <v>480</v>
      </c>
      <c r="B23" s="660" t="str">
        <f t="shared" si="0"/>
        <v>OtherN/AKerosene</v>
      </c>
      <c r="C23" s="660" t="s">
        <v>1744</v>
      </c>
      <c r="D23" s="660" t="s">
        <v>1777</v>
      </c>
      <c r="E23" s="660" t="s">
        <v>1289</v>
      </c>
      <c r="F23" s="172">
        <v>71.275847624559404</v>
      </c>
      <c r="G23" s="172">
        <v>0.13567165159349917</v>
      </c>
      <c r="H23" s="172">
        <v>5.7326049969084157E-2</v>
      </c>
      <c r="I23" s="172">
        <v>7.2612996627506596E-3</v>
      </c>
      <c r="J23" s="172">
        <v>6.5288001353679169E-3</v>
      </c>
      <c r="K23" s="172">
        <v>2.140172532179142E-3</v>
      </c>
      <c r="L23" s="172">
        <v>1.5923902769190042E-2</v>
      </c>
      <c r="M23" s="172">
        <v>5.6689093858316554E-3</v>
      </c>
      <c r="N23" s="172">
        <v>5.6869027360020798E-4</v>
      </c>
    </row>
    <row r="24" spans="1:14">
      <c r="A24" s="660" t="s">
        <v>473</v>
      </c>
      <c r="B24" s="660" t="str">
        <f t="shared" si="0"/>
        <v>OtherN/AWood</v>
      </c>
      <c r="C24" s="660" t="s">
        <v>1744</v>
      </c>
      <c r="D24" s="660" t="s">
        <v>1777</v>
      </c>
      <c r="E24" s="660" t="s">
        <v>1288</v>
      </c>
      <c r="F24" s="172">
        <v>88.905246106165848</v>
      </c>
      <c r="G24" s="172">
        <v>1.0748065374927783E-2</v>
      </c>
      <c r="H24" s="172">
        <v>0.12680825708658253</v>
      </c>
      <c r="I24" s="172">
        <v>0.70373708963144821</v>
      </c>
      <c r="J24" s="172">
        <f>I24*0.86</f>
        <v>0.6052138970830454</v>
      </c>
      <c r="K24" s="172">
        <v>1.1519337812962567</v>
      </c>
      <c r="L24" s="172">
        <v>5.1881544168748119</v>
      </c>
      <c r="M24" s="172">
        <v>0.18729739993150055</v>
      </c>
      <c r="N24" s="172">
        <v>3.9808319152014561E-3</v>
      </c>
    </row>
    <row r="25" spans="1:14">
      <c r="A25" s="660"/>
      <c r="B25" s="660"/>
      <c r="C25" s="660"/>
      <c r="D25" s="660"/>
      <c r="E25" s="660"/>
      <c r="F25" s="172"/>
      <c r="G25" s="660"/>
      <c r="H25" s="660"/>
      <c r="I25" s="660"/>
      <c r="J25" s="660"/>
      <c r="K25" s="660"/>
      <c r="L25" s="660"/>
      <c r="M25" s="660"/>
      <c r="N25" s="660"/>
    </row>
    <row r="26" spans="1:14">
      <c r="A26" s="660" t="s">
        <v>2011</v>
      </c>
      <c r="B26" s="660"/>
      <c r="C26" s="660"/>
      <c r="D26" s="660"/>
      <c r="E26" s="660"/>
      <c r="F26" s="660"/>
      <c r="G26" s="660"/>
      <c r="H26" s="660"/>
      <c r="I26" s="660"/>
      <c r="J26" s="660"/>
      <c r="K26" s="660"/>
      <c r="L26" s="660"/>
      <c r="M26" s="660"/>
      <c r="N26" s="660"/>
    </row>
    <row r="27" spans="1:14">
      <c r="A27" s="660"/>
      <c r="B27" s="660" t="s">
        <v>2012</v>
      </c>
      <c r="C27" s="660"/>
      <c r="D27" s="660"/>
      <c r="E27" s="660"/>
      <c r="F27" s="660"/>
      <c r="G27" s="660"/>
      <c r="H27" s="660"/>
      <c r="I27" s="660"/>
      <c r="J27" s="660"/>
      <c r="K27" s="660"/>
      <c r="L27" s="660"/>
      <c r="M27" s="660"/>
      <c r="N27" s="660"/>
    </row>
    <row r="28" spans="1:14">
      <c r="A28" s="660"/>
      <c r="B28" s="660" t="s">
        <v>2013</v>
      </c>
      <c r="C28" s="660"/>
      <c r="D28" s="660"/>
      <c r="E28" s="660"/>
      <c r="F28" s="660"/>
      <c r="G28" s="660"/>
      <c r="H28" s="660"/>
      <c r="I28" s="660"/>
      <c r="J28" s="660"/>
      <c r="K28" s="660"/>
      <c r="L28" s="660"/>
      <c r="M28" s="660"/>
      <c r="N28" s="660"/>
    </row>
    <row r="29" spans="1:14">
      <c r="A29" s="660"/>
      <c r="B29" s="660" t="s">
        <v>2014</v>
      </c>
      <c r="C29" s="660"/>
      <c r="D29" s="660"/>
      <c r="E29" s="660"/>
      <c r="F29" s="660"/>
      <c r="G29" s="660"/>
      <c r="H29" s="660"/>
      <c r="I29" s="660"/>
      <c r="J29" s="660"/>
      <c r="K29" s="660"/>
      <c r="L29" s="660"/>
      <c r="M29" s="660"/>
      <c r="N29" s="660"/>
    </row>
    <row r="36" spans="7:7">
      <c r="G36" s="660">
        <v>21</v>
      </c>
    </row>
  </sheetData>
  <mergeCells count="1">
    <mergeCell ref="F3:N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961017AFA5F1746B691F13D8A7002D3" ma:contentTypeVersion="13" ma:contentTypeDescription="Create a new document." ma:contentTypeScope="" ma:versionID="def7294f1d2309f0bb896a14731e0ee6">
  <xsd:schema xmlns:xsd="http://www.w3.org/2001/XMLSchema" xmlns:xs="http://www.w3.org/2001/XMLSchema" xmlns:p="http://schemas.microsoft.com/office/2006/metadata/properties" xmlns:ns1="http://schemas.microsoft.com/sharepoint/v3" xmlns:ns2="4ffa91fb-a0ff-4ac5-b2db-65c790d184a4" xmlns:ns3="http://schemas.microsoft.com/sharepoint.v3" xmlns:ns4="http://schemas.microsoft.com/sharepoint/v3/fields" xmlns:ns5="3a45b8d2-5363-42cf-81ee-b666af54687e" xmlns:ns6="100f1ce0-4af0-4d4f-96bb-1f04b8389ca2" targetNamespace="http://schemas.microsoft.com/office/2006/metadata/properties" ma:root="true" ma:fieldsID="041bcd49501e20998d0099c9940f8dab" ns1:_="" ns2:_="" ns3:_="" ns4:_="" ns5:_="" ns6:_="">
    <xsd:import namespace="http://schemas.microsoft.com/sharepoint/v3"/>
    <xsd:import namespace="4ffa91fb-a0ff-4ac5-b2db-65c790d184a4"/>
    <xsd:import namespace="http://schemas.microsoft.com/sharepoint.v3"/>
    <xsd:import namespace="http://schemas.microsoft.com/sharepoint/v3/fields"/>
    <xsd:import namespace="3a45b8d2-5363-42cf-81ee-b666af54687e"/>
    <xsd:import namespace="100f1ce0-4af0-4d4f-96bb-1f04b8389ca2"/>
    <xsd:element name="properties">
      <xsd:complexType>
        <xsd:sequence>
          <xsd:element name="documentManagement">
            <xsd:complexType>
              <xsd:all>
                <xsd:element ref="ns2:Document_x0020_Creation_x0020_Date" minOccurs="0"/>
                <xsd:element ref="ns2:Creator" minOccurs="0"/>
                <xsd:element ref="ns2:EPA_x0020_Office" minOccurs="0"/>
                <xsd:element ref="ns2:Record" minOccurs="0"/>
                <xsd:element ref="ns3:CategoryDescription" minOccurs="0"/>
                <xsd:element ref="ns2:Identifier" minOccurs="0"/>
                <xsd:element ref="ns2:EPA_x0020_Contributor" minOccurs="0"/>
                <xsd:element ref="ns2:External_x0020_Contributor" minOccurs="0"/>
                <xsd:element ref="ns4:_Coverage" minOccurs="0"/>
                <xsd:element ref="ns2:EPA_x0020_Related_x0020_Documents" minOccurs="0"/>
                <xsd:element ref="ns4:_Source" minOccurs="0"/>
                <xsd:element ref="ns2:Rights" minOccurs="0"/>
                <xsd:element ref="ns1:Language" minOccurs="0"/>
                <xsd:element ref="ns2:j747ac98061d40f0aa7bd47e1db5675d" minOccurs="0"/>
                <xsd:element ref="ns2:TaxKeywordTaxHTField" minOccurs="0"/>
                <xsd:element ref="ns2:TaxCatchAllLabel" minOccurs="0"/>
                <xsd:element ref="ns2:TaxCatchAll" minOccurs="0"/>
                <xsd:element ref="ns5:MediaServiceMetadata" minOccurs="0"/>
                <xsd:element ref="ns5:MediaServiceFastMetadata" minOccurs="0"/>
                <xsd:element ref="ns5:MediaServiceObjectDetectorVersions" minOccurs="0"/>
                <xsd:element ref="ns6:SharedWithUsers" minOccurs="0"/>
                <xsd:element ref="ns6:SharedWithDetails" minOccurs="0"/>
                <xsd:element ref="ns5:lcf76f155ced4ddcb4097134ff3c332f" minOccurs="0"/>
                <xsd:element ref="ns5:MediaServiceOCR" minOccurs="0"/>
                <xsd:element ref="ns5:MediaServiceGenerationTime" minOccurs="0"/>
                <xsd:element ref="ns5:MediaServiceEventHashCode" minOccurs="0"/>
                <xsd:element ref="ns5: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17" nillable="true" ma:displayName="Language" ma:default="English" ma:description="Select the document language from the drop down." ma:format="Dropdown" ma:internalName="Language" ma:readOnly="false">
      <xsd:simpleType>
        <xsd:restriction base="dms:Choice">
          <xsd:enumeration value="Arabic (Saudi Arabia)"/>
          <xsd:enumeration value="Bulgarian (Bulgaria)"/>
          <xsd:enumeration value="Chinese (Hong Kong S.A.R.)"/>
          <xsd:enumeration value="Chinese (People's Republic of China)"/>
          <xsd:enumeration value="Chinese (Taiwan)"/>
          <xsd:enumeration value="Croatian (Croatia)"/>
          <xsd:enumeration value="Czech (Czech Republic)"/>
          <xsd:enumeration value="Danish (Denmark)"/>
          <xsd:enumeration value="Dutch (Netherlands)"/>
          <xsd:enumeration value="English"/>
          <xsd:enumeration value="Estonian (Estonia)"/>
          <xsd:enumeration value="Finnish (Finland)"/>
          <xsd:enumeration value="French (France)"/>
          <xsd:enumeration value="German (Germany)"/>
          <xsd:enumeration value="Greek (Greece)"/>
          <xsd:enumeration value="Hebrew (Israel)"/>
          <xsd:enumeration value="Hindi (India)"/>
          <xsd:enumeration value="Hungarian (Hungary)"/>
          <xsd:enumeration value="Indonesian (Indonesia)"/>
          <xsd:enumeration value="Italian (Italy)"/>
          <xsd:enumeration value="Japanese (Japan)"/>
          <xsd:enumeration value="Korean (Korea)"/>
          <xsd:enumeration value="Latvian (Latvia)"/>
          <xsd:enumeration value="Lithuanian (Lithuania)"/>
          <xsd:enumeration value="Malay (Malaysia)"/>
          <xsd:enumeration value="Norwegian (Bokmal) (Norway)"/>
          <xsd:enumeration value="Polish (Poland)"/>
          <xsd:enumeration value="Portuguese (Brazil)"/>
          <xsd:enumeration value="Portuguese (Portugal)"/>
          <xsd:enumeration value="Romanian (Romania)"/>
          <xsd:enumeration value="Russian (Russia)"/>
          <xsd:enumeration value="Serbian (Latin) (Serbia)"/>
          <xsd:enumeration value="Slovak (Slovakia)"/>
          <xsd:enumeration value="Slovenian (Slovenia)"/>
          <xsd:enumeration value="Spanish (Spain)"/>
          <xsd:enumeration value="Swedish (Sweden)"/>
          <xsd:enumeration value="Thai (Thailand)"/>
          <xsd:enumeration value="Turkish (Turkey)"/>
          <xsd:enumeration value="Ukrainian (Ukraine)"/>
          <xsd:enumeration value="Urdu (Islamic Republic of Pakistan)"/>
          <xsd:enumeration value="Vietnamese (Vietnam)"/>
        </xsd:restriction>
      </xsd:simpleType>
    </xsd:element>
  </xsd:schema>
  <xsd:schema xmlns:xsd="http://www.w3.org/2001/XMLSchema" xmlns:xs="http://www.w3.org/2001/XMLSchema" xmlns:dms="http://schemas.microsoft.com/office/2006/documentManagement/types" xmlns:pc="http://schemas.microsoft.com/office/infopath/2007/PartnerControls" targetNamespace="4ffa91fb-a0ff-4ac5-b2db-65c790d184a4" elementFormDefault="qualified">
    <xsd:import namespace="http://schemas.microsoft.com/office/2006/documentManagement/types"/>
    <xsd:import namespace="http://schemas.microsoft.com/office/infopath/2007/PartnerControls"/>
    <xsd:element name="Document_x0020_Creation_x0020_Date" ma:index="2" nillable="true" ma:displayName="Document Date" ma:default="[today]" ma:description="Enter the date this document was last modified. The upload date has been entered by default." ma:format="DateOnly" ma:internalName="Document_x0020_Creation_x0020_Date" ma:readOnly="false">
      <xsd:simpleType>
        <xsd:restriction base="dms:DateTime"/>
      </xsd:simpleType>
    </xsd:element>
    <xsd:element name="Creator" ma:index="3" nillable="true" ma:displayName="Creator" ma:description="Enter the person primarily responsible for the document. The name of the person uploading the document has been entered by default." ma:list="UserInfo" ma:SharePointGroup="0" ma:internalName="Crea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PA_x0020_Office" ma:index="4" nillable="true" ma:displayName="EPA Office" ma:description="Enter the EPA organization primarily responsible for the document. The office of the person uploading the document has been entered by default." ma:internalName="EPA_x0020_Office" ma:readOnly="false">
      <xsd:simpleType>
        <xsd:restriction base="dms:Text">
          <xsd:maxLength value="255"/>
        </xsd:restriction>
      </xsd:simpleType>
    </xsd:element>
    <xsd:element name="Record" ma:index="5" nillable="true" ma:displayName="Record" ma:default="Shared" ma:description="For documents that provide evidence of EPA decisions and actions, select &quot;Shared&quot; (open access) or &quot;Private&quot; (restricted access)." ma:format="Dropdown" ma:internalName="Record" ma:readOnly="false">
      <xsd:simpleType>
        <xsd:restriction base="dms:Choice">
          <xsd:enumeration value="None"/>
          <xsd:enumeration value="Shared"/>
          <xsd:enumeration value="Private"/>
        </xsd:restriction>
      </xsd:simpleType>
    </xsd:element>
    <xsd:element name="Identifier" ma:index="9" nillable="true" ma:displayName="Identifier" ma:description="Enter all EPA identification numbers applicable to this document, one on each line." ma:internalName="Identifier" ma:readOnly="false">
      <xsd:simpleType>
        <xsd:restriction base="dms:Note">
          <xsd:maxLength value="255"/>
        </xsd:restriction>
      </xsd:simpleType>
    </xsd:element>
    <xsd:element name="EPA_x0020_Contributor" ma:index="11" nillable="true" ma:displayName="EPA Contributor" ma:description="Enter an EPA person who contributed to the creation of the document but is not the primary author." ma:list="UserInfo" ma:SharePointGroup="0" ma:internalName="EPA_x0020_Contribu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xternal_x0020_Contributor" ma:index="12" nillable="true" ma:displayName="External Contributor" ma:description="Enter a non-EPA person who contributed to the creation of the document but is not the primary author." ma:internalName="External_x0020_Contributor" ma:readOnly="false">
      <xsd:simpleType>
        <xsd:restriction base="dms:Note">
          <xsd:maxLength value="255"/>
        </xsd:restriction>
      </xsd:simpleType>
    </xsd:element>
    <xsd:element name="EPA_x0020_Related_x0020_Documents" ma:index="14" nillable="true" ma:displayName="Other Related Documents" ma:description="Enter any related document." ma:internalName="EPA_x0020_Related_x0020_Documents" ma:readOnly="false">
      <xsd:simpleType>
        <xsd:restriction base="dms:Note">
          <xsd:maxLength value="255"/>
        </xsd:restriction>
      </xsd:simpleType>
    </xsd:element>
    <xsd:element name="Rights" ma:index="16" nillable="true" ma:displayName="Rights" ma:description="Enter information about intellectual property rights held over the document (e.g. copyright, patent, trademark)." ma:internalName="Rights" ma:readOnly="false">
      <xsd:simpleType>
        <xsd:restriction base="dms:Note">
          <xsd:maxLength value="255"/>
        </xsd:restriction>
      </xsd:simpleType>
    </xsd:element>
    <xsd:element name="j747ac98061d40f0aa7bd47e1db5675d" ma:index="19" nillable="true" ma:taxonomy="true" ma:internalName="j747ac98061d40f0aa7bd47e1db5675d" ma:taxonomyFieldName="Document_x0020_Type" ma:displayName="Document Type" ma:readOnly="false" ma:default="" ma:fieldId="{3747ac98-061d-40f0-aa7b-d47e1db5675d}" ma:sspId="29f62856-1543-49d4-a736-4569d363f533" ma:termSetId="e06cd6a9-a175-4da0-81cb-8dba7aa394ab" ma:anchorId="00000000-0000-0000-0000-000000000000" ma:open="false" ma:isKeyword="false">
      <xsd:complexType>
        <xsd:sequence>
          <xsd:element ref="pc:Terms" minOccurs="0" maxOccurs="1"/>
        </xsd:sequence>
      </xsd:complexType>
    </xsd:element>
    <xsd:element name="TaxKeywordTaxHTField" ma:index="21" nillable="true" ma:taxonomy="true" ma:internalName="TaxKeywordTaxHTField" ma:taxonomyFieldName="TaxKeyword" ma:displayName="Enterprise Keywords" ma:readOnly="false" ma:fieldId="{23f27201-bee3-471e-b2e7-b64fd8b7ca38}" ma:taxonomyMulti="true" ma:sspId="29f62856-1543-49d4-a736-4569d363f533" ma:termSetId="00000000-0000-0000-0000-000000000000" ma:anchorId="00000000-0000-0000-0000-000000000000" ma:open="true" ma:isKeyword="true">
      <xsd:complexType>
        <xsd:sequence>
          <xsd:element ref="pc:Terms" minOccurs="0" maxOccurs="1"/>
        </xsd:sequence>
      </xsd:complexType>
    </xsd:element>
    <xsd:element name="TaxCatchAllLabel" ma:index="23" nillable="true" ma:displayName="Taxonomy Catch All Column1" ma:hidden="true" ma:list="{0eafa08c-da01-48e4-b4d7-151dfe2fdfac}" ma:internalName="TaxCatchAllLabel" ma:readOnly="true" ma:showField="CatchAllDataLabel" ma:web="100f1ce0-4af0-4d4f-96bb-1f04b8389ca2">
      <xsd:complexType>
        <xsd:complexContent>
          <xsd:extension base="dms:MultiChoiceLookup">
            <xsd:sequence>
              <xsd:element name="Value" type="dms:Lookup" maxOccurs="unbounded" minOccurs="0" nillable="true"/>
            </xsd:sequence>
          </xsd:extension>
        </xsd:complexContent>
      </xsd:complexType>
    </xsd:element>
    <xsd:element name="TaxCatchAll" ma:index="24" nillable="true" ma:displayName="Taxonomy Catch All Column" ma:hidden="true" ma:list="{0eafa08c-da01-48e4-b4d7-151dfe2fdfac}" ma:internalName="TaxCatchAll" ma:showField="CatchAllData" ma:web="100f1ce0-4af0-4d4f-96bb-1f04b8389ca2">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6" nillable="true" ma:displayName="Description" ma:description="Enter a brief description." ma:internalName="Category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Coverage" ma:index="13" nillable="true" ma:displayName="Coverage" ma:description="Enter the geographic location, jurisdiction, or time period for which the document is relevant." ma:internalName="_Coverage" ma:readOnly="false">
      <xsd:simpleType>
        <xsd:restriction base="dms:Text">
          <xsd:maxLength value="255"/>
        </xsd:restriction>
      </xsd:simpleType>
    </xsd:element>
    <xsd:element name="_Source" ma:index="15" nillable="true" ma:displayName="Source" ma:description="Enter a source from which the document is derived." ma:internalName="_Source"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a45b8d2-5363-42cf-81ee-b666af54687e" elementFormDefault="qualified">
    <xsd:import namespace="http://schemas.microsoft.com/office/2006/documentManagement/types"/>
    <xsd:import namespace="http://schemas.microsoft.com/office/infopath/2007/PartnerControls"/>
    <xsd:element name="MediaServiceMetadata" ma:index="28" nillable="true" ma:displayName="MediaServiceMetadata" ma:hidden="true" ma:internalName="MediaServiceMetadata" ma:readOnly="true">
      <xsd:simpleType>
        <xsd:restriction base="dms:Note"/>
      </xsd:simpleType>
    </xsd:element>
    <xsd:element name="MediaServiceFastMetadata" ma:index="29" nillable="true" ma:displayName="MediaServiceFastMetadata" ma:hidden="true" ma:internalName="MediaServiceFastMetadata" ma:readOnly="true">
      <xsd:simpleType>
        <xsd:restriction base="dms:Note"/>
      </xsd:simpleType>
    </xsd:element>
    <xsd:element name="MediaServiceObjectDetectorVersions" ma:index="30" nillable="true" ma:displayName="MediaServiceObjectDetectorVersions" ma:hidden="true" ma:indexed="true" ma:internalName="MediaServiceObjectDetectorVersions" ma:readOnly="true">
      <xsd:simpleType>
        <xsd:restriction base="dms:Text"/>
      </xsd:simpleType>
    </xsd:element>
    <xsd:element name="lcf76f155ced4ddcb4097134ff3c332f" ma:index="34" nillable="true" ma:taxonomy="true" ma:internalName="lcf76f155ced4ddcb4097134ff3c332f" ma:taxonomyFieldName="MediaServiceImageTags" ma:displayName="Image Tags" ma:readOnly="false" ma:fieldId="{5cf76f15-5ced-4ddc-b409-7134ff3c332f}" ma:taxonomyMulti="true" ma:sspId="29f62856-1543-49d4-a736-4569d363f533" ma:termSetId="09814cd3-568e-fe90-9814-8d621ff8fb84" ma:anchorId="fba54fb3-c3e1-fe81-a776-ca4b69148c4d" ma:open="true" ma:isKeyword="false">
      <xsd:complexType>
        <xsd:sequence>
          <xsd:element ref="pc:Terms" minOccurs="0" maxOccurs="1"/>
        </xsd:sequence>
      </xsd:complexType>
    </xsd:element>
    <xsd:element name="MediaServiceOCR" ma:index="35" nillable="true" ma:displayName="Extracted Text" ma:internalName="MediaServiceOCR" ma:readOnly="true">
      <xsd:simpleType>
        <xsd:restriction base="dms:Note">
          <xsd:maxLength value="255"/>
        </xsd:restriction>
      </xsd:simpleType>
    </xsd:element>
    <xsd:element name="MediaServiceGenerationTime" ma:index="36" nillable="true" ma:displayName="MediaServiceGenerationTime" ma:hidden="true" ma:internalName="MediaServiceGenerationTime" ma:readOnly="true">
      <xsd:simpleType>
        <xsd:restriction base="dms:Text"/>
      </xsd:simpleType>
    </xsd:element>
    <xsd:element name="MediaServiceEventHashCode" ma:index="37" nillable="true" ma:displayName="MediaServiceEventHashCode" ma:hidden="true" ma:internalName="MediaServiceEventHashCode" ma:readOnly="true">
      <xsd:simpleType>
        <xsd:restriction base="dms:Text"/>
      </xsd:simpleType>
    </xsd:element>
    <xsd:element name="MediaServiceSearchProperties" ma:index="3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00f1ce0-4af0-4d4f-96bb-1f04b8389ca2" elementFormDefault="qualified">
    <xsd:import namespace="http://schemas.microsoft.com/office/2006/documentManagement/types"/>
    <xsd:import namespace="http://schemas.microsoft.com/office/infopath/2007/PartnerControls"/>
    <xsd:element name="SharedWithUsers" ma:index="3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5"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29f62856-1543-49d4-a736-4569d363f533" ContentTypeId="0x0101"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3a45b8d2-5363-42cf-81ee-b666af54687e">
      <Terms xmlns="http://schemas.microsoft.com/office/infopath/2007/PartnerControls"/>
    </lcf76f155ced4ddcb4097134ff3c332f>
    <TaxCatchAll xmlns="4ffa91fb-a0ff-4ac5-b2db-65c790d184a4" xsi:nil="true"/>
    <_Source xmlns="http://schemas.microsoft.com/sharepoint/v3/fields" xsi:nil="true"/>
    <Language xmlns="http://schemas.microsoft.com/sharepoint/v3">English</Language>
    <j747ac98061d40f0aa7bd47e1db5675d xmlns="4ffa91fb-a0ff-4ac5-b2db-65c790d184a4">
      <Terms xmlns="http://schemas.microsoft.com/office/infopath/2007/PartnerControls"/>
    </j747ac98061d40f0aa7bd47e1db5675d>
    <External_x0020_Contributor xmlns="4ffa91fb-a0ff-4ac5-b2db-65c790d184a4" xsi:nil="true"/>
    <TaxKeywordTaxHTField xmlns="4ffa91fb-a0ff-4ac5-b2db-65c790d184a4">
      <Terms xmlns="http://schemas.microsoft.com/office/infopath/2007/PartnerControls"/>
    </TaxKeywordTaxHTField>
    <Record xmlns="4ffa91fb-a0ff-4ac5-b2db-65c790d184a4">Shared</Record>
    <Rights xmlns="4ffa91fb-a0ff-4ac5-b2db-65c790d184a4" xsi:nil="true"/>
    <Document_x0020_Creation_x0020_Date xmlns="4ffa91fb-a0ff-4ac5-b2db-65c790d184a4">2024-08-07T00:48:30+00:00</Document_x0020_Creation_x0020_Date>
    <EPA_x0020_Office xmlns="4ffa91fb-a0ff-4ac5-b2db-65c790d184a4" xsi:nil="true"/>
    <CategoryDescription xmlns="http://schemas.microsoft.com/sharepoint.v3" xsi:nil="true"/>
    <Identifier xmlns="4ffa91fb-a0ff-4ac5-b2db-65c790d184a4" xsi:nil="true"/>
    <_Coverage xmlns="http://schemas.microsoft.com/sharepoint/v3/fields" xsi:nil="true"/>
    <Creator xmlns="4ffa91fb-a0ff-4ac5-b2db-65c790d184a4">
      <UserInfo>
        <DisplayName/>
        <AccountId xsi:nil="true"/>
        <AccountType/>
      </UserInfo>
    </Creator>
    <EPA_x0020_Related_x0020_Documents xmlns="4ffa91fb-a0ff-4ac5-b2db-65c790d184a4" xsi:nil="true"/>
    <EPA_x0020_Contributor xmlns="4ffa91fb-a0ff-4ac5-b2db-65c790d184a4">
      <UserInfo>
        <DisplayName/>
        <AccountId xsi:nil="true"/>
        <AccountType/>
      </UserInfo>
    </EPA_x0020_Contributor>
  </documentManagement>
</p:properties>
</file>

<file path=customXml/itemProps1.xml><?xml version="1.0" encoding="utf-8"?>
<ds:datastoreItem xmlns:ds="http://schemas.openxmlformats.org/officeDocument/2006/customXml" ds:itemID="{421C7C95-A0BA-430F-B285-5CE21C55DB6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ffa91fb-a0ff-4ac5-b2db-65c790d184a4"/>
    <ds:schemaRef ds:uri="http://schemas.microsoft.com/sharepoint.v3"/>
    <ds:schemaRef ds:uri="http://schemas.microsoft.com/sharepoint/v3/fields"/>
    <ds:schemaRef ds:uri="3a45b8d2-5363-42cf-81ee-b666af54687e"/>
    <ds:schemaRef ds:uri="100f1ce0-4af0-4d4f-96bb-1f04b8389ca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F1A8CF7-7177-4C1F-8D5F-01F031FD2297}">
  <ds:schemaRefs>
    <ds:schemaRef ds:uri="Microsoft.SharePoint.Taxonomy.ContentTypeSync"/>
  </ds:schemaRefs>
</ds:datastoreItem>
</file>

<file path=customXml/itemProps3.xml><?xml version="1.0" encoding="utf-8"?>
<ds:datastoreItem xmlns:ds="http://schemas.openxmlformats.org/officeDocument/2006/customXml" ds:itemID="{E61C5FD7-312C-45F4-95F9-21B1CABBD1D0}">
  <ds:schemaRefs>
    <ds:schemaRef ds:uri="http://schemas.microsoft.com/sharepoint/v3/contenttype/forms"/>
  </ds:schemaRefs>
</ds:datastoreItem>
</file>

<file path=customXml/itemProps4.xml><?xml version="1.0" encoding="utf-8"?>
<ds:datastoreItem xmlns:ds="http://schemas.openxmlformats.org/officeDocument/2006/customXml" ds:itemID="{D76C5B1A-A870-4159-9D10-A6EDEF972CE0}">
  <ds:schemaRefs>
    <ds:schemaRef ds:uri="http://schemas.microsoft.com/office/2006/metadata/properties"/>
    <ds:schemaRef ds:uri="http://schemas.microsoft.com/office/infopath/2007/PartnerControls"/>
    <ds:schemaRef ds:uri="3a45b8d2-5363-42cf-81ee-b666af54687e"/>
    <ds:schemaRef ds:uri="4ffa91fb-a0ff-4ac5-b2db-65c790d184a4"/>
    <ds:schemaRef ds:uri="http://schemas.microsoft.com/sharepoint/v3/fields"/>
    <ds:schemaRef ds:uri="http://schemas.microsoft.com/sharepoint/v3"/>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26</vt:i4>
      </vt:variant>
    </vt:vector>
  </HeadingPairs>
  <TitlesOfParts>
    <vt:vector size="26" baseType="lpstr">
      <vt:lpstr>Commodities</vt:lpstr>
      <vt:lpstr>Technologies</vt:lpstr>
      <vt:lpstr>TechData_DMD</vt:lpstr>
      <vt:lpstr>TechData_SolarPV</vt:lpstr>
      <vt:lpstr>TechData-Emis</vt:lpstr>
      <vt:lpstr>TechData_ZZ</vt:lpstr>
      <vt:lpstr>TechData_SESC</vt:lpstr>
      <vt:lpstr>Retrofit</vt:lpstr>
      <vt:lpstr>EIA23 EQ Cost</vt:lpstr>
      <vt:lpstr>Resid</vt:lpstr>
      <vt:lpstr>ResDemand</vt:lpstr>
      <vt:lpstr>ResCalc</vt:lpstr>
      <vt:lpstr>DmdCalc</vt:lpstr>
      <vt:lpstr>2010 Fuel Share</vt:lpstr>
      <vt:lpstr>Original</vt:lpstr>
      <vt:lpstr>Dmd Share</vt:lpstr>
      <vt:lpstr>BldgArea</vt:lpstr>
      <vt:lpstr>USDemand</vt:lpstr>
      <vt:lpstr>RTEKTY Conv</vt:lpstr>
      <vt:lpstr>Pop</vt:lpstr>
      <vt:lpstr>2014 GHG Inventory</vt:lpstr>
      <vt:lpstr>Rooftop Calc</vt:lpstr>
      <vt:lpstr>AEO14 RLT Techs</vt:lpstr>
      <vt:lpstr>Conv Factors</vt:lpstr>
      <vt:lpstr>EmisCO2Coef</vt:lpstr>
      <vt:lpstr>EmisRes</vt:lpstr>
    </vt:vector>
  </TitlesOfParts>
  <Manager/>
  <Company>Noble-Soft Systems Pty Ltd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Dr Ken Noble</dc:creator>
  <cp:keywords/>
  <dc:description/>
  <cp:lastModifiedBy>Carroll, Zane</cp:lastModifiedBy>
  <cp:revision/>
  <dcterms:created xsi:type="dcterms:W3CDTF">2005-05-01T12:39:10Z</dcterms:created>
  <dcterms:modified xsi:type="dcterms:W3CDTF">2025-05-30T15:10:00Z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aveCode">
    <vt:r8>629081368446350</vt:r8>
  </property>
  <property fmtid="{D5CDD505-2E9C-101B-9397-08002B2CF9AE}" pid="3" name="ContentTypeId">
    <vt:lpwstr>0x01010092854A4B9DA56A4E9E67ED7952786595</vt:lpwstr>
  </property>
  <property fmtid="{D5CDD505-2E9C-101B-9397-08002B2CF9AE}" pid="4" name="MediaServiceImageTags">
    <vt:lpwstr/>
  </property>
</Properties>
</file>